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showInkAnnotation="0" codeName="ThisWorkbook"/>
  <mc:AlternateContent xmlns:mc="http://schemas.openxmlformats.org/markup-compatibility/2006">
    <mc:Choice Requires="x15">
      <x15ac:absPath xmlns:x15ac="http://schemas.microsoft.com/office/spreadsheetml/2010/11/ac" url="\\WKG-FILE2\Strategy$\T&amp;E Division\2 Environment\Energy\15 Measurement\02 LEGGI\LEGGI_2018\Inventory\For_Publication\"/>
    </mc:Choice>
  </mc:AlternateContent>
  <xr:revisionPtr revIDLastSave="0" documentId="13_ncr:1_{B2F3BB07-B613-4B2D-849A-780097EC90FC}" xr6:coauthVersionLast="44" xr6:coauthVersionMax="44" xr10:uidLastSave="{00000000-0000-0000-0000-000000000000}"/>
  <workbookProtection workbookAlgorithmName="SHA-512" workbookHashValue="wtJ9o6cdIIUVbOhA93pNvRAym1OtEkq7v9Y4D3qw4ldMAjpCNmQ+cT2zuIMhX1QubQ3TUZLgQA+E+ZyyWAFXoQ==" workbookSaltValue="v0blzBajSPrSj3+Zego02A==" workbookSpinCount="100000" lockStructure="1"/>
  <bookViews>
    <workbookView xWindow="-98" yWindow="-98" windowWidth="20715" windowHeight="13276" firstSheet="2" activeTab="8" xr2:uid="{00000000-000D-0000-FFFF-FFFF00000000}"/>
  </bookViews>
  <sheets>
    <sheet name="About LEGGI" sheetId="16" r:id="rId1"/>
    <sheet name="Emission sectors" sheetId="23" r:id="rId2"/>
    <sheet name="Dashboard" sheetId="21" r:id="rId3"/>
    <sheet name="00 Summary" sheetId="18" r:id="rId4"/>
    <sheet name="01 Energy" sheetId="19" r:id="rId5"/>
    <sheet name="02 CO2" sheetId="20" r:id="rId6"/>
    <sheet name="Local Authority summary" sheetId="15" state="hidden" r:id="rId7"/>
    <sheet name="Ia.Energy-Stationary " sheetId="6" r:id="rId8"/>
    <sheet name="Ib.Energy-Transport " sheetId="7" r:id="rId9"/>
    <sheet name="II.IPPU" sheetId="8" r:id="rId10"/>
    <sheet name="III.AFOLU" sheetId="10" r:id="rId11"/>
    <sheet name="IV.Waste" sheetId="9" r:id="rId12"/>
    <sheet name="V.Other" sheetId="11" state="hidden" r:id="rId13"/>
    <sheet name="Lookups" sheetId="17" state="hidden" r:id="rId14"/>
    <sheet name="Emission &amp; Conversion Factors" sheetId="1" r:id="rId15"/>
    <sheet name="C40 summary" sheetId="14" state="hidden" r:id="rId16"/>
    <sheet name="GCoM summary" sheetId="13" state="hidden" r:id="rId17"/>
  </sheets>
  <externalReferences>
    <externalReference r:id="rId18"/>
    <externalReference r:id="rId19"/>
    <externalReference r:id="rId20"/>
    <externalReference r:id="rId21"/>
    <externalReference r:id="rId22"/>
  </externalReferences>
  <definedNames>
    <definedName name="_xlnm._FilterDatabase" localSheetId="9" hidden="1">II.IPPU!$C$116:$W$184</definedName>
    <definedName name="Base_year">[1]Lists!$DC$3:$DC$45</definedName>
    <definedName name="Borough">[2]Lists!$J$3:$J$36</definedName>
    <definedName name="Boundary">[1]Lists!$A$3:$A$12</definedName>
    <definedName name="ConFact_0.001">'Emission &amp; Conversion Factors'!$V$15</definedName>
    <definedName name="ConFact_g_to_tonnes">'Emission &amp; Conversion Factors'!$V$14</definedName>
    <definedName name="ConvFact_ttoe_to_kWh">'Emission &amp; Conversion Factors'!$R$25</definedName>
    <definedName name="EF_AD_CH4">'[3]04 Emissions Factors'!$H$33</definedName>
    <definedName name="EF_ATF">'[4]04 Emissions Factors'!$I$20</definedName>
    <definedName name="EF_CH4_AD">'Emission &amp; Conversion Factors'!$D$204</definedName>
    <definedName name="EF_CH4_ATF_Transport">'Emission &amp; Conversion Factors'!$L$43</definedName>
    <definedName name="EF_CH4_Coal_DCI">'Emission &amp; Conversion Factors'!$L$118</definedName>
    <definedName name="EF_CH4_Composting">'Emission &amp; Conversion Factors'!$D$202</definedName>
    <definedName name="EF_CH4_DieselAvBio_Trans_kg_l">'Emission &amp; Conversion Factors'!$L$52</definedName>
    <definedName name="EF_CH4_DieselAvBio_Transport">'Emission &amp; Conversion Factors'!$L$51</definedName>
    <definedName name="EF_CH4_ElectGen_DCI">'Emission &amp; Conversion Factors'!$L$131</definedName>
    <definedName name="EF_CH4_ElectTDL_DCI">'Emission &amp; Conversion Factors'!$L$135</definedName>
    <definedName name="EF_CH4_FuelOil_IC">'Emission &amp; Conversion Factors'!$L$62</definedName>
    <definedName name="EF_CH4_GasOil">'Emission &amp; Conversion Factors'!$L$66</definedName>
    <definedName name="EF_CH4_GasOil_RailDiesel">'Emission &amp; Conversion Factors'!$L$66</definedName>
    <definedName name="EF_CH4_Incinaration">'Emission &amp; Conversion Factors'!$D$177</definedName>
    <definedName name="EF_CH4_LPG_Transport">'Emission &amp; Conversion Factors'!$L$20</definedName>
    <definedName name="EF_CH4_NatGas_DCI">'Emission &amp; Conversion Factors'!$L$27</definedName>
    <definedName name="EF_CH4_NG_Fugitive">'Emission &amp; Conversion Factors'!$D$221</definedName>
    <definedName name="EF_CH4_PetrolAvBio_Trans_kg_l">'Emission &amp; Conversion Factors'!$L$76</definedName>
    <definedName name="EF_CH4_PetrolAvBio_Transport">'Emission &amp; Conversion Factors'!$L$75</definedName>
    <definedName name="EF_CH4_W_R_IC">'Emission &amp; Conversion Factors'!$L$212</definedName>
    <definedName name="EF_CO2_ATF_Transport">'Emission &amp; Conversion Factors'!$K$43</definedName>
    <definedName name="EF_CO2_Coal_DCI">'Emission &amp; Conversion Factors'!$K$118</definedName>
    <definedName name="EF_CO2_DieselAvBio_Trans_kg_l">'Emission &amp; Conversion Factors'!$K$52</definedName>
    <definedName name="EF_CO2_DieselAvBio_Transport">'Emission &amp; Conversion Factors'!$K$51</definedName>
    <definedName name="EF_CO2_ElectGen_DCI">'Emission &amp; Conversion Factors'!$K$131</definedName>
    <definedName name="EF_CO2_ElectTDL_DCI">'Emission &amp; Conversion Factors'!$K$135</definedName>
    <definedName name="EF_CO2_FuelOil_IC">'Emission &amp; Conversion Factors'!$K$62</definedName>
    <definedName name="EF_CO2_GasOil">'Emission &amp; Conversion Factors'!$K$66</definedName>
    <definedName name="EF_CO2_GasOil_RailDiesel">'Emission &amp; Conversion Factors'!$K$66</definedName>
    <definedName name="EF_CO2_LPG_Transport">'Emission &amp; Conversion Factors'!$K$20</definedName>
    <definedName name="EF_CO2_NatGas_DCI">'Emission &amp; Conversion Factors'!$K$27</definedName>
    <definedName name="EF_CO2_NG_Fugitive">'Emission &amp; Conversion Factors'!$J$221</definedName>
    <definedName name="EF_CO2_PetrolAvBio_Trans_kg_l">'Emission &amp; Conversion Factors'!$K$76</definedName>
    <definedName name="EF_CO2_PetrolAvBio_Transport">'Emission &amp; Conversion Factors'!$K$75</definedName>
    <definedName name="EF_CO2_Shipping">'Emission &amp; Conversion Factors'!$K$214</definedName>
    <definedName name="EF_CO2_W_R_IC">'Emission &amp; Conversion Factors'!$K$212</definedName>
    <definedName name="EF_CO2b_Incineration">'Emission &amp; Conversion Factors'!$O$213</definedName>
    <definedName name="EF_COAL_DOM">'[3]04 Emissions Factors'!$F$9</definedName>
    <definedName name="EF_COAL_WORK">'[4]04 Emissions Factors'!$I$14</definedName>
    <definedName name="EF_COAL_WP">'[3]04 Emissions Factors'!$F$14</definedName>
    <definedName name="EF_Composting_CH4">'[3]04 Emissions Factors'!$H$34</definedName>
    <definedName name="EF_Composting_N2O">'[3]04 Emissions Factors'!$I$34</definedName>
    <definedName name="EF_DIESEL_LITRE">'[4]04 Emissions Factors'!$I$28</definedName>
    <definedName name="EF_DIESEL_TONNE">'[4]04 Emissions Factors'!$I$22</definedName>
    <definedName name="EF_ELEC">'[3]04 Emissions Factors'!$F$6</definedName>
    <definedName name="EF_ELEC_GEN">'[4]04 Emissions Factors'!$I$6</definedName>
    <definedName name="EF_GAS">'[3]04 Emissions Factors'!$F$8</definedName>
    <definedName name="EF_GASOIL_TONNE">'[4]04 Emissions Factors'!$I$23</definedName>
    <definedName name="EF_GHG_AFT">'Emission &amp; Conversion Factors'!$J$43</definedName>
    <definedName name="EF_GHG_Biomass_WoodChips">'Emission &amp; Conversion Factors'!$J$141</definedName>
    <definedName name="EF_GHG_Coal_DCI">'Emission &amp; Conversion Factors'!$J$118</definedName>
    <definedName name="EF_GHG_DieselAvBio_Trans_kg_l">'Emission &amp; Conversion Factors'!$J$52</definedName>
    <definedName name="EF_GHG_DieselAvBio_Transport">'Emission &amp; Conversion Factors'!$J$51</definedName>
    <definedName name="EF_GHG_ElectGen">'Emission &amp; Conversion Factors'!$J$131</definedName>
    <definedName name="EF_GHG_ElectTD">'Emission &amp; Conversion Factors'!$J$135</definedName>
    <definedName name="EF_GHG_GasOil">'Emission &amp; Conversion Factors'!$J$66</definedName>
    <definedName name="EF_GHG_LPG_Transport">'Emission &amp; Conversion Factors'!$J$20</definedName>
    <definedName name="EF_GHG_NatGas_DCI">'Emission &amp; Conversion Factors'!$J$27</definedName>
    <definedName name="EF_GHG_PetrolAvBio_Trans_kg_l">'Emission &amp; Conversion Factors'!$J$76</definedName>
    <definedName name="EF_GHG_PetrolAvBio_Transport">'Emission &amp; Conversion Factors'!$J$75</definedName>
    <definedName name="EF_GHG_W_R_IC">'Emission &amp; Conversion Factors'!$N$212</definedName>
    <definedName name="EF_IncInd_CH4">'[3]04 Emissions Factors'!$H$37</definedName>
    <definedName name="EF_IncInd_N2O">'[3]04 Emissions Factors'!$I$37</definedName>
    <definedName name="EF_IncMSW_CH4">'[3]04 Emissions Factors'!$H$36</definedName>
    <definedName name="EF_IncMSW_N2O">'[3]04 Emissions Factors'!$I$36</definedName>
    <definedName name="EF_Landfill_CH4">'[3]04 Emissions Factors'!$H$35</definedName>
    <definedName name="EF_LPG_TONNE">'[4]04 Emissions Factors'!$I$24</definedName>
    <definedName name="EF_N2O_ATF_Transport">'Emission &amp; Conversion Factors'!$M$43</definedName>
    <definedName name="EF_N2O_Coal_DCI">'Emission &amp; Conversion Factors'!$M$118</definedName>
    <definedName name="EF_N2O_Composting">'Emission &amp; Conversion Factors'!$K$202</definedName>
    <definedName name="EF_N2O_DieselAvBio_Trans_kg_l">'Emission &amp; Conversion Factors'!$M$52</definedName>
    <definedName name="EF_N2O_DieselAvBio_Transport">'Emission &amp; Conversion Factors'!$M$51</definedName>
    <definedName name="EF_N2O_ElectGen_DCI">'Emission &amp; Conversion Factors'!$M$131</definedName>
    <definedName name="EF_N2O_ElectTDL_DCI">'Emission &amp; Conversion Factors'!$M$135</definedName>
    <definedName name="EF_N2O_FuelOil_IC">'Emission &amp; Conversion Factors'!$M$62</definedName>
    <definedName name="EF_N2O_GasOil">'Emission &amp; Conversion Factors'!$M$66</definedName>
    <definedName name="EF_N2O_GasOil_RailDiesel">'Emission &amp; Conversion Factors'!$M$66</definedName>
    <definedName name="EF_N2O_Incineration">'Emission &amp; Conversion Factors'!$D$187</definedName>
    <definedName name="EF_N2O_LPG_Transport">'Emission &amp; Conversion Factors'!$M$20</definedName>
    <definedName name="EF_N2O_NatGas_DCI">'Emission &amp; Conversion Factors'!$M$27</definedName>
    <definedName name="EF_N2O_PetrolAvBio_Trans_kg_l">'Emission &amp; Conversion Factors'!$M$76</definedName>
    <definedName name="EF_N2O_PetrolAvBio_Transport">'Emission &amp; Conversion Factors'!$M$75</definedName>
    <definedName name="EF_N2O_W_R_IC">'Emission &amp; Conversion Factors'!$M$212</definedName>
    <definedName name="EF_OIL_DOM">'[3]04 Emissions Factors'!$F$10</definedName>
    <definedName name="EF_OIL_LITRE">'[4]04 Emissions Factors'!$I$29</definedName>
    <definedName name="EF_OIL_WORK">'[4]04 Emissions Factors'!$I$15</definedName>
    <definedName name="EF_OIL_WP">'[3]04 Emissions Factors'!$F$15</definedName>
    <definedName name="EF_PETROL_LITRE">'[4]04 Emissions Factors'!$I$27</definedName>
    <definedName name="EF_PETROL_TONNE">'[4]04 Emissions Factors'!$I$21</definedName>
    <definedName name="EF_WASTE">'[3]04 Emissions Factors'!$F$16</definedName>
    <definedName name="GWP_CH4" localSheetId="3">[3]GWP!$F$12</definedName>
    <definedName name="GWP_CH4" localSheetId="4">[3]GWP!$F$12</definedName>
    <definedName name="GWP_CH4" localSheetId="5">[3]GWP!$F$12</definedName>
    <definedName name="GWP_CH4" localSheetId="2">[3]GWP!$F$12</definedName>
    <definedName name="GWP_CH4">'Emission &amp; Conversion Factors'!$AI$15</definedName>
    <definedName name="GWP_CO2" localSheetId="3">[3]GWP!$F$11</definedName>
    <definedName name="GWP_CO2" localSheetId="4">[3]GWP!$F$11</definedName>
    <definedName name="GWP_CO2" localSheetId="5">[3]GWP!$F$11</definedName>
    <definedName name="GWP_CO2" localSheetId="2">[3]GWP!$F$11</definedName>
    <definedName name="GWP_CO2">'Emission &amp; Conversion Factors'!$AI$14</definedName>
    <definedName name="GWP_N2O" localSheetId="3">[3]GWP!$F$13</definedName>
    <definedName name="GWP_N2O" localSheetId="4">[3]GWP!$F$13</definedName>
    <definedName name="GWP_N2O" localSheetId="5">[3]GWP!$F$13</definedName>
    <definedName name="GWP_N2O" localSheetId="2">[3]GWP!$F$13</definedName>
    <definedName name="GWP_N2O">'Emission &amp; Conversion Factors'!$AI$16</definedName>
    <definedName name="_xlnm.Print_Area" localSheetId="3">'00 Summary'!$A$1:$AA$105</definedName>
    <definedName name="_xlnm.Print_Area" localSheetId="4">'01 Energy'!$A$1:$V$44</definedName>
    <definedName name="_xlnm.Print_Area" localSheetId="5">'02 CO2'!$A$1:$AC$86</definedName>
    <definedName name="_xlnm.Print_Area" localSheetId="2">Dashboard!$M$1:$AM$229</definedName>
    <definedName name="Region_1">[1]Lists!$DB$3:$DB$11</definedName>
    <definedName name="Sector">[2]Lists!$B$3:$B$6</definedName>
    <definedName name="UpdateYear">[5]Introduction!$E$6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114" i="21" l="1"/>
  <c r="AA114" i="21"/>
  <c r="AB114" i="21"/>
  <c r="AC114" i="21"/>
  <c r="AD114" i="21"/>
  <c r="AE114" i="21"/>
  <c r="Z115" i="21"/>
  <c r="AA115" i="21"/>
  <c r="AB115" i="21"/>
  <c r="AC115" i="21"/>
  <c r="AD115" i="21"/>
  <c r="AE115" i="21"/>
  <c r="AF115" i="21"/>
  <c r="O114" i="21"/>
  <c r="O115" i="21"/>
  <c r="C38" i="18" l="1"/>
  <c r="N38" i="18" l="1"/>
  <c r="O38" i="18"/>
  <c r="P38" i="18"/>
  <c r="Q38" i="18"/>
  <c r="R38" i="18"/>
  <c r="S38" i="18"/>
  <c r="P248" i="21" l="1"/>
  <c r="O248" i="21"/>
  <c r="O243" i="21"/>
  <c r="O157" i="21" l="1"/>
  <c r="O158" i="21"/>
  <c r="O159" i="21"/>
  <c r="O160" i="21"/>
  <c r="O161" i="21"/>
  <c r="O162" i="21"/>
  <c r="O163" i="21"/>
  <c r="O424" i="7" l="1"/>
  <c r="N424" i="7"/>
  <c r="L14" i="7" l="1"/>
  <c r="L17" i="7"/>
  <c r="L24" i="7"/>
  <c r="M17" i="7" l="1"/>
  <c r="N14" i="7"/>
  <c r="N17" i="7"/>
  <c r="M14" i="7"/>
  <c r="N23" i="7"/>
  <c r="N22" i="7"/>
  <c r="N21" i="7"/>
  <c r="N20" i="7"/>
  <c r="N19" i="7"/>
  <c r="N18" i="7"/>
  <c r="N16" i="7"/>
  <c r="N15" i="7"/>
  <c r="N13" i="7"/>
  <c r="N12" i="7"/>
  <c r="P12" i="7" s="1"/>
  <c r="M23" i="7"/>
  <c r="M22" i="7"/>
  <c r="M21" i="7"/>
  <c r="M20" i="7"/>
  <c r="M19" i="7"/>
  <c r="M18" i="7"/>
  <c r="M16" i="7"/>
  <c r="M15" i="7"/>
  <c r="M13" i="7"/>
  <c r="M12" i="7"/>
  <c r="P84" i="6" l="1"/>
  <c r="N82" i="6"/>
  <c r="M82" i="6"/>
  <c r="L82" i="6"/>
  <c r="P82" i="6" s="1"/>
  <c r="N85" i="6"/>
  <c r="M85" i="6"/>
  <c r="L85" i="6"/>
  <c r="N72" i="6"/>
  <c r="M72" i="6"/>
  <c r="L72" i="6"/>
  <c r="N69" i="6"/>
  <c r="M69" i="6"/>
  <c r="L69" i="6"/>
  <c r="P69" i="6" s="1"/>
  <c r="P32" i="6"/>
  <c r="N33" i="6"/>
  <c r="M33" i="6"/>
  <c r="L33" i="6"/>
  <c r="N29" i="6"/>
  <c r="M29" i="6"/>
  <c r="L29" i="6"/>
  <c r="P29" i="6" s="1"/>
  <c r="P26" i="6"/>
  <c r="N26" i="6"/>
  <c r="M26" i="6"/>
  <c r="L26" i="6"/>
  <c r="N84" i="6"/>
  <c r="M84" i="6"/>
  <c r="L84" i="6"/>
  <c r="N71" i="6"/>
  <c r="M71" i="6"/>
  <c r="P71" i="6" s="1"/>
  <c r="L71" i="6"/>
  <c r="N32" i="6"/>
  <c r="M32" i="6"/>
  <c r="L32" i="6"/>
  <c r="N47" i="6"/>
  <c r="M47" i="6"/>
  <c r="L47" i="6"/>
  <c r="N46" i="6"/>
  <c r="M46" i="6"/>
  <c r="L46" i="6"/>
  <c r="N45" i="6"/>
  <c r="M45" i="6"/>
  <c r="N44" i="6"/>
  <c r="M44" i="6"/>
  <c r="N43" i="6"/>
  <c r="M43" i="6"/>
  <c r="O308" i="7" l="1"/>
  <c r="J182" i="7" s="1"/>
  <c r="O310" i="7"/>
  <c r="J184" i="7" s="1"/>
  <c r="O311" i="7"/>
  <c r="J185" i="7" s="1"/>
  <c r="O312" i="7"/>
  <c r="J186" i="7" s="1"/>
  <c r="O314" i="7"/>
  <c r="J188" i="7" s="1"/>
  <c r="O315" i="7"/>
  <c r="J189" i="7" s="1"/>
  <c r="O316" i="7"/>
  <c r="J190" i="7" s="1"/>
  <c r="O318" i="7"/>
  <c r="J192" i="7" s="1"/>
  <c r="O320" i="7"/>
  <c r="J194" i="7" s="1"/>
  <c r="O321" i="7"/>
  <c r="J195" i="7" s="1"/>
  <c r="O323" i="7"/>
  <c r="J197" i="7" s="1"/>
  <c r="O324" i="7"/>
  <c r="J198" i="7" s="1"/>
  <c r="O325" i="7"/>
  <c r="J199" i="7" s="1"/>
  <c r="O327" i="7"/>
  <c r="J201" i="7" s="1"/>
  <c r="O330" i="7"/>
  <c r="J204" i="7" s="1"/>
  <c r="O332" i="7"/>
  <c r="J206" i="7" s="1"/>
  <c r="O333" i="7"/>
  <c r="J207" i="7" s="1"/>
  <c r="O335" i="7"/>
  <c r="J209" i="7" s="1"/>
  <c r="O337" i="7"/>
  <c r="J211" i="7" s="1"/>
  <c r="N308" i="7"/>
  <c r="O182" i="7" s="1"/>
  <c r="N309" i="7"/>
  <c r="O183" i="7" s="1"/>
  <c r="N310" i="7"/>
  <c r="O184" i="7" s="1"/>
  <c r="N311" i="7"/>
  <c r="O185" i="7" s="1"/>
  <c r="N312" i="7"/>
  <c r="O186" i="7" s="1"/>
  <c r="N313" i="7"/>
  <c r="O187" i="7" s="1"/>
  <c r="N314" i="7"/>
  <c r="O188" i="7" s="1"/>
  <c r="N315" i="7"/>
  <c r="O189" i="7" s="1"/>
  <c r="N316" i="7"/>
  <c r="O190" i="7" s="1"/>
  <c r="N317" i="7"/>
  <c r="O191" i="7" s="1"/>
  <c r="N318" i="7"/>
  <c r="O192" i="7" s="1"/>
  <c r="N319" i="7"/>
  <c r="O193" i="7" s="1"/>
  <c r="N320" i="7"/>
  <c r="O194" i="7" s="1"/>
  <c r="N321" i="7"/>
  <c r="O195" i="7" s="1"/>
  <c r="N322" i="7"/>
  <c r="O196" i="7" s="1"/>
  <c r="N323" i="7"/>
  <c r="O197" i="7" s="1"/>
  <c r="N324" i="7"/>
  <c r="O198" i="7" s="1"/>
  <c r="N325" i="7"/>
  <c r="O199" i="7" s="1"/>
  <c r="N326" i="7"/>
  <c r="O200" i="7" s="1"/>
  <c r="N327" i="7"/>
  <c r="O201" i="7" s="1"/>
  <c r="N328" i="7"/>
  <c r="O202" i="7" s="1"/>
  <c r="N329" i="7"/>
  <c r="O203" i="7" s="1"/>
  <c r="N330" i="7"/>
  <c r="O204" i="7" s="1"/>
  <c r="N331" i="7"/>
  <c r="O205" i="7" s="1"/>
  <c r="N332" i="7"/>
  <c r="O206" i="7" s="1"/>
  <c r="N333" i="7"/>
  <c r="O207" i="7" s="1"/>
  <c r="N334" i="7"/>
  <c r="O208" i="7" s="1"/>
  <c r="N335" i="7"/>
  <c r="O209" i="7" s="1"/>
  <c r="N336" i="7"/>
  <c r="O210" i="7" s="1"/>
  <c r="N337" i="7"/>
  <c r="O211" i="7" s="1"/>
  <c r="N338" i="7"/>
  <c r="O212" i="7" s="1"/>
  <c r="N339" i="7"/>
  <c r="O213" i="7" s="1"/>
  <c r="N307" i="7"/>
  <c r="N340" i="7" s="1"/>
  <c r="O338" i="7" l="1"/>
  <c r="J212" i="7" s="1"/>
  <c r="O334" i="7"/>
  <c r="J208" i="7" s="1"/>
  <c r="O329" i="7"/>
  <c r="J203" i="7" s="1"/>
  <c r="O326" i="7"/>
  <c r="J200" i="7" s="1"/>
  <c r="O319" i="7"/>
  <c r="J193" i="7" s="1"/>
  <c r="O313" i="7"/>
  <c r="J187" i="7" s="1"/>
  <c r="O181" i="7"/>
  <c r="P8" i="19" s="1"/>
  <c r="O339" i="7"/>
  <c r="J213" i="7" s="1"/>
  <c r="O331" i="7"/>
  <c r="J205" i="7" s="1"/>
  <c r="O328" i="7"/>
  <c r="J202" i="7" s="1"/>
  <c r="O322" i="7"/>
  <c r="J196" i="7" s="1"/>
  <c r="O317" i="7"/>
  <c r="J191" i="7" s="1"/>
  <c r="O309" i="7"/>
  <c r="J183" i="7" s="1"/>
  <c r="O336" i="7"/>
  <c r="J210" i="7" s="1"/>
  <c r="O307" i="7"/>
  <c r="J181" i="7" s="1"/>
  <c r="N79" i="6"/>
  <c r="M79" i="6"/>
  <c r="N56" i="6"/>
  <c r="M56" i="6"/>
  <c r="O340" i="7" l="1"/>
  <c r="N62" i="7"/>
  <c r="N61" i="7"/>
  <c r="M62" i="7"/>
  <c r="M61" i="7"/>
  <c r="N55" i="6" l="1"/>
  <c r="M55" i="6"/>
  <c r="N54" i="6"/>
  <c r="M54" i="6"/>
  <c r="P46" i="6" l="1"/>
  <c r="P45" i="6"/>
  <c r="P44" i="6"/>
  <c r="P43" i="6"/>
  <c r="J27" i="14" l="1"/>
  <c r="F27" i="13"/>
  <c r="Q382"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51" i="7"/>
  <c r="Q352" i="7"/>
  <c r="Q353" i="7"/>
  <c r="Q354" i="7"/>
  <c r="Q355" i="7"/>
  <c r="Q350" i="7"/>
  <c r="Z383" i="7"/>
  <c r="AA383" i="7" s="1"/>
  <c r="M375" i="7"/>
  <c r="M376" i="7"/>
  <c r="M377" i="7"/>
  <c r="M378" i="7"/>
  <c r="M379" i="7"/>
  <c r="M380" i="7"/>
  <c r="M381" i="7"/>
  <c r="M382" i="7"/>
  <c r="M361" i="7"/>
  <c r="M362" i="7"/>
  <c r="M363" i="7"/>
  <c r="M364" i="7"/>
  <c r="M365" i="7"/>
  <c r="M366" i="7"/>
  <c r="M367" i="7"/>
  <c r="M368" i="7"/>
  <c r="M369" i="7"/>
  <c r="M370" i="7"/>
  <c r="M371" i="7"/>
  <c r="M372" i="7"/>
  <c r="M373" i="7"/>
  <c r="M374" i="7"/>
  <c r="M351" i="7"/>
  <c r="M352" i="7"/>
  <c r="M353" i="7"/>
  <c r="M354" i="7"/>
  <c r="M355" i="7"/>
  <c r="M356" i="7"/>
  <c r="M357" i="7"/>
  <c r="M358" i="7"/>
  <c r="M359" i="7"/>
  <c r="M360" i="7"/>
  <c r="M350" i="7"/>
  <c r="J29" i="14" l="1"/>
  <c r="H13" i="14" s="1"/>
  <c r="V74" i="18" l="1"/>
  <c r="G374" i="7" l="1"/>
  <c r="G375" i="7"/>
  <c r="G376" i="7"/>
  <c r="G377" i="7"/>
  <c r="G378" i="7"/>
  <c r="G379" i="7"/>
  <c r="G380" i="7"/>
  <c r="G381" i="7"/>
  <c r="G382" i="7"/>
  <c r="G360" i="7"/>
  <c r="G361" i="7"/>
  <c r="G362" i="7"/>
  <c r="G363" i="7"/>
  <c r="G364" i="7"/>
  <c r="G365" i="7"/>
  <c r="G366" i="7"/>
  <c r="G367" i="7"/>
  <c r="G368" i="7"/>
  <c r="G369" i="7"/>
  <c r="G370" i="7"/>
  <c r="G371" i="7"/>
  <c r="G372" i="7"/>
  <c r="G373" i="7"/>
  <c r="G351" i="7"/>
  <c r="G352" i="7"/>
  <c r="G353" i="7"/>
  <c r="G354" i="7"/>
  <c r="G355" i="7"/>
  <c r="G356" i="7"/>
  <c r="G357" i="7"/>
  <c r="G358" i="7"/>
  <c r="G359" i="7"/>
  <c r="G350" i="7"/>
  <c r="K134" i="9" l="1"/>
  <c r="K133" i="9"/>
  <c r="K132" i="9"/>
  <c r="K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P100" i="9"/>
  <c r="O100" i="9"/>
  <c r="M100" i="9"/>
  <c r="L100" i="9"/>
  <c r="AD350" i="7" l="1"/>
  <c r="AB350" i="7"/>
  <c r="X350" i="7"/>
  <c r="AB351" i="7"/>
  <c r="AB352" i="7"/>
  <c r="AB353" i="7"/>
  <c r="AB354" i="7"/>
  <c r="AB355" i="7"/>
  <c r="AB356" i="7"/>
  <c r="AB357" i="7"/>
  <c r="AB358" i="7"/>
  <c r="AB359" i="7"/>
  <c r="AB360" i="7"/>
  <c r="AB361" i="7"/>
  <c r="AB362" i="7"/>
  <c r="AB363" i="7"/>
  <c r="AB364" i="7"/>
  <c r="AB365" i="7"/>
  <c r="AB366" i="7"/>
  <c r="AB367" i="7"/>
  <c r="AB368" i="7"/>
  <c r="AB369" i="7"/>
  <c r="AB370" i="7"/>
  <c r="AB371" i="7"/>
  <c r="AB372" i="7"/>
  <c r="AB373" i="7"/>
  <c r="AB374" i="7"/>
  <c r="AB375" i="7"/>
  <c r="AB376" i="7"/>
  <c r="AB377" i="7"/>
  <c r="AB378" i="7"/>
  <c r="AB379" i="7"/>
  <c r="AB380" i="7"/>
  <c r="AB381" i="7"/>
  <c r="AB382" i="7"/>
  <c r="N16" i="9"/>
  <c r="N15" i="9"/>
  <c r="AF350" i="7" l="1"/>
  <c r="M10" i="9"/>
  <c r="P47" i="6" l="1"/>
  <c r="K27" i="14" l="1"/>
  <c r="H27" i="13"/>
  <c r="P10" i="9"/>
  <c r="L133" i="9" l="1"/>
  <c r="L129" i="9"/>
  <c r="L125" i="9"/>
  <c r="L121" i="9"/>
  <c r="L117" i="9"/>
  <c r="L113" i="9"/>
  <c r="L109" i="9"/>
  <c r="L105" i="9"/>
  <c r="L131" i="9"/>
  <c r="L115" i="9"/>
  <c r="L107" i="9"/>
  <c r="L132" i="9"/>
  <c r="L128" i="9"/>
  <c r="L124" i="9"/>
  <c r="L120" i="9"/>
  <c r="L116" i="9"/>
  <c r="L112" i="9"/>
  <c r="L108" i="9"/>
  <c r="L104" i="9"/>
  <c r="L127" i="9"/>
  <c r="L119" i="9"/>
  <c r="L111" i="9"/>
  <c r="L134" i="9"/>
  <c r="L130" i="9"/>
  <c r="L126" i="9"/>
  <c r="L122" i="9"/>
  <c r="L118" i="9"/>
  <c r="L114" i="9"/>
  <c r="L110" i="9"/>
  <c r="L106" i="9"/>
  <c r="L102" i="9"/>
  <c r="L123" i="9"/>
  <c r="L103" i="9"/>
  <c r="F37" i="13"/>
  <c r="V62" i="18"/>
  <c r="M160" i="6"/>
  <c r="N81" i="6" l="1"/>
  <c r="M81" i="6"/>
  <c r="L81" i="6"/>
  <c r="N83" i="6"/>
  <c r="M83" i="6"/>
  <c r="L83" i="6"/>
  <c r="N27" i="6"/>
  <c r="M27" i="6"/>
  <c r="L27" i="6"/>
  <c r="N28" i="6"/>
  <c r="N25" i="6"/>
  <c r="M28" i="6"/>
  <c r="M25" i="6"/>
  <c r="L28" i="6"/>
  <c r="L25" i="6"/>
  <c r="N68" i="6"/>
  <c r="M68" i="6"/>
  <c r="L68" i="6"/>
  <c r="N70" i="6"/>
  <c r="N67" i="6"/>
  <c r="M70" i="6"/>
  <c r="M67" i="6"/>
  <c r="L70" i="6"/>
  <c r="L67" i="6"/>
  <c r="T30" i="20"/>
  <c r="T31" i="20"/>
  <c r="T32" i="20"/>
  <c r="T33" i="20"/>
  <c r="T34" i="20"/>
  <c r="T35" i="20"/>
  <c r="T36" i="20"/>
  <c r="T37" i="20"/>
  <c r="T38" i="20"/>
  <c r="T39" i="20"/>
  <c r="T40" i="20"/>
  <c r="T20" i="20"/>
  <c r="T21" i="20"/>
  <c r="T22" i="20"/>
  <c r="T23" i="20"/>
  <c r="T24" i="20"/>
  <c r="T25" i="20"/>
  <c r="T26" i="20"/>
  <c r="T27" i="20"/>
  <c r="T28" i="20"/>
  <c r="T29" i="20"/>
  <c r="T9" i="20"/>
  <c r="T10" i="20"/>
  <c r="T11" i="20"/>
  <c r="T12" i="20"/>
  <c r="T13" i="20"/>
  <c r="T14" i="20"/>
  <c r="T15" i="20"/>
  <c r="T16" i="20"/>
  <c r="T17" i="20"/>
  <c r="T18" i="20"/>
  <c r="T19" i="20"/>
  <c r="T8" i="20"/>
  <c r="P81" i="6" l="1"/>
  <c r="P85" i="6"/>
  <c r="P83" i="6"/>
  <c r="P72" i="6"/>
  <c r="P67" i="6"/>
  <c r="P28" i="6"/>
  <c r="P33" i="6"/>
  <c r="P70" i="6"/>
  <c r="P25" i="6"/>
  <c r="P68" i="6"/>
  <c r="P27" i="6"/>
  <c r="H28" i="13" l="1"/>
  <c r="K31" i="14"/>
  <c r="K30" i="14"/>
  <c r="H26" i="13"/>
  <c r="K26" i="14"/>
  <c r="H25" i="13"/>
  <c r="C12" i="13"/>
  <c r="T42" i="20" l="1"/>
  <c r="T43" i="20" s="1"/>
  <c r="R182" i="7" l="1"/>
  <c r="R184" i="7"/>
  <c r="R186" i="7"/>
  <c r="R188" i="7"/>
  <c r="R190" i="7"/>
  <c r="R192" i="7"/>
  <c r="R194" i="7"/>
  <c r="R196" i="7"/>
  <c r="R198" i="7"/>
  <c r="R200" i="7"/>
  <c r="R202" i="7"/>
  <c r="R204" i="7"/>
  <c r="R206" i="7"/>
  <c r="R208" i="7"/>
  <c r="R210" i="7"/>
  <c r="R212" i="7"/>
  <c r="M13" i="9"/>
  <c r="M12" i="9"/>
  <c r="P12" i="9" s="1"/>
  <c r="M11" i="9"/>
  <c r="P11" i="9" s="1"/>
  <c r="M132" i="9" l="1"/>
  <c r="M128" i="9"/>
  <c r="M124" i="9"/>
  <c r="M120" i="9"/>
  <c r="M116" i="9"/>
  <c r="M112" i="9"/>
  <c r="M108" i="9"/>
  <c r="M104" i="9"/>
  <c r="M118" i="9"/>
  <c r="M110" i="9"/>
  <c r="M131" i="9"/>
  <c r="M127" i="9"/>
  <c r="M123" i="9"/>
  <c r="M119" i="9"/>
  <c r="M115" i="9"/>
  <c r="M111" i="9"/>
  <c r="M107" i="9"/>
  <c r="M103" i="9"/>
  <c r="M134" i="9"/>
  <c r="M122" i="9"/>
  <c r="M102" i="9"/>
  <c r="M133" i="9"/>
  <c r="M129" i="9"/>
  <c r="M125" i="9"/>
  <c r="M121" i="9"/>
  <c r="M117" i="9"/>
  <c r="M113" i="9"/>
  <c r="M109" i="9"/>
  <c r="M105" i="9"/>
  <c r="M130" i="9"/>
  <c r="M126" i="9"/>
  <c r="M114" i="9"/>
  <c r="M106" i="9"/>
  <c r="Y8" i="20"/>
  <c r="Q215" i="7"/>
  <c r="R211" i="7"/>
  <c r="R207" i="7"/>
  <c r="R203" i="7"/>
  <c r="R199" i="7"/>
  <c r="R195" i="7"/>
  <c r="R191" i="7"/>
  <c r="R187" i="7"/>
  <c r="R183" i="7"/>
  <c r="R181" i="7"/>
  <c r="R213" i="7"/>
  <c r="R209" i="7"/>
  <c r="R205" i="7"/>
  <c r="R201" i="7"/>
  <c r="R197" i="7"/>
  <c r="R193" i="7"/>
  <c r="R189" i="7"/>
  <c r="R185" i="7"/>
  <c r="P215" i="7"/>
  <c r="D65" i="18"/>
  <c r="E65" i="18"/>
  <c r="F65" i="18"/>
  <c r="G65" i="18"/>
  <c r="H65" i="18"/>
  <c r="I65" i="18"/>
  <c r="J65" i="18"/>
  <c r="K65" i="18"/>
  <c r="L65" i="18"/>
  <c r="M65" i="18"/>
  <c r="N65" i="18"/>
  <c r="O65" i="18"/>
  <c r="P65" i="18"/>
  <c r="Q65" i="18"/>
  <c r="R65" i="18"/>
  <c r="S65" i="18"/>
  <c r="T65" i="18"/>
  <c r="U65" i="18"/>
  <c r="C65" i="18"/>
  <c r="R215" i="7" l="1"/>
  <c r="P208" i="21"/>
  <c r="Q208" i="21"/>
  <c r="R208" i="21"/>
  <c r="S208" i="21"/>
  <c r="T208" i="21"/>
  <c r="U208" i="21"/>
  <c r="V208" i="21"/>
  <c r="W208" i="21"/>
  <c r="X208" i="21"/>
  <c r="Y208" i="21"/>
  <c r="Z208" i="21"/>
  <c r="AA208" i="21"/>
  <c r="AB208" i="21"/>
  <c r="AC208" i="21"/>
  <c r="AD208" i="21"/>
  <c r="AE208" i="21"/>
  <c r="AF208" i="21"/>
  <c r="AG208" i="21"/>
  <c r="AH208" i="21"/>
  <c r="P209" i="21"/>
  <c r="Q209" i="21"/>
  <c r="R209" i="21"/>
  <c r="S209" i="21"/>
  <c r="T209" i="21"/>
  <c r="U209" i="21"/>
  <c r="V209" i="21"/>
  <c r="W209" i="21"/>
  <c r="X209" i="21"/>
  <c r="Y209" i="21"/>
  <c r="Z209" i="21"/>
  <c r="AA209" i="21"/>
  <c r="AB209" i="21"/>
  <c r="AC209" i="21"/>
  <c r="AD209" i="21"/>
  <c r="AE209" i="21"/>
  <c r="AF209" i="21"/>
  <c r="AG209" i="21"/>
  <c r="P210" i="21"/>
  <c r="Q210" i="21"/>
  <c r="R210" i="21"/>
  <c r="S210" i="21"/>
  <c r="T210" i="21"/>
  <c r="U210" i="21"/>
  <c r="V210" i="21"/>
  <c r="W210" i="21"/>
  <c r="X210" i="21"/>
  <c r="Y210" i="21"/>
  <c r="Z210" i="21"/>
  <c r="AA210" i="21"/>
  <c r="AB210" i="21"/>
  <c r="AC210" i="21"/>
  <c r="AD210" i="21"/>
  <c r="AE210" i="21"/>
  <c r="AF210" i="21"/>
  <c r="AG210" i="21"/>
  <c r="P207" i="21"/>
  <c r="Q207" i="21"/>
  <c r="R207" i="21"/>
  <c r="S207" i="21"/>
  <c r="T207" i="21"/>
  <c r="U207" i="21"/>
  <c r="V207" i="21"/>
  <c r="W207" i="21"/>
  <c r="X207" i="21"/>
  <c r="Y207" i="21"/>
  <c r="Z207" i="21"/>
  <c r="AA207" i="21"/>
  <c r="AB207" i="21"/>
  <c r="AC207" i="21"/>
  <c r="AD207" i="21"/>
  <c r="AE207" i="21"/>
  <c r="AF207" i="21"/>
  <c r="AG207" i="21"/>
  <c r="AH207" i="21"/>
  <c r="O207" i="21"/>
  <c r="N208" i="21"/>
  <c r="N209" i="21"/>
  <c r="N210" i="21"/>
  <c r="N207" i="21"/>
  <c r="O191" i="21"/>
  <c r="P191" i="21"/>
  <c r="Q191" i="21"/>
  <c r="R191" i="21"/>
  <c r="S191" i="21"/>
  <c r="T191" i="21"/>
  <c r="U191" i="21"/>
  <c r="V191" i="21"/>
  <c r="W191" i="21"/>
  <c r="X191" i="21"/>
  <c r="Y191" i="21"/>
  <c r="Z191" i="21"/>
  <c r="AA191" i="21"/>
  <c r="AB191" i="21"/>
  <c r="AC191" i="21"/>
  <c r="AD191" i="21"/>
  <c r="AE191" i="21"/>
  <c r="AF191" i="21"/>
  <c r="AG191" i="21"/>
  <c r="AH191" i="21"/>
  <c r="O192" i="21"/>
  <c r="P192" i="21"/>
  <c r="Q192" i="21"/>
  <c r="R192" i="21"/>
  <c r="S192" i="21"/>
  <c r="T192" i="21"/>
  <c r="U192" i="21"/>
  <c r="V192" i="21"/>
  <c r="W192" i="21"/>
  <c r="X192" i="21"/>
  <c r="Y192" i="21"/>
  <c r="Z192" i="21"/>
  <c r="AA192" i="21"/>
  <c r="AB192" i="21"/>
  <c r="AC192" i="21"/>
  <c r="AD192" i="21"/>
  <c r="AE192" i="21"/>
  <c r="AF192" i="21"/>
  <c r="AG192" i="21"/>
  <c r="AH192" i="21"/>
  <c r="O193" i="21"/>
  <c r="P193" i="21"/>
  <c r="Q193" i="21"/>
  <c r="R193" i="21"/>
  <c r="S193" i="21"/>
  <c r="T193" i="21"/>
  <c r="U193" i="21"/>
  <c r="V193" i="21"/>
  <c r="W193" i="21"/>
  <c r="X193" i="21"/>
  <c r="Y193" i="21"/>
  <c r="Z193" i="21"/>
  <c r="AA193" i="21"/>
  <c r="AB193" i="21"/>
  <c r="AC193" i="21"/>
  <c r="AD193" i="21"/>
  <c r="AE193" i="21"/>
  <c r="AF193" i="21"/>
  <c r="AG193" i="21"/>
  <c r="AH193" i="21"/>
  <c r="O194" i="21"/>
  <c r="P194" i="21"/>
  <c r="Q194" i="21"/>
  <c r="R194" i="21"/>
  <c r="S194" i="21"/>
  <c r="T194" i="21"/>
  <c r="U194" i="21"/>
  <c r="V194" i="21"/>
  <c r="W194" i="21"/>
  <c r="X194" i="21"/>
  <c r="Y194" i="21"/>
  <c r="Z194" i="21"/>
  <c r="AA194" i="21"/>
  <c r="AB194" i="21"/>
  <c r="AC194" i="21"/>
  <c r="AD194" i="21"/>
  <c r="AE194" i="21"/>
  <c r="AF194" i="21"/>
  <c r="AG194" i="21"/>
  <c r="AH194" i="21"/>
  <c r="P190" i="21"/>
  <c r="Q190" i="21"/>
  <c r="R190" i="21"/>
  <c r="S190" i="21"/>
  <c r="T190" i="21"/>
  <c r="U190" i="21"/>
  <c r="V190" i="21"/>
  <c r="W190" i="21"/>
  <c r="X190" i="21"/>
  <c r="Y190" i="21"/>
  <c r="Z190" i="21"/>
  <c r="AA190" i="21"/>
  <c r="AB190" i="21"/>
  <c r="AC190" i="21"/>
  <c r="AD190" i="21"/>
  <c r="AE190" i="21"/>
  <c r="AF190" i="21"/>
  <c r="AG190" i="21"/>
  <c r="AH190" i="21"/>
  <c r="O190" i="21"/>
  <c r="N192" i="21"/>
  <c r="N193" i="21"/>
  <c r="N194" i="21"/>
  <c r="N191" i="21"/>
  <c r="N190" i="21"/>
  <c r="O175" i="21"/>
  <c r="P175" i="21"/>
  <c r="Q175" i="21"/>
  <c r="R175" i="21"/>
  <c r="S175" i="21"/>
  <c r="T175" i="21"/>
  <c r="U175" i="21"/>
  <c r="V175" i="21"/>
  <c r="W175" i="21"/>
  <c r="X175" i="21"/>
  <c r="Y175" i="21"/>
  <c r="Z175" i="21"/>
  <c r="AA175" i="21"/>
  <c r="AB175" i="21"/>
  <c r="AC175" i="21"/>
  <c r="AD175" i="21"/>
  <c r="AE175" i="21"/>
  <c r="AF175" i="21"/>
  <c r="AG175" i="21"/>
  <c r="AH175" i="21"/>
  <c r="O176" i="21"/>
  <c r="P176" i="21"/>
  <c r="Q176" i="21"/>
  <c r="R176" i="21"/>
  <c r="S176" i="21"/>
  <c r="T176" i="21"/>
  <c r="U176" i="21"/>
  <c r="V176" i="21"/>
  <c r="W176" i="21"/>
  <c r="X176" i="21"/>
  <c r="Y176" i="21"/>
  <c r="Z176" i="21"/>
  <c r="AA176" i="21"/>
  <c r="AB176" i="21"/>
  <c r="AC176" i="21"/>
  <c r="AD176" i="21"/>
  <c r="AE176" i="21"/>
  <c r="AF176" i="21"/>
  <c r="AG176" i="21"/>
  <c r="P174" i="21"/>
  <c r="Q174" i="21"/>
  <c r="R174" i="21"/>
  <c r="S174" i="21"/>
  <c r="T174" i="21"/>
  <c r="U174" i="21"/>
  <c r="V174" i="21"/>
  <c r="W174" i="21"/>
  <c r="X174" i="21"/>
  <c r="Y174" i="21"/>
  <c r="Z174" i="21"/>
  <c r="AA174" i="21"/>
  <c r="AB174" i="21"/>
  <c r="AC174" i="21"/>
  <c r="AD174" i="21"/>
  <c r="AE174" i="21"/>
  <c r="AF174" i="21"/>
  <c r="AG174" i="21"/>
  <c r="AH174" i="21"/>
  <c r="O174" i="21"/>
  <c r="N176" i="21"/>
  <c r="N175" i="21"/>
  <c r="N174" i="21"/>
  <c r="P158" i="21"/>
  <c r="Q158" i="21"/>
  <c r="S158" i="21"/>
  <c r="T158" i="21"/>
  <c r="U158" i="21"/>
  <c r="V158" i="21"/>
  <c r="X158" i="21"/>
  <c r="Z158" i="21"/>
  <c r="AA158" i="21"/>
  <c r="AB158" i="21"/>
  <c r="AC158" i="21"/>
  <c r="AD158" i="21"/>
  <c r="AE158" i="21"/>
  <c r="AF158" i="21"/>
  <c r="P159" i="21"/>
  <c r="Q159" i="21"/>
  <c r="S159" i="21"/>
  <c r="T159" i="21"/>
  <c r="U159" i="21"/>
  <c r="V159" i="21"/>
  <c r="X159" i="21"/>
  <c r="Z159" i="21"/>
  <c r="AA159" i="21"/>
  <c r="AB159" i="21"/>
  <c r="AC159" i="21"/>
  <c r="AD159" i="21"/>
  <c r="AE159" i="21"/>
  <c r="AF159" i="21"/>
  <c r="P160" i="21"/>
  <c r="Q160" i="21"/>
  <c r="R160" i="21"/>
  <c r="S160" i="21"/>
  <c r="T160" i="21"/>
  <c r="U160" i="21"/>
  <c r="V160" i="21"/>
  <c r="X160" i="21"/>
  <c r="Z160" i="21"/>
  <c r="AA160" i="21"/>
  <c r="AB160" i="21"/>
  <c r="AC160" i="21"/>
  <c r="AD160" i="21"/>
  <c r="AE160" i="21"/>
  <c r="AF160" i="21"/>
  <c r="P161" i="21"/>
  <c r="Q161" i="21"/>
  <c r="S161" i="21"/>
  <c r="T161" i="21"/>
  <c r="U161" i="21"/>
  <c r="V161" i="21"/>
  <c r="X161" i="21"/>
  <c r="Z161" i="21"/>
  <c r="AA161" i="21"/>
  <c r="AB161" i="21"/>
  <c r="AC161" i="21"/>
  <c r="AD161" i="21"/>
  <c r="AE161" i="21"/>
  <c r="AF161" i="21"/>
  <c r="P162" i="21"/>
  <c r="Q162" i="21"/>
  <c r="S162" i="21"/>
  <c r="T162" i="21"/>
  <c r="U162" i="21"/>
  <c r="V162" i="21"/>
  <c r="X162" i="21"/>
  <c r="Z162" i="21"/>
  <c r="AA162" i="21"/>
  <c r="AB162" i="21"/>
  <c r="AC162" i="21"/>
  <c r="AD162" i="21"/>
  <c r="AE162" i="21"/>
  <c r="AF162" i="21"/>
  <c r="P163" i="21"/>
  <c r="Q163" i="21"/>
  <c r="R163" i="21"/>
  <c r="S163" i="21"/>
  <c r="T163" i="21"/>
  <c r="U163" i="21"/>
  <c r="V163" i="21"/>
  <c r="W163" i="21"/>
  <c r="X163" i="21"/>
  <c r="Y163" i="21"/>
  <c r="Z163" i="21"/>
  <c r="AA163" i="21"/>
  <c r="AB163" i="21"/>
  <c r="AC163" i="21"/>
  <c r="AD163" i="21"/>
  <c r="AE163" i="21"/>
  <c r="AF163" i="21"/>
  <c r="AG163" i="21"/>
  <c r="P157" i="21"/>
  <c r="Q157" i="21"/>
  <c r="R157" i="21"/>
  <c r="S157" i="21"/>
  <c r="T157" i="21"/>
  <c r="U157" i="21"/>
  <c r="V157" i="21"/>
  <c r="W157" i="21"/>
  <c r="X157" i="21"/>
  <c r="Y157" i="21"/>
  <c r="Z157" i="21"/>
  <c r="AA157" i="21"/>
  <c r="AB157" i="21"/>
  <c r="AC157" i="21"/>
  <c r="AD157" i="21"/>
  <c r="AE157" i="21"/>
  <c r="AF157" i="21"/>
  <c r="AG157" i="21"/>
  <c r="AH157" i="21"/>
  <c r="N159" i="21"/>
  <c r="N160" i="21"/>
  <c r="N161" i="21"/>
  <c r="N162" i="21"/>
  <c r="N163" i="21"/>
  <c r="N158" i="21"/>
  <c r="N157" i="21"/>
  <c r="O142" i="21"/>
  <c r="P142" i="21"/>
  <c r="Q142" i="21"/>
  <c r="S142" i="21"/>
  <c r="T142" i="21"/>
  <c r="U142" i="21"/>
  <c r="V142" i="21"/>
  <c r="W142" i="21"/>
  <c r="X142" i="21"/>
  <c r="Y142" i="21"/>
  <c r="Z142" i="21"/>
  <c r="AA142" i="21"/>
  <c r="AB142" i="21"/>
  <c r="AC142" i="21"/>
  <c r="AD142" i="21"/>
  <c r="AE142" i="21"/>
  <c r="AF142" i="21"/>
  <c r="O143" i="21"/>
  <c r="Z143" i="21"/>
  <c r="AA143" i="21"/>
  <c r="AB143" i="21"/>
  <c r="AC143" i="21"/>
  <c r="AD143" i="21"/>
  <c r="AE143" i="21"/>
  <c r="AF143" i="21"/>
  <c r="O144" i="21"/>
  <c r="P144" i="21"/>
  <c r="Q144" i="21"/>
  <c r="R144" i="21"/>
  <c r="S144" i="21"/>
  <c r="T144" i="21"/>
  <c r="U144" i="21"/>
  <c r="V144" i="21"/>
  <c r="W144" i="21"/>
  <c r="X144" i="21"/>
  <c r="Y144" i="21"/>
  <c r="Z144" i="21"/>
  <c r="AA144" i="21"/>
  <c r="AB144" i="21"/>
  <c r="AC144" i="21"/>
  <c r="AD144" i="21"/>
  <c r="AE144" i="21"/>
  <c r="AF144" i="21"/>
  <c r="O145" i="21"/>
  <c r="P145" i="21"/>
  <c r="Q145" i="21"/>
  <c r="R145" i="21"/>
  <c r="S145" i="21"/>
  <c r="T145" i="21"/>
  <c r="U145" i="21"/>
  <c r="V145" i="21"/>
  <c r="W145" i="21"/>
  <c r="X145" i="21"/>
  <c r="Y145" i="21"/>
  <c r="Z145" i="21"/>
  <c r="AA145" i="21"/>
  <c r="AB145" i="21"/>
  <c r="AC145" i="21"/>
  <c r="AD145" i="21"/>
  <c r="AE145" i="21"/>
  <c r="AF145" i="21"/>
  <c r="AG145" i="21"/>
  <c r="AH145" i="21"/>
  <c r="O146" i="21"/>
  <c r="P146" i="21"/>
  <c r="Q146" i="21"/>
  <c r="R146" i="21"/>
  <c r="S146" i="21"/>
  <c r="T146" i="21"/>
  <c r="U146" i="21"/>
  <c r="V146" i="21"/>
  <c r="W146" i="21"/>
  <c r="X146" i="21"/>
  <c r="Y146" i="21"/>
  <c r="Z146" i="21"/>
  <c r="AA146" i="21"/>
  <c r="AB146" i="21"/>
  <c r="AC146" i="21"/>
  <c r="AD146" i="21"/>
  <c r="AE146" i="21"/>
  <c r="AF146" i="21"/>
  <c r="O147" i="21"/>
  <c r="P147" i="21"/>
  <c r="Q147" i="21"/>
  <c r="R147" i="21"/>
  <c r="S147" i="21"/>
  <c r="T147" i="21"/>
  <c r="U147" i="21"/>
  <c r="V147" i="21"/>
  <c r="W147" i="21"/>
  <c r="X147" i="21"/>
  <c r="Y147" i="21"/>
  <c r="Z147" i="21"/>
  <c r="AA147" i="21"/>
  <c r="AB147" i="21"/>
  <c r="AC147" i="21"/>
  <c r="AD147" i="21"/>
  <c r="AE147" i="21"/>
  <c r="AF147" i="21"/>
  <c r="O148" i="21"/>
  <c r="P148" i="21"/>
  <c r="Q148" i="21"/>
  <c r="R148" i="21"/>
  <c r="S148" i="21"/>
  <c r="T148" i="21"/>
  <c r="U148" i="21"/>
  <c r="V148" i="21"/>
  <c r="W148" i="21"/>
  <c r="X148" i="21"/>
  <c r="Y148" i="21"/>
  <c r="Z148" i="21"/>
  <c r="AA148" i="21"/>
  <c r="AB148" i="21"/>
  <c r="AC148" i="21"/>
  <c r="AD148" i="21"/>
  <c r="AE148" i="21"/>
  <c r="AF148" i="21"/>
  <c r="P141" i="21"/>
  <c r="Q141" i="21"/>
  <c r="R141" i="21"/>
  <c r="S141" i="21"/>
  <c r="T141" i="21"/>
  <c r="U141" i="21"/>
  <c r="V141" i="21"/>
  <c r="W141" i="21"/>
  <c r="X141" i="21"/>
  <c r="Y141" i="21"/>
  <c r="Z141" i="21"/>
  <c r="AA141" i="21"/>
  <c r="AB141" i="21"/>
  <c r="AC141" i="21"/>
  <c r="AD141" i="21"/>
  <c r="AE141" i="21"/>
  <c r="AF141" i="21"/>
  <c r="AG141" i="21"/>
  <c r="AH141" i="21"/>
  <c r="O141" i="21"/>
  <c r="N147" i="21"/>
  <c r="N148" i="21"/>
  <c r="N143" i="21"/>
  <c r="N144" i="21"/>
  <c r="N145" i="21"/>
  <c r="N146" i="21"/>
  <c r="N142" i="21"/>
  <c r="N141" i="21"/>
  <c r="O128" i="21"/>
  <c r="P128" i="21"/>
  <c r="Q128" i="21"/>
  <c r="S128" i="21"/>
  <c r="T128" i="21"/>
  <c r="U128" i="21"/>
  <c r="V128" i="21"/>
  <c r="W128" i="21"/>
  <c r="X128" i="21"/>
  <c r="Y128" i="21"/>
  <c r="Z128" i="21"/>
  <c r="AA128" i="21"/>
  <c r="AB128" i="21"/>
  <c r="AC128" i="21"/>
  <c r="AD128" i="21"/>
  <c r="AE128" i="21"/>
  <c r="AF128" i="21"/>
  <c r="O129" i="21"/>
  <c r="P129" i="21"/>
  <c r="Q129" i="21"/>
  <c r="R129" i="21"/>
  <c r="S129" i="21"/>
  <c r="T129" i="21"/>
  <c r="U129" i="21"/>
  <c r="V129" i="21"/>
  <c r="W129" i="21"/>
  <c r="X129" i="21"/>
  <c r="Y129" i="21"/>
  <c r="Z129" i="21"/>
  <c r="AA129" i="21"/>
  <c r="AB129" i="21"/>
  <c r="AC129" i="21"/>
  <c r="AD129" i="21"/>
  <c r="AE129" i="21"/>
  <c r="AF129" i="21"/>
  <c r="AG129" i="21"/>
  <c r="AH129" i="21"/>
  <c r="O130" i="21"/>
  <c r="P130" i="21"/>
  <c r="Q130" i="21"/>
  <c r="R130" i="21"/>
  <c r="S130" i="21"/>
  <c r="T130" i="21"/>
  <c r="U130" i="21"/>
  <c r="V130" i="21"/>
  <c r="W130" i="21"/>
  <c r="X130" i="21"/>
  <c r="Y130" i="21"/>
  <c r="Z130" i="21"/>
  <c r="AA130" i="21"/>
  <c r="AB130" i="21"/>
  <c r="AC130" i="21"/>
  <c r="AD130" i="21"/>
  <c r="AE130" i="21"/>
  <c r="AF130" i="21"/>
  <c r="O131" i="21"/>
  <c r="P131" i="21"/>
  <c r="Q131" i="21"/>
  <c r="R131" i="21"/>
  <c r="S131" i="21"/>
  <c r="T131" i="21"/>
  <c r="U131" i="21"/>
  <c r="V131" i="21"/>
  <c r="W131" i="21"/>
  <c r="X131" i="21"/>
  <c r="Y131" i="21"/>
  <c r="Z131" i="21"/>
  <c r="AA131" i="21"/>
  <c r="AB131" i="21"/>
  <c r="AC131" i="21"/>
  <c r="AD131" i="21"/>
  <c r="AE131" i="21"/>
  <c r="AF131" i="21"/>
  <c r="O127" i="21"/>
  <c r="P127" i="21"/>
  <c r="Q127" i="21"/>
  <c r="S127" i="21"/>
  <c r="T127" i="21"/>
  <c r="U127" i="21"/>
  <c r="V127" i="21"/>
  <c r="W127" i="21"/>
  <c r="X127" i="21"/>
  <c r="Y127" i="21"/>
  <c r="Z127" i="21"/>
  <c r="AA127" i="21"/>
  <c r="AB127" i="21"/>
  <c r="AC127" i="21"/>
  <c r="AD127" i="21"/>
  <c r="AE127" i="21"/>
  <c r="AF127" i="21"/>
  <c r="P126" i="21"/>
  <c r="Q126" i="21"/>
  <c r="R126" i="21"/>
  <c r="S126" i="21"/>
  <c r="T126" i="21"/>
  <c r="U126" i="21"/>
  <c r="V126" i="21"/>
  <c r="W126" i="21"/>
  <c r="X126" i="21"/>
  <c r="Y126" i="21"/>
  <c r="Z126" i="21"/>
  <c r="AA126" i="21"/>
  <c r="AB126" i="21"/>
  <c r="AC126" i="21"/>
  <c r="AD126" i="21"/>
  <c r="AE126" i="21"/>
  <c r="AF126" i="21"/>
  <c r="AG126" i="21"/>
  <c r="AH126" i="21"/>
  <c r="O126" i="21"/>
  <c r="N131" i="21"/>
  <c r="N129" i="21"/>
  <c r="N128" i="21"/>
  <c r="N130" i="21"/>
  <c r="N127" i="21"/>
  <c r="N126" i="21"/>
  <c r="Z116" i="21" l="1"/>
  <c r="AA116" i="21"/>
  <c r="AB116" i="21"/>
  <c r="AC116" i="21"/>
  <c r="AD116" i="21"/>
  <c r="AE116" i="21"/>
  <c r="AF116" i="21"/>
  <c r="P119" i="21"/>
  <c r="Q119" i="21"/>
  <c r="R119" i="21"/>
  <c r="S119" i="21"/>
  <c r="T119" i="21"/>
  <c r="U119" i="21"/>
  <c r="V119" i="21"/>
  <c r="W119" i="21"/>
  <c r="X119" i="21"/>
  <c r="Y119" i="21"/>
  <c r="Z119" i="21"/>
  <c r="AA119" i="21"/>
  <c r="AB119" i="21"/>
  <c r="AC119" i="21"/>
  <c r="AD119" i="21"/>
  <c r="AE119" i="21"/>
  <c r="AF119" i="21"/>
  <c r="AG119" i="21"/>
  <c r="O119" i="21"/>
  <c r="O247" i="21" s="1"/>
  <c r="P113" i="21"/>
  <c r="Q113" i="21"/>
  <c r="R113" i="21"/>
  <c r="S113" i="21"/>
  <c r="T113" i="21"/>
  <c r="U113" i="21"/>
  <c r="V113" i="21"/>
  <c r="W113" i="21"/>
  <c r="X113" i="21"/>
  <c r="Y113" i="21"/>
  <c r="Z113" i="21"/>
  <c r="AA113" i="21"/>
  <c r="AB113" i="21"/>
  <c r="AC113" i="21"/>
  <c r="AD113" i="21"/>
  <c r="AE113" i="21"/>
  <c r="AF113" i="21"/>
  <c r="AG113" i="21"/>
  <c r="AH113" i="21"/>
  <c r="O113" i="21"/>
  <c r="O99" i="21"/>
  <c r="N99" i="21"/>
  <c r="N100" i="21"/>
  <c r="N101" i="21"/>
  <c r="N98" i="21"/>
  <c r="O85" i="21"/>
  <c r="O86" i="21"/>
  <c r="O87" i="21"/>
  <c r="O84" i="21"/>
  <c r="N84" i="21"/>
  <c r="N85" i="21"/>
  <c r="N86" i="21"/>
  <c r="N87" i="21"/>
  <c r="N83" i="21"/>
  <c r="N48" i="21"/>
  <c r="N49" i="21"/>
  <c r="N50" i="21"/>
  <c r="N51" i="21"/>
  <c r="N52" i="21"/>
  <c r="N47" i="21"/>
  <c r="N46" i="21"/>
  <c r="N38" i="21"/>
  <c r="N37" i="21"/>
  <c r="N34" i="21"/>
  <c r="N35" i="21"/>
  <c r="N36" i="21"/>
  <c r="N33" i="21"/>
  <c r="N25" i="21"/>
  <c r="N24" i="21"/>
  <c r="N65" i="21"/>
  <c r="N66" i="21"/>
  <c r="N67" i="21"/>
  <c r="N22" i="21"/>
  <c r="N23" i="21"/>
  <c r="N21" i="21"/>
  <c r="P31" i="10" l="1"/>
  <c r="P32" i="10"/>
  <c r="P33" i="10"/>
  <c r="P34" i="10"/>
  <c r="P35" i="10"/>
  <c r="P36" i="10"/>
  <c r="P37" i="10"/>
  <c r="P38" i="10"/>
  <c r="P39" i="10"/>
  <c r="P40" i="10"/>
  <c r="P41" i="10"/>
  <c r="P42" i="10"/>
  <c r="P43" i="10"/>
  <c r="P44" i="10"/>
  <c r="P30" i="10"/>
  <c r="P29" i="10"/>
  <c r="M15" i="9"/>
  <c r="M16" i="9"/>
  <c r="P16" i="9" s="1"/>
  <c r="J43" i="14"/>
  <c r="N13" i="9"/>
  <c r="N14" i="9"/>
  <c r="M14" i="9"/>
  <c r="P51" i="10"/>
  <c r="J50" i="14" l="1"/>
  <c r="J40" i="13"/>
  <c r="P14" i="9"/>
  <c r="L44" i="14" s="1"/>
  <c r="P15" i="9"/>
  <c r="P13" i="9"/>
  <c r="J38" i="13" l="1"/>
  <c r="N131" i="9"/>
  <c r="N127" i="9"/>
  <c r="N123" i="9"/>
  <c r="N119" i="9"/>
  <c r="N115" i="9"/>
  <c r="N111" i="9"/>
  <c r="N107" i="9"/>
  <c r="N103" i="9"/>
  <c r="N125" i="9"/>
  <c r="N121" i="9"/>
  <c r="N134" i="9"/>
  <c r="N130" i="9"/>
  <c r="N126" i="9"/>
  <c r="N122" i="9"/>
  <c r="N118" i="9"/>
  <c r="N114" i="9"/>
  <c r="N110" i="9"/>
  <c r="N106" i="9"/>
  <c r="N102" i="9"/>
  <c r="N129" i="9"/>
  <c r="N113" i="9"/>
  <c r="N105" i="9"/>
  <c r="N132" i="9"/>
  <c r="N128" i="9"/>
  <c r="N124" i="9"/>
  <c r="N120" i="9"/>
  <c r="N116" i="9"/>
  <c r="N112" i="9"/>
  <c r="N108" i="9"/>
  <c r="N104" i="9"/>
  <c r="N133" i="9"/>
  <c r="N117" i="9"/>
  <c r="N109" i="9"/>
  <c r="P134" i="9"/>
  <c r="P130" i="9"/>
  <c r="P126" i="9"/>
  <c r="P122" i="9"/>
  <c r="P118" i="9"/>
  <c r="P114" i="9"/>
  <c r="P110" i="9"/>
  <c r="P106" i="9"/>
  <c r="P104" i="9"/>
  <c r="P133" i="9"/>
  <c r="P129" i="9"/>
  <c r="P125" i="9"/>
  <c r="P121" i="9"/>
  <c r="P117" i="9"/>
  <c r="P113" i="9"/>
  <c r="P109" i="9"/>
  <c r="P105" i="9"/>
  <c r="P132" i="9"/>
  <c r="P124" i="9"/>
  <c r="P116" i="9"/>
  <c r="P108" i="9"/>
  <c r="F40" i="13"/>
  <c r="P131" i="9"/>
  <c r="P127" i="9"/>
  <c r="P123" i="9"/>
  <c r="P119" i="9"/>
  <c r="P115" i="9"/>
  <c r="P111" i="9"/>
  <c r="P107" i="9"/>
  <c r="P103" i="9"/>
  <c r="P102" i="9"/>
  <c r="P128" i="9"/>
  <c r="P120" i="9"/>
  <c r="P112" i="9"/>
  <c r="F38" i="13"/>
  <c r="V64" i="18"/>
  <c r="L46" i="14"/>
  <c r="J46" i="14"/>
  <c r="V63" i="18"/>
  <c r="J44" i="14"/>
  <c r="AH209" i="21" l="1"/>
  <c r="O100" i="21"/>
  <c r="AH210" i="21"/>
  <c r="O101" i="21"/>
  <c r="V65" i="18"/>
  <c r="AH119" i="21" s="1"/>
  <c r="P247" i="21" s="1"/>
  <c r="D58" i="18"/>
  <c r="P118" i="21" s="1"/>
  <c r="E58" i="18"/>
  <c r="F58" i="18"/>
  <c r="G58" i="18"/>
  <c r="S118" i="21" s="1"/>
  <c r="H58" i="18"/>
  <c r="T118" i="21" s="1"/>
  <c r="I58" i="18"/>
  <c r="U118" i="21" s="1"/>
  <c r="J58" i="18"/>
  <c r="K58" i="18"/>
  <c r="W118" i="21" s="1"/>
  <c r="L58" i="18"/>
  <c r="X118" i="21" s="1"/>
  <c r="M58" i="18"/>
  <c r="Y118" i="21" s="1"/>
  <c r="N58" i="18"/>
  <c r="O58" i="18"/>
  <c r="AA118" i="21" s="1"/>
  <c r="P58" i="18"/>
  <c r="Q58" i="18"/>
  <c r="AC118" i="21" s="1"/>
  <c r="R58" i="18"/>
  <c r="S58" i="18"/>
  <c r="AE118" i="21" s="1"/>
  <c r="T58" i="18"/>
  <c r="U58" i="18"/>
  <c r="V58" i="18"/>
  <c r="P246" i="21" s="1"/>
  <c r="C58" i="18"/>
  <c r="O118" i="21" l="1"/>
  <c r="O246" i="21"/>
  <c r="O16" i="21"/>
  <c r="P60" i="18"/>
  <c r="AB118" i="21"/>
  <c r="AH118" i="21"/>
  <c r="O15" i="21"/>
  <c r="R60" i="18"/>
  <c r="AD118" i="21"/>
  <c r="J60" i="18"/>
  <c r="V118" i="21"/>
  <c r="U60" i="18"/>
  <c r="AG118" i="21"/>
  <c r="E60" i="18"/>
  <c r="Q118" i="21"/>
  <c r="T60" i="18"/>
  <c r="AF118" i="21"/>
  <c r="N60" i="18"/>
  <c r="Z118" i="21"/>
  <c r="F60" i="18"/>
  <c r="R118" i="21"/>
  <c r="L60" i="18"/>
  <c r="H60" i="18"/>
  <c r="S60" i="18"/>
  <c r="O60" i="18"/>
  <c r="K60" i="18"/>
  <c r="G60" i="18"/>
  <c r="Q60" i="18"/>
  <c r="M60" i="18"/>
  <c r="I60" i="18"/>
  <c r="V60" i="18"/>
  <c r="N64" i="10"/>
  <c r="P64" i="10" s="1"/>
  <c r="N63" i="10"/>
  <c r="P63" i="10" s="1"/>
  <c r="N62" i="10"/>
  <c r="P62" i="10" s="1"/>
  <c r="N61" i="10"/>
  <c r="P61" i="10" s="1"/>
  <c r="N60" i="10"/>
  <c r="P60" i="10" s="1"/>
  <c r="N59" i="10"/>
  <c r="P59" i="10" s="1"/>
  <c r="N58" i="10"/>
  <c r="P58" i="10" s="1"/>
  <c r="N22" i="10"/>
  <c r="N21" i="10"/>
  <c r="N20" i="10"/>
  <c r="N19" i="10"/>
  <c r="N18" i="10"/>
  <c r="N17" i="10"/>
  <c r="M22" i="10"/>
  <c r="M21" i="10"/>
  <c r="M20" i="10"/>
  <c r="M19" i="10"/>
  <c r="M18" i="10"/>
  <c r="M17" i="10"/>
  <c r="M16" i="10"/>
  <c r="P16" i="10" s="1"/>
  <c r="M15" i="10"/>
  <c r="P15" i="10" s="1"/>
  <c r="M14" i="10"/>
  <c r="P14" i="10" s="1"/>
  <c r="M13" i="10"/>
  <c r="P13" i="10" s="1"/>
  <c r="M12" i="10"/>
  <c r="P12" i="10" s="1"/>
  <c r="AA41" i="20" l="1"/>
  <c r="P19" i="10"/>
  <c r="P20" i="10"/>
  <c r="P18" i="10"/>
  <c r="P17" i="10"/>
  <c r="P21" i="10"/>
  <c r="P22" i="10"/>
  <c r="F45" i="13" s="1"/>
  <c r="F47" i="13"/>
  <c r="J59" i="14"/>
  <c r="J57" i="14" l="1"/>
  <c r="AA42" i="20"/>
  <c r="AA43" i="20" s="1"/>
  <c r="AE31" i="8"/>
  <c r="AE32" i="8"/>
  <c r="AE33" i="8"/>
  <c r="AE34" i="8"/>
  <c r="AE35" i="8"/>
  <c r="AE36" i="8"/>
  <c r="AE37" i="8"/>
  <c r="AE38" i="8"/>
  <c r="AE39" i="8"/>
  <c r="AE40" i="8"/>
  <c r="AE41" i="8"/>
  <c r="AE23" i="8"/>
  <c r="AE24" i="8"/>
  <c r="AE25" i="8"/>
  <c r="AE26" i="8"/>
  <c r="AE27" i="8"/>
  <c r="AE28" i="8"/>
  <c r="AE29" i="8"/>
  <c r="AE30" i="8"/>
  <c r="T31" i="8"/>
  <c r="T32" i="8"/>
  <c r="T33" i="8"/>
  <c r="T34" i="8"/>
  <c r="T35" i="8"/>
  <c r="T36" i="8"/>
  <c r="T37" i="8"/>
  <c r="T38" i="8"/>
  <c r="T39" i="8"/>
  <c r="T40" i="8"/>
  <c r="T41" i="8"/>
  <c r="T23" i="8"/>
  <c r="T24" i="8"/>
  <c r="T25" i="8"/>
  <c r="T26" i="8"/>
  <c r="T27" i="8"/>
  <c r="T28" i="8"/>
  <c r="AH28" i="8" s="1"/>
  <c r="T29" i="8"/>
  <c r="T30" i="8"/>
  <c r="AH30" i="8" s="1"/>
  <c r="AE22" i="8"/>
  <c r="T22" i="8"/>
  <c r="AH37" i="8" l="1"/>
  <c r="AH29" i="8"/>
  <c r="AH36" i="8"/>
  <c r="AH32" i="8"/>
  <c r="AH24" i="8"/>
  <c r="AH38" i="8"/>
  <c r="AH22" i="8"/>
  <c r="AH25" i="8"/>
  <c r="AH27" i="8"/>
  <c r="AH23" i="8"/>
  <c r="AH34" i="8"/>
  <c r="AH26" i="8"/>
  <c r="AH41" i="8"/>
  <c r="AH33" i="8"/>
  <c r="AH40" i="8"/>
  <c r="AH39" i="8"/>
  <c r="AH35" i="8"/>
  <c r="AH31" i="8"/>
  <c r="F43" i="13" l="1"/>
  <c r="F44" i="13" s="1"/>
  <c r="J54" i="14"/>
  <c r="Z41" i="20"/>
  <c r="V50" i="18"/>
  <c r="AH176" i="21" l="1"/>
  <c r="O67" i="21"/>
  <c r="Z42" i="20"/>
  <c r="G51" i="18"/>
  <c r="H51" i="18"/>
  <c r="I51" i="18"/>
  <c r="J51" i="18"/>
  <c r="K51" i="18"/>
  <c r="L51" i="18"/>
  <c r="M51" i="18"/>
  <c r="N51" i="18"/>
  <c r="N67" i="18" s="1"/>
  <c r="O51" i="18"/>
  <c r="O67" i="18" s="1"/>
  <c r="P51" i="18"/>
  <c r="P67" i="18" s="1"/>
  <c r="Q51" i="18"/>
  <c r="Q67" i="18" s="1"/>
  <c r="R51" i="18"/>
  <c r="R67" i="18" s="1"/>
  <c r="S51" i="18"/>
  <c r="S67" i="18" s="1"/>
  <c r="T51" i="18"/>
  <c r="U51" i="18"/>
  <c r="AG117" i="21" s="1"/>
  <c r="V51" i="18"/>
  <c r="C51" i="18"/>
  <c r="V42" i="20"/>
  <c r="V43" i="20" s="1"/>
  <c r="Y9" i="20"/>
  <c r="Y10" i="20"/>
  <c r="Y11" i="20"/>
  <c r="Y12" i="20"/>
  <c r="Y13" i="20"/>
  <c r="Y14" i="20"/>
  <c r="Y15" i="20"/>
  <c r="Y16" i="20"/>
  <c r="Y17" i="20"/>
  <c r="Y18" i="20"/>
  <c r="Y19" i="20"/>
  <c r="Y20" i="20"/>
  <c r="Y21" i="20"/>
  <c r="Y22" i="20"/>
  <c r="Y23" i="20"/>
  <c r="Y25" i="20"/>
  <c r="Y26" i="20"/>
  <c r="Y27" i="20"/>
  <c r="Y28" i="20"/>
  <c r="Y29" i="20"/>
  <c r="Y30" i="20"/>
  <c r="Y31" i="20"/>
  <c r="Y32" i="20"/>
  <c r="Y33" i="20"/>
  <c r="Y34" i="20"/>
  <c r="Y35" i="20"/>
  <c r="Y36" i="20"/>
  <c r="Y37" i="20"/>
  <c r="Y38" i="20"/>
  <c r="Y39" i="20"/>
  <c r="Y40" i="20"/>
  <c r="W42" i="20"/>
  <c r="W43" i="20" s="1"/>
  <c r="P61" i="7"/>
  <c r="O117" i="21" l="1"/>
  <c r="O245" i="21" s="1"/>
  <c r="D51" i="18"/>
  <c r="AE117" i="21"/>
  <c r="AE120" i="21" s="1"/>
  <c r="S73" i="18"/>
  <c r="AA117" i="21"/>
  <c r="AA120" i="21" s="1"/>
  <c r="O73" i="18"/>
  <c r="W117" i="21"/>
  <c r="V117" i="21"/>
  <c r="Y117" i="21"/>
  <c r="U117" i="21"/>
  <c r="AD117" i="21"/>
  <c r="AD120" i="21" s="1"/>
  <c r="R73" i="18"/>
  <c r="Z117" i="21"/>
  <c r="Z120" i="21" s="1"/>
  <c r="N73" i="18"/>
  <c r="AC117" i="21"/>
  <c r="AC120" i="21" s="1"/>
  <c r="Q73" i="18"/>
  <c r="AF117" i="21"/>
  <c r="AB117" i="21"/>
  <c r="AB120" i="21" s="1"/>
  <c r="P73" i="18"/>
  <c r="X117" i="21"/>
  <c r="T117" i="21"/>
  <c r="S117" i="21"/>
  <c r="Z43" i="20"/>
  <c r="AH117" i="21"/>
  <c r="P245" i="21" s="1"/>
  <c r="O14" i="21"/>
  <c r="E51" i="18" l="1"/>
  <c r="P117" i="21"/>
  <c r="W383" i="7"/>
  <c r="F51" i="18" l="1"/>
  <c r="R117" i="21" s="1"/>
  <c r="Q117" i="21"/>
  <c r="J9" i="19"/>
  <c r="J9" i="20" s="1"/>
  <c r="J10" i="19"/>
  <c r="J10" i="20" s="1"/>
  <c r="J11" i="19"/>
  <c r="J11" i="20" s="1"/>
  <c r="J12" i="19"/>
  <c r="J12" i="20" s="1"/>
  <c r="J13" i="19"/>
  <c r="J13" i="20" s="1"/>
  <c r="J14" i="19"/>
  <c r="J14" i="20" s="1"/>
  <c r="J15" i="19"/>
  <c r="J15" i="20" s="1"/>
  <c r="J16" i="19"/>
  <c r="J16" i="20" s="1"/>
  <c r="J17" i="19"/>
  <c r="J17" i="20" s="1"/>
  <c r="J18" i="19"/>
  <c r="J18" i="20" s="1"/>
  <c r="J19" i="19"/>
  <c r="J19" i="20" s="1"/>
  <c r="J20" i="19"/>
  <c r="J20" i="20" s="1"/>
  <c r="J21" i="19"/>
  <c r="J21" i="20" s="1"/>
  <c r="J22" i="19"/>
  <c r="J22" i="20" s="1"/>
  <c r="J23" i="19"/>
  <c r="J23" i="20" s="1"/>
  <c r="J24" i="19"/>
  <c r="J24" i="20" s="1"/>
  <c r="J25" i="19"/>
  <c r="J25" i="20" s="1"/>
  <c r="J26" i="19"/>
  <c r="J26" i="20" s="1"/>
  <c r="J27" i="19"/>
  <c r="J27" i="20" s="1"/>
  <c r="J28" i="19"/>
  <c r="J28" i="20" s="1"/>
  <c r="J29" i="19"/>
  <c r="J29" i="20" s="1"/>
  <c r="J30" i="19"/>
  <c r="J30" i="20" s="1"/>
  <c r="J31" i="19"/>
  <c r="J31" i="20" s="1"/>
  <c r="J32" i="19"/>
  <c r="J32" i="20" s="1"/>
  <c r="J33" i="19"/>
  <c r="J33" i="20" s="1"/>
  <c r="J34" i="19"/>
  <c r="J34" i="20" s="1"/>
  <c r="J35" i="19"/>
  <c r="J35" i="20" s="1"/>
  <c r="J36" i="19"/>
  <c r="J36" i="20" s="1"/>
  <c r="J37" i="19"/>
  <c r="J37" i="20" s="1"/>
  <c r="J38" i="19"/>
  <c r="J38" i="20" s="1"/>
  <c r="J39" i="19"/>
  <c r="J39" i="20" s="1"/>
  <c r="J40" i="19"/>
  <c r="J40" i="20" s="1"/>
  <c r="J8" i="19"/>
  <c r="J8" i="20" s="1"/>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9" i="19"/>
  <c r="H10" i="19"/>
  <c r="H11" i="19"/>
  <c r="H12" i="19"/>
  <c r="H8" i="19"/>
  <c r="D9" i="19"/>
  <c r="D9" i="20" s="1"/>
  <c r="D10" i="19"/>
  <c r="D10" i="20" s="1"/>
  <c r="D11" i="19"/>
  <c r="D11" i="20" s="1"/>
  <c r="D12" i="19"/>
  <c r="D12" i="20" s="1"/>
  <c r="D13" i="19"/>
  <c r="D13" i="20" s="1"/>
  <c r="D14" i="19"/>
  <c r="D14" i="20" s="1"/>
  <c r="D15" i="19"/>
  <c r="D15" i="20" s="1"/>
  <c r="D16" i="19"/>
  <c r="D16" i="20" s="1"/>
  <c r="D17" i="19"/>
  <c r="D17" i="20" s="1"/>
  <c r="D18" i="19"/>
  <c r="D18" i="20" s="1"/>
  <c r="D19" i="19"/>
  <c r="D19" i="20" s="1"/>
  <c r="D20" i="19"/>
  <c r="D20" i="20" s="1"/>
  <c r="D21" i="19"/>
  <c r="D21" i="20" s="1"/>
  <c r="D22" i="19"/>
  <c r="D22" i="20" s="1"/>
  <c r="D23" i="19"/>
  <c r="D23" i="20" s="1"/>
  <c r="D24" i="19"/>
  <c r="D24" i="20" s="1"/>
  <c r="D25" i="19"/>
  <c r="D25" i="20" s="1"/>
  <c r="D26" i="19"/>
  <c r="D26" i="20" s="1"/>
  <c r="D27" i="19"/>
  <c r="D27" i="20" s="1"/>
  <c r="D28" i="19"/>
  <c r="D28" i="20" s="1"/>
  <c r="D29" i="19"/>
  <c r="D29" i="20" s="1"/>
  <c r="D30" i="19"/>
  <c r="D30" i="20" s="1"/>
  <c r="D31" i="19"/>
  <c r="D31" i="20" s="1"/>
  <c r="D32" i="19"/>
  <c r="D32" i="20" s="1"/>
  <c r="D33" i="19"/>
  <c r="D33" i="20" s="1"/>
  <c r="D34" i="19"/>
  <c r="D34" i="20" s="1"/>
  <c r="D35" i="19"/>
  <c r="D35" i="20" s="1"/>
  <c r="D36" i="19"/>
  <c r="D36" i="20" s="1"/>
  <c r="D37" i="19"/>
  <c r="D37" i="20" s="1"/>
  <c r="D38" i="19"/>
  <c r="D38" i="20" s="1"/>
  <c r="D39" i="19"/>
  <c r="D39" i="20" s="1"/>
  <c r="D40" i="19"/>
  <c r="D40" i="20" s="1"/>
  <c r="D8" i="19"/>
  <c r="D8" i="20" s="1"/>
  <c r="C9" i="19"/>
  <c r="C9" i="20" s="1"/>
  <c r="C10" i="19"/>
  <c r="C10" i="20" s="1"/>
  <c r="C11" i="19"/>
  <c r="C11" i="20" s="1"/>
  <c r="C12" i="19"/>
  <c r="C12" i="20" s="1"/>
  <c r="C13" i="19"/>
  <c r="C13" i="20" s="1"/>
  <c r="C14" i="19"/>
  <c r="C14" i="20" s="1"/>
  <c r="C15" i="19"/>
  <c r="C15" i="20" s="1"/>
  <c r="C16" i="19"/>
  <c r="C16" i="20" s="1"/>
  <c r="C17" i="19"/>
  <c r="C17" i="20" s="1"/>
  <c r="C18" i="19"/>
  <c r="C18" i="20" s="1"/>
  <c r="C19" i="19"/>
  <c r="C19" i="20" s="1"/>
  <c r="C20" i="19"/>
  <c r="C20" i="20" s="1"/>
  <c r="C21" i="19"/>
  <c r="C21" i="20" s="1"/>
  <c r="C22" i="19"/>
  <c r="C22" i="20" s="1"/>
  <c r="C23" i="19"/>
  <c r="C23" i="20" s="1"/>
  <c r="C24" i="19"/>
  <c r="C24" i="20" s="1"/>
  <c r="C25" i="19"/>
  <c r="C25" i="20" s="1"/>
  <c r="C26" i="19"/>
  <c r="C26" i="20" s="1"/>
  <c r="C27" i="19"/>
  <c r="C27" i="20" s="1"/>
  <c r="C28" i="19"/>
  <c r="C28" i="20" s="1"/>
  <c r="C29" i="19"/>
  <c r="C29" i="20" s="1"/>
  <c r="C30" i="19"/>
  <c r="C30" i="20" s="1"/>
  <c r="C31" i="19"/>
  <c r="C31" i="20" s="1"/>
  <c r="C32" i="19"/>
  <c r="C32" i="20" s="1"/>
  <c r="C33" i="19"/>
  <c r="C33" i="20" s="1"/>
  <c r="C34" i="19"/>
  <c r="C34" i="20" s="1"/>
  <c r="C35" i="19"/>
  <c r="C35" i="20" s="1"/>
  <c r="C36" i="19"/>
  <c r="C36" i="20" s="1"/>
  <c r="C37" i="19"/>
  <c r="C37" i="20" s="1"/>
  <c r="C38" i="19"/>
  <c r="C38" i="20" s="1"/>
  <c r="C39" i="19"/>
  <c r="C39" i="20" s="1"/>
  <c r="C40" i="19"/>
  <c r="C40" i="20" s="1"/>
  <c r="C8" i="19"/>
  <c r="C8" i="20" s="1"/>
  <c r="H28" i="20" l="1"/>
  <c r="H24" i="20"/>
  <c r="H36" i="20"/>
  <c r="H11" i="20"/>
  <c r="H39" i="20"/>
  <c r="H35" i="20"/>
  <c r="H31" i="20"/>
  <c r="H27" i="20"/>
  <c r="H23" i="20"/>
  <c r="H19" i="20"/>
  <c r="H15" i="20"/>
  <c r="H32" i="20"/>
  <c r="H40" i="20"/>
  <c r="H10" i="20"/>
  <c r="H38" i="20"/>
  <c r="H34" i="20"/>
  <c r="H30" i="20"/>
  <c r="H26" i="20"/>
  <c r="H22" i="20"/>
  <c r="H18" i="20"/>
  <c r="H14" i="20"/>
  <c r="H20" i="20"/>
  <c r="H12" i="20"/>
  <c r="H8" i="20"/>
  <c r="H9" i="20"/>
  <c r="H37" i="20"/>
  <c r="H33" i="20"/>
  <c r="H29" i="20"/>
  <c r="H25" i="20"/>
  <c r="H21" i="20"/>
  <c r="H17" i="20"/>
  <c r="H13" i="20"/>
  <c r="H16" i="20"/>
  <c r="AO224" i="7" l="1"/>
  <c r="P23" i="7" l="1"/>
  <c r="P22" i="7"/>
  <c r="P21" i="7"/>
  <c r="P20" i="7"/>
  <c r="P19" i="7"/>
  <c r="P18" i="7"/>
  <c r="P17" i="7"/>
  <c r="P16" i="7"/>
  <c r="P15" i="7"/>
  <c r="P14" i="7"/>
  <c r="P13" i="7"/>
  <c r="N59" i="6"/>
  <c r="P59" i="6" s="1"/>
  <c r="P56" i="6"/>
  <c r="F31" i="13" l="1"/>
  <c r="J36" i="14"/>
  <c r="P79" i="6"/>
  <c r="AC383" i="7" l="1"/>
  <c r="AB383" i="7"/>
  <c r="H85" i="20"/>
  <c r="F85" i="20"/>
  <c r="D85" i="20"/>
  <c r="C85" i="20"/>
  <c r="AC7" i="20"/>
  <c r="S7" i="20"/>
  <c r="R7" i="20"/>
  <c r="M7" i="20"/>
  <c r="L7" i="20"/>
  <c r="K7" i="20"/>
  <c r="J7" i="20"/>
  <c r="I7" i="20"/>
  <c r="H7" i="20"/>
  <c r="F7" i="20"/>
  <c r="E7" i="20"/>
  <c r="D7" i="20"/>
  <c r="C7" i="20"/>
  <c r="N104" i="18"/>
  <c r="O104" i="18" s="1"/>
  <c r="L104" i="18"/>
  <c r="J104" i="18"/>
  <c r="I104" i="18"/>
  <c r="H104" i="18"/>
  <c r="G104" i="18"/>
  <c r="E104" i="18"/>
  <c r="D104" i="18"/>
  <c r="O103" i="18"/>
  <c r="M103" i="18"/>
  <c r="K103" i="18"/>
  <c r="F103" i="18"/>
  <c r="O102" i="18"/>
  <c r="M102" i="18"/>
  <c r="K102" i="18"/>
  <c r="F102" i="18"/>
  <c r="O101" i="18"/>
  <c r="O100" i="18"/>
  <c r="M100" i="18"/>
  <c r="K100" i="18"/>
  <c r="F100" i="18"/>
  <c r="O99" i="18"/>
  <c r="M99" i="18"/>
  <c r="K99" i="18"/>
  <c r="F99" i="18"/>
  <c r="O97" i="18"/>
  <c r="N97" i="18"/>
  <c r="L97" i="18"/>
  <c r="J97" i="18"/>
  <c r="I97" i="18"/>
  <c r="H97" i="18"/>
  <c r="G97" i="18"/>
  <c r="E97" i="18"/>
  <c r="D97" i="18"/>
  <c r="M96" i="18"/>
  <c r="K96" i="18"/>
  <c r="F96" i="18"/>
  <c r="M95" i="18"/>
  <c r="K95" i="18"/>
  <c r="F95" i="18"/>
  <c r="M94" i="18"/>
  <c r="K94" i="18"/>
  <c r="F94" i="18"/>
  <c r="M92" i="18"/>
  <c r="K92" i="18"/>
  <c r="F92" i="18"/>
  <c r="M91" i="18"/>
  <c r="K91" i="18"/>
  <c r="F91" i="18"/>
  <c r="O89" i="18"/>
  <c r="N89" i="18"/>
  <c r="L89" i="18"/>
  <c r="J89" i="18"/>
  <c r="I89" i="18"/>
  <c r="H89" i="18"/>
  <c r="G89" i="18"/>
  <c r="E89" i="18"/>
  <c r="D89" i="18"/>
  <c r="M88" i="18"/>
  <c r="K88" i="18"/>
  <c r="F88" i="18"/>
  <c r="M87" i="18"/>
  <c r="K87" i="18"/>
  <c r="F87" i="18"/>
  <c r="M86" i="18"/>
  <c r="K86" i="18"/>
  <c r="F86" i="18"/>
  <c r="U89" i="18"/>
  <c r="M85" i="18"/>
  <c r="K85" i="18"/>
  <c r="F85" i="18"/>
  <c r="L46" i="18"/>
  <c r="X116" i="21" s="1"/>
  <c r="J46" i="18"/>
  <c r="V116" i="21" s="1"/>
  <c r="I46" i="18"/>
  <c r="U116" i="21" s="1"/>
  <c r="H46" i="18"/>
  <c r="T116" i="21" s="1"/>
  <c r="G46" i="18"/>
  <c r="S116" i="21" s="1"/>
  <c r="E46" i="18"/>
  <c r="Q116" i="21" s="1"/>
  <c r="D46" i="18"/>
  <c r="C46" i="18"/>
  <c r="AG162" i="21"/>
  <c r="M44" i="18"/>
  <c r="Y162" i="21" s="1"/>
  <c r="K44" i="18"/>
  <c r="W162" i="21" s="1"/>
  <c r="F44" i="18"/>
  <c r="R162" i="21" s="1"/>
  <c r="AG161" i="21"/>
  <c r="M43" i="18"/>
  <c r="Y161" i="21" s="1"/>
  <c r="K43" i="18"/>
  <c r="W161" i="21" s="1"/>
  <c r="F43" i="18"/>
  <c r="R161" i="21" s="1"/>
  <c r="AG160" i="21"/>
  <c r="M42" i="18"/>
  <c r="Y160" i="21" s="1"/>
  <c r="K42" i="18"/>
  <c r="AG159" i="21"/>
  <c r="M41" i="18"/>
  <c r="Y159" i="21" s="1"/>
  <c r="K41" i="18"/>
  <c r="W159" i="21" s="1"/>
  <c r="F41" i="18"/>
  <c r="R159" i="21" s="1"/>
  <c r="AG158" i="21"/>
  <c r="M40" i="18"/>
  <c r="Y158" i="21" s="1"/>
  <c r="K40" i="18"/>
  <c r="W158" i="21" s="1"/>
  <c r="F40" i="18"/>
  <c r="R158" i="21" s="1"/>
  <c r="AG148" i="21"/>
  <c r="AG147" i="21"/>
  <c r="AG146" i="21"/>
  <c r="AG143" i="21"/>
  <c r="L28" i="18"/>
  <c r="J28" i="18"/>
  <c r="I28" i="18"/>
  <c r="H28" i="18"/>
  <c r="G28" i="18"/>
  <c r="E28" i="18"/>
  <c r="D28" i="18"/>
  <c r="F27" i="18"/>
  <c r="R142" i="21" s="1"/>
  <c r="T24" i="18"/>
  <c r="M24" i="18"/>
  <c r="L24" i="18"/>
  <c r="K24" i="18"/>
  <c r="J24" i="18"/>
  <c r="I24" i="18"/>
  <c r="H24" i="18"/>
  <c r="G24" i="18"/>
  <c r="E24" i="18"/>
  <c r="D24" i="18"/>
  <c r="AG131" i="21"/>
  <c r="AG130" i="21"/>
  <c r="AG128" i="21"/>
  <c r="F20" i="18"/>
  <c r="R128" i="21" s="1"/>
  <c r="AG127" i="21"/>
  <c r="F19" i="18"/>
  <c r="R127" i="21" s="1"/>
  <c r="U114" i="21" l="1"/>
  <c r="I38" i="18"/>
  <c r="S114" i="21"/>
  <c r="T114" i="21"/>
  <c r="T120" i="21" s="1"/>
  <c r="J67" i="18"/>
  <c r="V114" i="21"/>
  <c r="W114" i="21"/>
  <c r="X114" i="21"/>
  <c r="D67" i="18"/>
  <c r="P114" i="21"/>
  <c r="D38" i="18"/>
  <c r="Y114" i="21"/>
  <c r="Q114" i="21"/>
  <c r="Q120" i="21" s="1"/>
  <c r="T67" i="18"/>
  <c r="AF114" i="21"/>
  <c r="AF120" i="21" s="1"/>
  <c r="T38" i="18"/>
  <c r="C67" i="18"/>
  <c r="P116" i="21"/>
  <c r="T47" i="18"/>
  <c r="N47" i="18"/>
  <c r="O47" i="18"/>
  <c r="P47" i="18"/>
  <c r="R47" i="18"/>
  <c r="Q47" i="18"/>
  <c r="S47" i="18"/>
  <c r="V120" i="21"/>
  <c r="P120" i="21"/>
  <c r="U120" i="21"/>
  <c r="M28" i="18"/>
  <c r="Y143" i="21" s="1"/>
  <c r="F89" i="18"/>
  <c r="K89" i="18"/>
  <c r="M89" i="18"/>
  <c r="E105" i="18"/>
  <c r="J41" i="20"/>
  <c r="V93" i="18"/>
  <c r="H72" i="18"/>
  <c r="D35" i="18"/>
  <c r="P115" i="21" s="1"/>
  <c r="P143" i="21"/>
  <c r="E72" i="18"/>
  <c r="G35" i="18"/>
  <c r="S115" i="21" s="1"/>
  <c r="S120" i="21" s="1"/>
  <c r="S143" i="21"/>
  <c r="L35" i="18"/>
  <c r="X115" i="21" s="1"/>
  <c r="X120" i="21" s="1"/>
  <c r="X143" i="21"/>
  <c r="L72" i="18"/>
  <c r="I35" i="18"/>
  <c r="U115" i="21" s="1"/>
  <c r="U143" i="21"/>
  <c r="C71" i="18"/>
  <c r="O116" i="21"/>
  <c r="O120" i="21" s="1"/>
  <c r="D72" i="18"/>
  <c r="I72" i="18"/>
  <c r="E35" i="18"/>
  <c r="Q115" i="21" s="1"/>
  <c r="Q143" i="21"/>
  <c r="J35" i="18"/>
  <c r="V115" i="21" s="1"/>
  <c r="V143" i="21"/>
  <c r="K28" i="18"/>
  <c r="W160" i="21"/>
  <c r="H35" i="18"/>
  <c r="T115" i="21" s="1"/>
  <c r="T143" i="21"/>
  <c r="AG142" i="21"/>
  <c r="AG144" i="21"/>
  <c r="J25" i="18"/>
  <c r="F104" i="18"/>
  <c r="F46" i="18"/>
  <c r="F97" i="18"/>
  <c r="K97" i="18"/>
  <c r="M46" i="18"/>
  <c r="G47" i="18"/>
  <c r="L47" i="18"/>
  <c r="H105" i="18"/>
  <c r="J105" i="18"/>
  <c r="H47" i="18"/>
  <c r="D105" i="18"/>
  <c r="I105" i="18"/>
  <c r="K104" i="18"/>
  <c r="U97" i="18"/>
  <c r="O105" i="18"/>
  <c r="L25" i="18"/>
  <c r="K46" i="18"/>
  <c r="E47" i="18"/>
  <c r="I47" i="18"/>
  <c r="G105" i="18"/>
  <c r="L105" i="18"/>
  <c r="N105" i="18"/>
  <c r="M104" i="18"/>
  <c r="F24" i="18"/>
  <c r="G72" i="18"/>
  <c r="H25" i="18"/>
  <c r="J47" i="18"/>
  <c r="C72" i="18"/>
  <c r="M97" i="18"/>
  <c r="U46" i="18"/>
  <c r="N74" i="20"/>
  <c r="G82" i="20"/>
  <c r="U104" i="18"/>
  <c r="D42" i="19"/>
  <c r="D43" i="19" s="1"/>
  <c r="V85" i="18" s="1"/>
  <c r="J42" i="19"/>
  <c r="J43" i="19" s="1"/>
  <c r="G51" i="20"/>
  <c r="J84" i="20"/>
  <c r="J85" i="20" s="1"/>
  <c r="G53" i="20"/>
  <c r="N56" i="20"/>
  <c r="G57" i="20"/>
  <c r="N70" i="20"/>
  <c r="N77" i="20"/>
  <c r="G81" i="20"/>
  <c r="N69" i="20"/>
  <c r="L84" i="20"/>
  <c r="L85" i="20" s="1"/>
  <c r="N58" i="20"/>
  <c r="G59" i="20"/>
  <c r="N60" i="20"/>
  <c r="G61" i="20"/>
  <c r="N62" i="20"/>
  <c r="G63" i="20"/>
  <c r="N64" i="20"/>
  <c r="G65" i="20"/>
  <c r="N66" i="20"/>
  <c r="G71" i="20"/>
  <c r="N72" i="20"/>
  <c r="G75" i="20"/>
  <c r="N78" i="20"/>
  <c r="N53" i="20"/>
  <c r="G54" i="20"/>
  <c r="G56" i="20"/>
  <c r="N59" i="20"/>
  <c r="N61" i="20"/>
  <c r="G67" i="20"/>
  <c r="N68" i="20"/>
  <c r="G70" i="20"/>
  <c r="N71" i="20"/>
  <c r="G73" i="20"/>
  <c r="G74" i="20"/>
  <c r="N75" i="20"/>
  <c r="N76" i="20"/>
  <c r="G79" i="20"/>
  <c r="N82" i="20"/>
  <c r="U24" i="18"/>
  <c r="C42" i="19"/>
  <c r="H42" i="19"/>
  <c r="H43" i="19" s="1"/>
  <c r="K84" i="20"/>
  <c r="K85" i="20" s="1"/>
  <c r="N52" i="20"/>
  <c r="G62" i="20"/>
  <c r="G66" i="20"/>
  <c r="G69" i="20"/>
  <c r="G77" i="20"/>
  <c r="G78" i="20"/>
  <c r="N80" i="20"/>
  <c r="G83" i="20"/>
  <c r="C42" i="20"/>
  <c r="C43" i="20" s="1"/>
  <c r="E84" i="20"/>
  <c r="E85" i="20" s="1"/>
  <c r="N51" i="20"/>
  <c r="I84" i="20"/>
  <c r="I85" i="20" s="1"/>
  <c r="M84" i="20"/>
  <c r="M85" i="20" s="1"/>
  <c r="G55" i="20"/>
  <c r="N57" i="20"/>
  <c r="G58" i="20"/>
  <c r="N67" i="20"/>
  <c r="N83" i="20"/>
  <c r="N54" i="20"/>
  <c r="D42" i="20"/>
  <c r="D43" i="20" s="1"/>
  <c r="H42" i="20"/>
  <c r="H43" i="20" s="1"/>
  <c r="N63" i="20"/>
  <c r="N79" i="20"/>
  <c r="G60" i="20"/>
  <c r="G68" i="20"/>
  <c r="G76" i="20"/>
  <c r="G52" i="20"/>
  <c r="N55" i="20"/>
  <c r="G64" i="20"/>
  <c r="N65" i="20"/>
  <c r="G72" i="20"/>
  <c r="N73" i="20"/>
  <c r="G80" i="20"/>
  <c r="N81" i="20"/>
  <c r="F25" i="18"/>
  <c r="G25" i="18"/>
  <c r="K25" i="18"/>
  <c r="F28" i="18"/>
  <c r="J72" i="18"/>
  <c r="E25" i="18"/>
  <c r="I25" i="18"/>
  <c r="M25" i="18"/>
  <c r="O68" i="18" l="1"/>
  <c r="R68" i="18"/>
  <c r="Q68" i="18"/>
  <c r="S68" i="18"/>
  <c r="N68" i="18"/>
  <c r="P68" i="18"/>
  <c r="L67" i="18"/>
  <c r="L68" i="18" s="1"/>
  <c r="C73" i="18"/>
  <c r="H67" i="18"/>
  <c r="H68" i="18" s="1"/>
  <c r="G38" i="18"/>
  <c r="T68" i="18"/>
  <c r="J38" i="18"/>
  <c r="G67" i="18"/>
  <c r="G68" i="18" s="1"/>
  <c r="AG114" i="21"/>
  <c r="E38" i="18"/>
  <c r="L38" i="18"/>
  <c r="J68" i="18"/>
  <c r="F72" i="18"/>
  <c r="F67" i="18"/>
  <c r="R114" i="21"/>
  <c r="F38" i="18"/>
  <c r="T73" i="18"/>
  <c r="E67" i="18"/>
  <c r="H38" i="18"/>
  <c r="I67" i="18"/>
  <c r="I68" i="18" s="1"/>
  <c r="O244" i="21"/>
  <c r="M105" i="18"/>
  <c r="K105" i="18"/>
  <c r="E36" i="18"/>
  <c r="M35" i="18"/>
  <c r="J42" i="20"/>
  <c r="J43" i="20" s="1"/>
  <c r="V27" i="18" s="1"/>
  <c r="O34" i="21" s="1"/>
  <c r="V29" i="18"/>
  <c r="J73" i="18"/>
  <c r="H73" i="18"/>
  <c r="J36" i="18"/>
  <c r="F35" i="18"/>
  <c r="R115" i="21" s="1"/>
  <c r="R143" i="21"/>
  <c r="T36" i="18"/>
  <c r="I36" i="18"/>
  <c r="H36" i="18"/>
  <c r="L36" i="18"/>
  <c r="K47" i="18"/>
  <c r="W116" i="21"/>
  <c r="M47" i="18"/>
  <c r="Y116" i="21"/>
  <c r="F47" i="18"/>
  <c r="R116" i="21"/>
  <c r="G36" i="18"/>
  <c r="K35" i="18"/>
  <c r="W143" i="21"/>
  <c r="U35" i="18"/>
  <c r="AG115" i="21" s="1"/>
  <c r="U47" i="18"/>
  <c r="AG116" i="21"/>
  <c r="U25" i="18"/>
  <c r="F105" i="18"/>
  <c r="V91" i="18"/>
  <c r="V20" i="18"/>
  <c r="V19" i="18"/>
  <c r="K72" i="18"/>
  <c r="M72" i="18"/>
  <c r="G84" i="20"/>
  <c r="G85" i="20" s="1"/>
  <c r="U105" i="18"/>
  <c r="U72" i="18"/>
  <c r="C43" i="19"/>
  <c r="N84" i="20"/>
  <c r="N85" i="20" s="1"/>
  <c r="I71" i="18"/>
  <c r="Y115" i="21" l="1"/>
  <c r="M67" i="18"/>
  <c r="M68" i="18" s="1"/>
  <c r="M38" i="18"/>
  <c r="U38" i="18"/>
  <c r="U67" i="18"/>
  <c r="U68" i="18" s="1"/>
  <c r="W115" i="21"/>
  <c r="W120" i="21" s="1"/>
  <c r="K67" i="18"/>
  <c r="K68" i="18" s="1"/>
  <c r="K38" i="18"/>
  <c r="L73" i="18"/>
  <c r="G73" i="18"/>
  <c r="I73" i="18"/>
  <c r="AG120" i="21"/>
  <c r="Y120" i="21"/>
  <c r="R120" i="21"/>
  <c r="E73" i="18"/>
  <c r="E68" i="18"/>
  <c r="D73" i="18"/>
  <c r="I69" i="18"/>
  <c r="M69" i="18"/>
  <c r="Q69" i="18"/>
  <c r="U69" i="18"/>
  <c r="J69" i="18"/>
  <c r="N69" i="18"/>
  <c r="R69" i="18"/>
  <c r="O69" i="18"/>
  <c r="S69" i="18"/>
  <c r="H69" i="18"/>
  <c r="L69" i="18"/>
  <c r="P69" i="18"/>
  <c r="T69" i="18"/>
  <c r="F73" i="18"/>
  <c r="F68" i="18"/>
  <c r="M73" i="18"/>
  <c r="M36" i="18"/>
  <c r="L71" i="18"/>
  <c r="E71" i="18"/>
  <c r="AH142" i="21"/>
  <c r="AH144" i="21"/>
  <c r="O36" i="21"/>
  <c r="E69" i="18"/>
  <c r="G69" i="18"/>
  <c r="G71" i="18"/>
  <c r="D71" i="18"/>
  <c r="D68" i="18"/>
  <c r="U73" i="18"/>
  <c r="V86" i="18"/>
  <c r="H71" i="18"/>
  <c r="M71" i="18"/>
  <c r="K36" i="18"/>
  <c r="J71" i="18"/>
  <c r="F36" i="18"/>
  <c r="U36" i="18"/>
  <c r="AH127" i="21"/>
  <c r="O22" i="21"/>
  <c r="AH128" i="21"/>
  <c r="O23" i="21"/>
  <c r="U71" i="18"/>
  <c r="F71" i="18"/>
  <c r="F69" i="18"/>
  <c r="AA384" i="7"/>
  <c r="Z384" i="7"/>
  <c r="K34" i="7" s="1"/>
  <c r="K73" i="18" l="1"/>
  <c r="K71" i="18"/>
  <c r="K69" i="18"/>
  <c r="N34" i="7"/>
  <c r="M34" i="7"/>
  <c r="L34" i="7"/>
  <c r="M62" i="14"/>
  <c r="M59" i="14"/>
  <c r="M57" i="14"/>
  <c r="M54" i="14"/>
  <c r="M53" i="14"/>
  <c r="M32" i="14"/>
  <c r="P34" i="7" l="1"/>
  <c r="M46" i="14"/>
  <c r="J19" i="14"/>
  <c r="M19" i="14" s="1"/>
  <c r="M55" i="14"/>
  <c r="L41" i="14"/>
  <c r="J14" i="14" s="1"/>
  <c r="L34" i="14"/>
  <c r="J12" i="14" s="1"/>
  <c r="M44" i="14"/>
  <c r="M43" i="14"/>
  <c r="J55" i="14"/>
  <c r="H17" i="14" s="1"/>
  <c r="L17" i="14" l="1"/>
  <c r="M17" i="14"/>
  <c r="F46" i="13" l="1"/>
  <c r="F48" i="13" s="1"/>
  <c r="J58" i="14"/>
  <c r="U351" i="7"/>
  <c r="U352" i="7"/>
  <c r="U353" i="7"/>
  <c r="U354" i="7"/>
  <c r="U355" i="7"/>
  <c r="U356" i="7"/>
  <c r="U357" i="7"/>
  <c r="U358" i="7"/>
  <c r="U359" i="7"/>
  <c r="U360" i="7"/>
  <c r="U361" i="7"/>
  <c r="U362" i="7"/>
  <c r="U363" i="7"/>
  <c r="U364" i="7"/>
  <c r="U365" i="7"/>
  <c r="U366" i="7"/>
  <c r="U367" i="7"/>
  <c r="U368" i="7"/>
  <c r="U369" i="7"/>
  <c r="U370" i="7"/>
  <c r="U371" i="7"/>
  <c r="U372" i="7"/>
  <c r="U373" i="7"/>
  <c r="U374" i="7"/>
  <c r="U375" i="7"/>
  <c r="U376" i="7"/>
  <c r="U377" i="7"/>
  <c r="U378" i="7"/>
  <c r="U379" i="7"/>
  <c r="U380" i="7"/>
  <c r="U381" i="7"/>
  <c r="U382"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AC374" i="7"/>
  <c r="AC375" i="7"/>
  <c r="AC376" i="7"/>
  <c r="AC379" i="7"/>
  <c r="AC380" i="7"/>
  <c r="AC382"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AC351" i="7"/>
  <c r="AC352" i="7"/>
  <c r="AC353" i="7"/>
  <c r="AC354" i="7"/>
  <c r="AC355" i="7"/>
  <c r="AC356" i="7"/>
  <c r="AC357" i="7"/>
  <c r="AC358" i="7"/>
  <c r="AC359" i="7"/>
  <c r="AC360" i="7"/>
  <c r="AC361" i="7"/>
  <c r="AC362" i="7"/>
  <c r="AC363" i="7"/>
  <c r="AC364" i="7"/>
  <c r="AC365" i="7"/>
  <c r="AC366" i="7"/>
  <c r="AC367" i="7"/>
  <c r="AC368" i="7"/>
  <c r="AC369" i="7"/>
  <c r="AC370" i="7"/>
  <c r="AC371" i="7"/>
  <c r="AC373" i="7"/>
  <c r="AC377" i="7"/>
  <c r="AC378" i="7"/>
  <c r="AC381" i="7"/>
  <c r="U350" i="7"/>
  <c r="S350" i="7"/>
  <c r="AC350" i="7"/>
  <c r="I350" i="7"/>
  <c r="AI268" i="7"/>
  <c r="AI269" i="7"/>
  <c r="AI270" i="7"/>
  <c r="AI271" i="7"/>
  <c r="AI272" i="7"/>
  <c r="AI273" i="7"/>
  <c r="AI274" i="7"/>
  <c r="AI275" i="7"/>
  <c r="AI276" i="7"/>
  <c r="AI277" i="7"/>
  <c r="AI278" i="7"/>
  <c r="AI279" i="7"/>
  <c r="AI280" i="7"/>
  <c r="AI281" i="7"/>
  <c r="AI282" i="7"/>
  <c r="AI283" i="7"/>
  <c r="AI284" i="7"/>
  <c r="AI285" i="7"/>
  <c r="AI286" i="7"/>
  <c r="AI287" i="7"/>
  <c r="AI288" i="7"/>
  <c r="AI289" i="7"/>
  <c r="AI290" i="7"/>
  <c r="AI291" i="7"/>
  <c r="AI292" i="7"/>
  <c r="AI293" i="7"/>
  <c r="AI294" i="7"/>
  <c r="AI295" i="7"/>
  <c r="AI296" i="7"/>
  <c r="AI297" i="7"/>
  <c r="AI298" i="7"/>
  <c r="AI299" i="7"/>
  <c r="X268" i="7"/>
  <c r="Y268" i="7"/>
  <c r="Z268" i="7"/>
  <c r="AA268" i="7"/>
  <c r="AB268" i="7"/>
  <c r="AC268" i="7"/>
  <c r="AD268" i="7"/>
  <c r="AE268" i="7"/>
  <c r="AF268" i="7"/>
  <c r="AG268" i="7"/>
  <c r="AH268" i="7"/>
  <c r="X269" i="7"/>
  <c r="Y269" i="7"/>
  <c r="Z269" i="7"/>
  <c r="AA269" i="7"/>
  <c r="AB269" i="7"/>
  <c r="AC269" i="7"/>
  <c r="AD269" i="7"/>
  <c r="AE269" i="7"/>
  <c r="AF269" i="7"/>
  <c r="AG269" i="7"/>
  <c r="AH269" i="7"/>
  <c r="X270" i="7"/>
  <c r="Y270" i="7"/>
  <c r="Z270" i="7"/>
  <c r="AA270" i="7"/>
  <c r="AB270" i="7"/>
  <c r="AC270" i="7"/>
  <c r="AD270" i="7"/>
  <c r="AE270" i="7"/>
  <c r="AF270" i="7"/>
  <c r="AG270" i="7"/>
  <c r="AH270" i="7"/>
  <c r="X271" i="7"/>
  <c r="Y271" i="7"/>
  <c r="Z271" i="7"/>
  <c r="AA271" i="7"/>
  <c r="AB271" i="7"/>
  <c r="AC271" i="7"/>
  <c r="AD271" i="7"/>
  <c r="AE271" i="7"/>
  <c r="AF271" i="7"/>
  <c r="AG271" i="7"/>
  <c r="AH271" i="7"/>
  <c r="X272" i="7"/>
  <c r="Y272" i="7"/>
  <c r="Z272" i="7"/>
  <c r="AA272" i="7"/>
  <c r="AB272" i="7"/>
  <c r="AC272" i="7"/>
  <c r="AD272" i="7"/>
  <c r="AE272" i="7"/>
  <c r="AF272" i="7"/>
  <c r="AG272" i="7"/>
  <c r="AH272" i="7"/>
  <c r="X273" i="7"/>
  <c r="Y273" i="7"/>
  <c r="Z273" i="7"/>
  <c r="AA273" i="7"/>
  <c r="AB273" i="7"/>
  <c r="AC273" i="7"/>
  <c r="AD273" i="7"/>
  <c r="AE273" i="7"/>
  <c r="AF273" i="7"/>
  <c r="AG273" i="7"/>
  <c r="AH273" i="7"/>
  <c r="X274" i="7"/>
  <c r="Y274" i="7"/>
  <c r="Z274" i="7"/>
  <c r="AA274" i="7"/>
  <c r="AB274" i="7"/>
  <c r="AC274" i="7"/>
  <c r="AD274" i="7"/>
  <c r="AE274" i="7"/>
  <c r="AF274" i="7"/>
  <c r="AG274" i="7"/>
  <c r="AH274" i="7"/>
  <c r="X275" i="7"/>
  <c r="Y275" i="7"/>
  <c r="Z275" i="7"/>
  <c r="AA275" i="7"/>
  <c r="AB275" i="7"/>
  <c r="AC275" i="7"/>
  <c r="AD275" i="7"/>
  <c r="AE275" i="7"/>
  <c r="AF275" i="7"/>
  <c r="AG275" i="7"/>
  <c r="AH275" i="7"/>
  <c r="X276" i="7"/>
  <c r="Y276" i="7"/>
  <c r="Z276" i="7"/>
  <c r="AA276" i="7"/>
  <c r="AB276" i="7"/>
  <c r="AC276" i="7"/>
  <c r="AD276" i="7"/>
  <c r="AE276" i="7"/>
  <c r="AF276" i="7"/>
  <c r="AG276" i="7"/>
  <c r="AH276" i="7"/>
  <c r="X277" i="7"/>
  <c r="Y277" i="7"/>
  <c r="Z277" i="7"/>
  <c r="AA277" i="7"/>
  <c r="AB277" i="7"/>
  <c r="AC277" i="7"/>
  <c r="AD277" i="7"/>
  <c r="AE277" i="7"/>
  <c r="AF277" i="7"/>
  <c r="AG277" i="7"/>
  <c r="AH277" i="7"/>
  <c r="X278" i="7"/>
  <c r="Y278" i="7"/>
  <c r="Z278" i="7"/>
  <c r="AA278" i="7"/>
  <c r="AB278" i="7"/>
  <c r="AC278" i="7"/>
  <c r="AD278" i="7"/>
  <c r="AE278" i="7"/>
  <c r="AF278" i="7"/>
  <c r="AG278" i="7"/>
  <c r="AH278" i="7"/>
  <c r="X279" i="7"/>
  <c r="Y279" i="7"/>
  <c r="Z279" i="7"/>
  <c r="AA279" i="7"/>
  <c r="AB279" i="7"/>
  <c r="AC279" i="7"/>
  <c r="AD279" i="7"/>
  <c r="AE279" i="7"/>
  <c r="AF279" i="7"/>
  <c r="AG279" i="7"/>
  <c r="AH279" i="7"/>
  <c r="X280" i="7"/>
  <c r="Y280" i="7"/>
  <c r="Z280" i="7"/>
  <c r="AA280" i="7"/>
  <c r="AB280" i="7"/>
  <c r="AC280" i="7"/>
  <c r="AD280" i="7"/>
  <c r="AE280" i="7"/>
  <c r="AF280" i="7"/>
  <c r="AG280" i="7"/>
  <c r="AH280" i="7"/>
  <c r="X281" i="7"/>
  <c r="Y281" i="7"/>
  <c r="Z281" i="7"/>
  <c r="AA281" i="7"/>
  <c r="AB281" i="7"/>
  <c r="AC281" i="7"/>
  <c r="AD281" i="7"/>
  <c r="AE281" i="7"/>
  <c r="AF281" i="7"/>
  <c r="AG281" i="7"/>
  <c r="AH281" i="7"/>
  <c r="X282" i="7"/>
  <c r="Y282" i="7"/>
  <c r="Z282" i="7"/>
  <c r="AA282" i="7"/>
  <c r="AB282" i="7"/>
  <c r="AC282" i="7"/>
  <c r="AD282" i="7"/>
  <c r="AE282" i="7"/>
  <c r="AF282" i="7"/>
  <c r="AG282" i="7"/>
  <c r="AH282" i="7"/>
  <c r="X283" i="7"/>
  <c r="Y283" i="7"/>
  <c r="Z283" i="7"/>
  <c r="AA283" i="7"/>
  <c r="AB283" i="7"/>
  <c r="AC283" i="7"/>
  <c r="AD283" i="7"/>
  <c r="AE283" i="7"/>
  <c r="AF283" i="7"/>
  <c r="AG283" i="7"/>
  <c r="AH283" i="7"/>
  <c r="X284" i="7"/>
  <c r="Y284" i="7"/>
  <c r="Z284" i="7"/>
  <c r="AA284" i="7"/>
  <c r="AB284" i="7"/>
  <c r="AC284" i="7"/>
  <c r="AD284" i="7"/>
  <c r="AE284" i="7"/>
  <c r="AF284" i="7"/>
  <c r="AG284" i="7"/>
  <c r="AH284" i="7"/>
  <c r="X285" i="7"/>
  <c r="Y285" i="7"/>
  <c r="Z285" i="7"/>
  <c r="AA285" i="7"/>
  <c r="AB285" i="7"/>
  <c r="AC285" i="7"/>
  <c r="AD285" i="7"/>
  <c r="AE285" i="7"/>
  <c r="AF285" i="7"/>
  <c r="AG285" i="7"/>
  <c r="AH285" i="7"/>
  <c r="X286" i="7"/>
  <c r="Y286" i="7"/>
  <c r="Z286" i="7"/>
  <c r="AA286" i="7"/>
  <c r="AB286" i="7"/>
  <c r="AC286" i="7"/>
  <c r="AD286" i="7"/>
  <c r="AE286" i="7"/>
  <c r="AF286" i="7"/>
  <c r="AG286" i="7"/>
  <c r="AH286" i="7"/>
  <c r="X287" i="7"/>
  <c r="Y287" i="7"/>
  <c r="Z287" i="7"/>
  <c r="AA287" i="7"/>
  <c r="AB287" i="7"/>
  <c r="AC287" i="7"/>
  <c r="AD287" i="7"/>
  <c r="AE287" i="7"/>
  <c r="AF287" i="7"/>
  <c r="AG287" i="7"/>
  <c r="AH287" i="7"/>
  <c r="X288" i="7"/>
  <c r="Y288" i="7"/>
  <c r="Z288" i="7"/>
  <c r="AA288" i="7"/>
  <c r="AB288" i="7"/>
  <c r="AC288" i="7"/>
  <c r="AD288" i="7"/>
  <c r="AE288" i="7"/>
  <c r="AF288" i="7"/>
  <c r="AG288" i="7"/>
  <c r="AH288" i="7"/>
  <c r="X289" i="7"/>
  <c r="Y289" i="7"/>
  <c r="Z289" i="7"/>
  <c r="AA289" i="7"/>
  <c r="AB289" i="7"/>
  <c r="AC289" i="7"/>
  <c r="AD289" i="7"/>
  <c r="AE289" i="7"/>
  <c r="AF289" i="7"/>
  <c r="AG289" i="7"/>
  <c r="AH289" i="7"/>
  <c r="X290" i="7"/>
  <c r="Y290" i="7"/>
  <c r="Z290" i="7"/>
  <c r="AA290" i="7"/>
  <c r="AB290" i="7"/>
  <c r="AC290" i="7"/>
  <c r="AD290" i="7"/>
  <c r="AE290" i="7"/>
  <c r="AF290" i="7"/>
  <c r="AG290" i="7"/>
  <c r="AH290" i="7"/>
  <c r="X291" i="7"/>
  <c r="Y291" i="7"/>
  <c r="Z291" i="7"/>
  <c r="AA291" i="7"/>
  <c r="AB291" i="7"/>
  <c r="AC291" i="7"/>
  <c r="AD291" i="7"/>
  <c r="AE291" i="7"/>
  <c r="AF291" i="7"/>
  <c r="AG291" i="7"/>
  <c r="AH291" i="7"/>
  <c r="X292" i="7"/>
  <c r="Y292" i="7"/>
  <c r="Z292" i="7"/>
  <c r="AA292" i="7"/>
  <c r="AB292" i="7"/>
  <c r="AC292" i="7"/>
  <c r="AD292" i="7"/>
  <c r="AE292" i="7"/>
  <c r="AF292" i="7"/>
  <c r="AG292" i="7"/>
  <c r="AH292" i="7"/>
  <c r="X293" i="7"/>
  <c r="Y293" i="7"/>
  <c r="Z293" i="7"/>
  <c r="AA293" i="7"/>
  <c r="AB293" i="7"/>
  <c r="AC293" i="7"/>
  <c r="AD293" i="7"/>
  <c r="AE293" i="7"/>
  <c r="AF293" i="7"/>
  <c r="AG293" i="7"/>
  <c r="AH293" i="7"/>
  <c r="X294" i="7"/>
  <c r="Y294" i="7"/>
  <c r="Z294" i="7"/>
  <c r="AA294" i="7"/>
  <c r="AB294" i="7"/>
  <c r="AC294" i="7"/>
  <c r="AD294" i="7"/>
  <c r="AE294" i="7"/>
  <c r="AF294" i="7"/>
  <c r="AG294" i="7"/>
  <c r="AH294" i="7"/>
  <c r="X295" i="7"/>
  <c r="Y295" i="7"/>
  <c r="Z295" i="7"/>
  <c r="AA295" i="7"/>
  <c r="AB295" i="7"/>
  <c r="AC295" i="7"/>
  <c r="AD295" i="7"/>
  <c r="AE295" i="7"/>
  <c r="AF295" i="7"/>
  <c r="AG295" i="7"/>
  <c r="AH295" i="7"/>
  <c r="X296" i="7"/>
  <c r="Y296" i="7"/>
  <c r="Z296" i="7"/>
  <c r="AA296" i="7"/>
  <c r="AB296" i="7"/>
  <c r="AC296" i="7"/>
  <c r="AD296" i="7"/>
  <c r="AE296" i="7"/>
  <c r="AF296" i="7"/>
  <c r="AG296" i="7"/>
  <c r="AH296" i="7"/>
  <c r="X297" i="7"/>
  <c r="Y297" i="7"/>
  <c r="Z297" i="7"/>
  <c r="AA297" i="7"/>
  <c r="AB297" i="7"/>
  <c r="AC297" i="7"/>
  <c r="AD297" i="7"/>
  <c r="AE297" i="7"/>
  <c r="AF297" i="7"/>
  <c r="AG297" i="7"/>
  <c r="AH297" i="7"/>
  <c r="X298" i="7"/>
  <c r="Y298" i="7"/>
  <c r="Z298" i="7"/>
  <c r="AA298" i="7"/>
  <c r="AB298" i="7"/>
  <c r="AC298" i="7"/>
  <c r="AD298" i="7"/>
  <c r="AE298" i="7"/>
  <c r="AF298" i="7"/>
  <c r="AG298" i="7"/>
  <c r="AH298" i="7"/>
  <c r="X299" i="7"/>
  <c r="Y299" i="7"/>
  <c r="Z299" i="7"/>
  <c r="AA299" i="7"/>
  <c r="AB299" i="7"/>
  <c r="AC299" i="7"/>
  <c r="AD299" i="7"/>
  <c r="AE299" i="7"/>
  <c r="AF299" i="7"/>
  <c r="AG299" i="7"/>
  <c r="AH299" i="7"/>
  <c r="AI267" i="7"/>
  <c r="AH267" i="7"/>
  <c r="AG267" i="7"/>
  <c r="AF267" i="7"/>
  <c r="AE267" i="7"/>
  <c r="AD267" i="7"/>
  <c r="AC267" i="7"/>
  <c r="AB267" i="7"/>
  <c r="AA267" i="7"/>
  <c r="Z267" i="7"/>
  <c r="Y267" i="7"/>
  <c r="X267" i="7"/>
  <c r="O268" i="7"/>
  <c r="P268" i="7"/>
  <c r="Q268" i="7"/>
  <c r="R268" i="7"/>
  <c r="S268" i="7"/>
  <c r="T268" i="7"/>
  <c r="U268" i="7"/>
  <c r="V268" i="7"/>
  <c r="O269" i="7"/>
  <c r="P269" i="7"/>
  <c r="Q269" i="7"/>
  <c r="R269" i="7"/>
  <c r="S269" i="7"/>
  <c r="T269" i="7"/>
  <c r="U269" i="7"/>
  <c r="V269" i="7"/>
  <c r="O270" i="7"/>
  <c r="P270" i="7"/>
  <c r="Q270" i="7"/>
  <c r="R270" i="7"/>
  <c r="S270" i="7"/>
  <c r="T270" i="7"/>
  <c r="U270" i="7"/>
  <c r="V270" i="7"/>
  <c r="O271" i="7"/>
  <c r="P271" i="7"/>
  <c r="Q271" i="7"/>
  <c r="R271" i="7"/>
  <c r="S271" i="7"/>
  <c r="T271" i="7"/>
  <c r="U271" i="7"/>
  <c r="V271" i="7"/>
  <c r="O272" i="7"/>
  <c r="P272" i="7"/>
  <c r="Q272" i="7"/>
  <c r="R272" i="7"/>
  <c r="S272" i="7"/>
  <c r="T272" i="7"/>
  <c r="U272" i="7"/>
  <c r="V272" i="7"/>
  <c r="O273" i="7"/>
  <c r="P273" i="7"/>
  <c r="Q273" i="7"/>
  <c r="R273" i="7"/>
  <c r="S273" i="7"/>
  <c r="T273" i="7"/>
  <c r="U273" i="7"/>
  <c r="V273" i="7"/>
  <c r="O274" i="7"/>
  <c r="P274" i="7"/>
  <c r="Q274" i="7"/>
  <c r="R274" i="7"/>
  <c r="S274" i="7"/>
  <c r="T274" i="7"/>
  <c r="U274" i="7"/>
  <c r="V274" i="7"/>
  <c r="O275" i="7"/>
  <c r="P275" i="7"/>
  <c r="Q275" i="7"/>
  <c r="R275" i="7"/>
  <c r="S275" i="7"/>
  <c r="T275" i="7"/>
  <c r="U275" i="7"/>
  <c r="V275" i="7"/>
  <c r="O276" i="7"/>
  <c r="P276" i="7"/>
  <c r="Q276" i="7"/>
  <c r="R276" i="7"/>
  <c r="S276" i="7"/>
  <c r="T276" i="7"/>
  <c r="U276" i="7"/>
  <c r="V276" i="7"/>
  <c r="O277" i="7"/>
  <c r="P277" i="7"/>
  <c r="Q277" i="7"/>
  <c r="R277" i="7"/>
  <c r="S277" i="7"/>
  <c r="T277" i="7"/>
  <c r="U277" i="7"/>
  <c r="V277" i="7"/>
  <c r="O278" i="7"/>
  <c r="P278" i="7"/>
  <c r="Q278" i="7"/>
  <c r="R278" i="7"/>
  <c r="S278" i="7"/>
  <c r="T278" i="7"/>
  <c r="U278" i="7"/>
  <c r="V278" i="7"/>
  <c r="O279" i="7"/>
  <c r="P279" i="7"/>
  <c r="Q279" i="7"/>
  <c r="R279" i="7"/>
  <c r="S279" i="7"/>
  <c r="T279" i="7"/>
  <c r="U279" i="7"/>
  <c r="V279" i="7"/>
  <c r="O280" i="7"/>
  <c r="P280" i="7"/>
  <c r="Q280" i="7"/>
  <c r="R280" i="7"/>
  <c r="S280" i="7"/>
  <c r="T280" i="7"/>
  <c r="U280" i="7"/>
  <c r="V280" i="7"/>
  <c r="O281" i="7"/>
  <c r="P281" i="7"/>
  <c r="Q281" i="7"/>
  <c r="R281" i="7"/>
  <c r="S281" i="7"/>
  <c r="T281" i="7"/>
  <c r="U281" i="7"/>
  <c r="V281" i="7"/>
  <c r="O282" i="7"/>
  <c r="P282" i="7"/>
  <c r="Q282" i="7"/>
  <c r="R282" i="7"/>
  <c r="S282" i="7"/>
  <c r="T282" i="7"/>
  <c r="U282" i="7"/>
  <c r="V282" i="7"/>
  <c r="O283" i="7"/>
  <c r="P283" i="7"/>
  <c r="Q283" i="7"/>
  <c r="R283" i="7"/>
  <c r="S283" i="7"/>
  <c r="T283" i="7"/>
  <c r="U283" i="7"/>
  <c r="V283" i="7"/>
  <c r="O284" i="7"/>
  <c r="P284" i="7"/>
  <c r="Q284" i="7"/>
  <c r="R284" i="7"/>
  <c r="S284" i="7"/>
  <c r="T284" i="7"/>
  <c r="U284" i="7"/>
  <c r="V284" i="7"/>
  <c r="O285" i="7"/>
  <c r="P285" i="7"/>
  <c r="Q285" i="7"/>
  <c r="R285" i="7"/>
  <c r="S285" i="7"/>
  <c r="T285" i="7"/>
  <c r="U285" i="7"/>
  <c r="V285" i="7"/>
  <c r="O286" i="7"/>
  <c r="P286" i="7"/>
  <c r="Q286" i="7"/>
  <c r="R286" i="7"/>
  <c r="S286" i="7"/>
  <c r="T286" i="7"/>
  <c r="U286" i="7"/>
  <c r="V286" i="7"/>
  <c r="O287" i="7"/>
  <c r="P287" i="7"/>
  <c r="Q287" i="7"/>
  <c r="R287" i="7"/>
  <c r="S287" i="7"/>
  <c r="T287" i="7"/>
  <c r="U287" i="7"/>
  <c r="V287" i="7"/>
  <c r="O288" i="7"/>
  <c r="P288" i="7"/>
  <c r="Q288" i="7"/>
  <c r="R288" i="7"/>
  <c r="S288" i="7"/>
  <c r="T288" i="7"/>
  <c r="U288" i="7"/>
  <c r="V288" i="7"/>
  <c r="O289" i="7"/>
  <c r="P289" i="7"/>
  <c r="Q289" i="7"/>
  <c r="R289" i="7"/>
  <c r="S289" i="7"/>
  <c r="T289" i="7"/>
  <c r="U289" i="7"/>
  <c r="V289" i="7"/>
  <c r="O290" i="7"/>
  <c r="P290" i="7"/>
  <c r="Q290" i="7"/>
  <c r="R290" i="7"/>
  <c r="S290" i="7"/>
  <c r="T290" i="7"/>
  <c r="U290" i="7"/>
  <c r="V290" i="7"/>
  <c r="O291" i="7"/>
  <c r="P291" i="7"/>
  <c r="Q291" i="7"/>
  <c r="R291" i="7"/>
  <c r="S291" i="7"/>
  <c r="T291" i="7"/>
  <c r="U291" i="7"/>
  <c r="V291" i="7"/>
  <c r="O292" i="7"/>
  <c r="P292" i="7"/>
  <c r="Q292" i="7"/>
  <c r="R292" i="7"/>
  <c r="S292" i="7"/>
  <c r="T292" i="7"/>
  <c r="U292" i="7"/>
  <c r="V292" i="7"/>
  <c r="O293" i="7"/>
  <c r="P293" i="7"/>
  <c r="Q293" i="7"/>
  <c r="R293" i="7"/>
  <c r="S293" i="7"/>
  <c r="T293" i="7"/>
  <c r="U293" i="7"/>
  <c r="V293" i="7"/>
  <c r="O294" i="7"/>
  <c r="P294" i="7"/>
  <c r="Q294" i="7"/>
  <c r="R294" i="7"/>
  <c r="S294" i="7"/>
  <c r="T294" i="7"/>
  <c r="U294" i="7"/>
  <c r="V294" i="7"/>
  <c r="O295" i="7"/>
  <c r="P295" i="7"/>
  <c r="Q295" i="7"/>
  <c r="R295" i="7"/>
  <c r="S295" i="7"/>
  <c r="T295" i="7"/>
  <c r="U295" i="7"/>
  <c r="V295" i="7"/>
  <c r="O296" i="7"/>
  <c r="P296" i="7"/>
  <c r="Q296" i="7"/>
  <c r="R296" i="7"/>
  <c r="S296" i="7"/>
  <c r="T296" i="7"/>
  <c r="U296" i="7"/>
  <c r="V296" i="7"/>
  <c r="O297" i="7"/>
  <c r="P297" i="7"/>
  <c r="Q297" i="7"/>
  <c r="R297" i="7"/>
  <c r="S297" i="7"/>
  <c r="T297" i="7"/>
  <c r="U297" i="7"/>
  <c r="V297" i="7"/>
  <c r="O298" i="7"/>
  <c r="P298" i="7"/>
  <c r="Q298" i="7"/>
  <c r="R298" i="7"/>
  <c r="S298" i="7"/>
  <c r="T298" i="7"/>
  <c r="U298" i="7"/>
  <c r="V298" i="7"/>
  <c r="O299" i="7"/>
  <c r="P299" i="7"/>
  <c r="Q299" i="7"/>
  <c r="R299" i="7"/>
  <c r="S299" i="7"/>
  <c r="T299" i="7"/>
  <c r="U299" i="7"/>
  <c r="V299" i="7"/>
  <c r="V267" i="7"/>
  <c r="U267" i="7"/>
  <c r="T267" i="7"/>
  <c r="S267" i="7"/>
  <c r="R267" i="7"/>
  <c r="Q267" i="7"/>
  <c r="P267" i="7"/>
  <c r="O267" i="7"/>
  <c r="H268" i="7"/>
  <c r="I268" i="7"/>
  <c r="J268" i="7"/>
  <c r="K268" i="7"/>
  <c r="L268" i="7"/>
  <c r="M268" i="7"/>
  <c r="H269" i="7"/>
  <c r="I269" i="7"/>
  <c r="J269" i="7"/>
  <c r="K269" i="7"/>
  <c r="L269" i="7"/>
  <c r="M269" i="7"/>
  <c r="H270" i="7"/>
  <c r="I270" i="7"/>
  <c r="J270" i="7"/>
  <c r="K270" i="7"/>
  <c r="L270" i="7"/>
  <c r="M270" i="7"/>
  <c r="H271" i="7"/>
  <c r="I271" i="7"/>
  <c r="J271" i="7"/>
  <c r="K271" i="7"/>
  <c r="L271" i="7"/>
  <c r="M271" i="7"/>
  <c r="H272" i="7"/>
  <c r="I272" i="7"/>
  <c r="J272" i="7"/>
  <c r="K272" i="7"/>
  <c r="L272" i="7"/>
  <c r="M272" i="7"/>
  <c r="H273" i="7"/>
  <c r="I273" i="7"/>
  <c r="J273" i="7"/>
  <c r="K273" i="7"/>
  <c r="L273" i="7"/>
  <c r="M273" i="7"/>
  <c r="H274" i="7"/>
  <c r="I274" i="7"/>
  <c r="J274" i="7"/>
  <c r="K274" i="7"/>
  <c r="L274" i="7"/>
  <c r="M274" i="7"/>
  <c r="H275" i="7"/>
  <c r="I275" i="7"/>
  <c r="J275" i="7"/>
  <c r="K275" i="7"/>
  <c r="L275" i="7"/>
  <c r="M275" i="7"/>
  <c r="H276" i="7"/>
  <c r="I276" i="7"/>
  <c r="J276" i="7"/>
  <c r="K276" i="7"/>
  <c r="L276" i="7"/>
  <c r="M276" i="7"/>
  <c r="H277" i="7"/>
  <c r="I277" i="7"/>
  <c r="J277" i="7"/>
  <c r="K277" i="7"/>
  <c r="L277" i="7"/>
  <c r="M277" i="7"/>
  <c r="H278" i="7"/>
  <c r="I278" i="7"/>
  <c r="J278" i="7"/>
  <c r="K278" i="7"/>
  <c r="L278" i="7"/>
  <c r="M278" i="7"/>
  <c r="H279" i="7"/>
  <c r="I279" i="7"/>
  <c r="J279" i="7"/>
  <c r="K279" i="7"/>
  <c r="L279" i="7"/>
  <c r="M279" i="7"/>
  <c r="H280" i="7"/>
  <c r="I280" i="7"/>
  <c r="J280" i="7"/>
  <c r="K280" i="7"/>
  <c r="L280" i="7"/>
  <c r="M280" i="7"/>
  <c r="H281" i="7"/>
  <c r="I281" i="7"/>
  <c r="J281" i="7"/>
  <c r="K281" i="7"/>
  <c r="L281" i="7"/>
  <c r="M281" i="7"/>
  <c r="H282" i="7"/>
  <c r="I282" i="7"/>
  <c r="J282" i="7"/>
  <c r="K282" i="7"/>
  <c r="L282" i="7"/>
  <c r="M282" i="7"/>
  <c r="H283" i="7"/>
  <c r="I283" i="7"/>
  <c r="J283" i="7"/>
  <c r="K283" i="7"/>
  <c r="L283" i="7"/>
  <c r="M283" i="7"/>
  <c r="H284" i="7"/>
  <c r="I284" i="7"/>
  <c r="J284" i="7"/>
  <c r="K284" i="7"/>
  <c r="L284" i="7"/>
  <c r="M284" i="7"/>
  <c r="H285" i="7"/>
  <c r="I285" i="7"/>
  <c r="J285" i="7"/>
  <c r="K285" i="7"/>
  <c r="L285" i="7"/>
  <c r="M285" i="7"/>
  <c r="H286" i="7"/>
  <c r="I286" i="7"/>
  <c r="J286" i="7"/>
  <c r="K286" i="7"/>
  <c r="L286" i="7"/>
  <c r="M286" i="7"/>
  <c r="H287" i="7"/>
  <c r="I287" i="7"/>
  <c r="J287" i="7"/>
  <c r="K287" i="7"/>
  <c r="L287" i="7"/>
  <c r="M287" i="7"/>
  <c r="H288" i="7"/>
  <c r="I288" i="7"/>
  <c r="J288" i="7"/>
  <c r="K288" i="7"/>
  <c r="L288" i="7"/>
  <c r="M288" i="7"/>
  <c r="H289" i="7"/>
  <c r="I289" i="7"/>
  <c r="J289" i="7"/>
  <c r="K289" i="7"/>
  <c r="L289" i="7"/>
  <c r="M289" i="7"/>
  <c r="H290" i="7"/>
  <c r="I290" i="7"/>
  <c r="J290" i="7"/>
  <c r="K290" i="7"/>
  <c r="L290" i="7"/>
  <c r="M290" i="7"/>
  <c r="H291" i="7"/>
  <c r="I291" i="7"/>
  <c r="J291" i="7"/>
  <c r="K291" i="7"/>
  <c r="L291" i="7"/>
  <c r="M291" i="7"/>
  <c r="H292" i="7"/>
  <c r="I292" i="7"/>
  <c r="J292" i="7"/>
  <c r="K292" i="7"/>
  <c r="L292" i="7"/>
  <c r="M292" i="7"/>
  <c r="H293" i="7"/>
  <c r="I293" i="7"/>
  <c r="J293" i="7"/>
  <c r="K293" i="7"/>
  <c r="L293" i="7"/>
  <c r="M293" i="7"/>
  <c r="H294" i="7"/>
  <c r="I294" i="7"/>
  <c r="J294" i="7"/>
  <c r="K294" i="7"/>
  <c r="L294" i="7"/>
  <c r="M294" i="7"/>
  <c r="H295" i="7"/>
  <c r="I295" i="7"/>
  <c r="J295" i="7"/>
  <c r="K295" i="7"/>
  <c r="L295" i="7"/>
  <c r="M295" i="7"/>
  <c r="H296" i="7"/>
  <c r="I296" i="7"/>
  <c r="J296" i="7"/>
  <c r="K296" i="7"/>
  <c r="L296" i="7"/>
  <c r="M296" i="7"/>
  <c r="H297" i="7"/>
  <c r="I297" i="7"/>
  <c r="J297" i="7"/>
  <c r="K297" i="7"/>
  <c r="L297" i="7"/>
  <c r="M297" i="7"/>
  <c r="H298" i="7"/>
  <c r="I298" i="7"/>
  <c r="J298" i="7"/>
  <c r="K298" i="7"/>
  <c r="L298" i="7"/>
  <c r="M298" i="7"/>
  <c r="H299" i="7"/>
  <c r="I299" i="7"/>
  <c r="J299" i="7"/>
  <c r="K299" i="7"/>
  <c r="L299" i="7"/>
  <c r="M299" i="7"/>
  <c r="M267" i="7"/>
  <c r="L267" i="7"/>
  <c r="K267" i="7"/>
  <c r="J267" i="7"/>
  <c r="I267" i="7"/>
  <c r="H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267" i="7"/>
  <c r="AC372" i="7" l="1"/>
  <c r="AC384" i="7" s="1"/>
  <c r="X24" i="20"/>
  <c r="M58" i="14"/>
  <c r="M60" i="14" s="1"/>
  <c r="J60" i="14"/>
  <c r="H18" i="14" s="1"/>
  <c r="F300" i="7"/>
  <c r="G300" i="7"/>
  <c r="AL291" i="7"/>
  <c r="R25" i="1"/>
  <c r="Y20" i="1"/>
  <c r="X20" i="1"/>
  <c r="W20" i="1"/>
  <c r="V20" i="1"/>
  <c r="U20" i="1"/>
  <c r="T20" i="1" s="1"/>
  <c r="W19" i="1"/>
  <c r="T19" i="1"/>
  <c r="W18" i="1"/>
  <c r="T18" i="1"/>
  <c r="W16" i="1"/>
  <c r="T16" i="1"/>
  <c r="W15" i="1"/>
  <c r="T15" i="1"/>
  <c r="Z14" i="1"/>
  <c r="Y14" i="1"/>
  <c r="X14" i="1"/>
  <c r="W14" i="1"/>
  <c r="V14" i="1"/>
  <c r="U14" i="1"/>
  <c r="T14" i="1" s="1"/>
  <c r="N58" i="6" l="1"/>
  <c r="N57" i="6"/>
  <c r="M57" i="6"/>
  <c r="M58" i="6"/>
  <c r="Y24" i="20"/>
  <c r="Y42" i="20" s="1"/>
  <c r="Y43" i="20" s="1"/>
  <c r="X42" i="20"/>
  <c r="X43" i="20" s="1"/>
  <c r="M18" i="14"/>
  <c r="L18" i="14"/>
  <c r="S431" i="7"/>
  <c r="N300" i="7"/>
  <c r="J340" i="7" l="1"/>
  <c r="K53" i="7" s="1"/>
  <c r="L53" i="7" s="1"/>
  <c r="AC300" i="7"/>
  <c r="K300" i="7"/>
  <c r="AD300" i="7"/>
  <c r="AE300" i="7"/>
  <c r="Q300" i="7"/>
  <c r="Y300" i="7"/>
  <c r="X300" i="7"/>
  <c r="I300" i="7"/>
  <c r="M300" i="7"/>
  <c r="T300" i="7"/>
  <c r="U300" i="7"/>
  <c r="Z300" i="7"/>
  <c r="AH300" i="7"/>
  <c r="AG300" i="7"/>
  <c r="H300" i="7"/>
  <c r="J300" i="7"/>
  <c r="L300" i="7"/>
  <c r="O300" i="7"/>
  <c r="P300" i="7"/>
  <c r="R300" i="7"/>
  <c r="S300" i="7"/>
  <c r="V300" i="7"/>
  <c r="AB300" i="7"/>
  <c r="AA300" i="7"/>
  <c r="AI300" i="7"/>
  <c r="AF300" i="7"/>
  <c r="P55" i="6" l="1"/>
  <c r="N30" i="6"/>
  <c r="M30" i="6"/>
  <c r="L30" i="6"/>
  <c r="P30" i="6" l="1"/>
  <c r="P54" i="6"/>
  <c r="N23" i="6"/>
  <c r="M23" i="6"/>
  <c r="L23" i="6"/>
  <c r="M27" i="14" l="1"/>
  <c r="P23" i="6"/>
  <c r="O213" i="1" l="1"/>
  <c r="P58" i="6" l="1"/>
  <c r="L45" i="14" l="1"/>
  <c r="L51" i="14" s="1"/>
  <c r="J39" i="13"/>
  <c r="J41" i="13" s="1"/>
  <c r="J54" i="13" s="1"/>
  <c r="P57" i="6"/>
  <c r="V34" i="18" s="1"/>
  <c r="Q246" i="6"/>
  <c r="P246" i="6"/>
  <c r="O246" i="6"/>
  <c r="N246" i="6"/>
  <c r="M246" i="6"/>
  <c r="L246" i="6"/>
  <c r="K246" i="6"/>
  <c r="K66" i="6" s="1"/>
  <c r="J246" i="6"/>
  <c r="K24" i="6" s="1"/>
  <c r="I246" i="6"/>
  <c r="K31" i="6" s="1"/>
  <c r="H246" i="6"/>
  <c r="G246" i="6"/>
  <c r="F246" i="6"/>
  <c r="D206" i="6"/>
  <c r="J201" i="6"/>
  <c r="I201" i="6"/>
  <c r="H201" i="6"/>
  <c r="G201" i="6"/>
  <c r="F201" i="6"/>
  <c r="J200" i="6"/>
  <c r="I200" i="6"/>
  <c r="H200" i="6"/>
  <c r="N200" i="6" s="1"/>
  <c r="K39" i="19" s="1"/>
  <c r="K39" i="20" s="1"/>
  <c r="G200" i="6"/>
  <c r="F200" i="6"/>
  <c r="J199" i="6"/>
  <c r="I199" i="6"/>
  <c r="H199" i="6"/>
  <c r="G199" i="6"/>
  <c r="F199" i="6"/>
  <c r="J198" i="6"/>
  <c r="P198" i="6" s="1"/>
  <c r="M37" i="19" s="1"/>
  <c r="M37" i="20" s="1"/>
  <c r="I198" i="6"/>
  <c r="H198" i="6"/>
  <c r="G198" i="6"/>
  <c r="F198" i="6"/>
  <c r="J197" i="6"/>
  <c r="I197" i="6"/>
  <c r="H197" i="6"/>
  <c r="G197" i="6"/>
  <c r="M197" i="6" s="1"/>
  <c r="F36" i="19" s="1"/>
  <c r="F36" i="20" s="1"/>
  <c r="F197" i="6"/>
  <c r="J196" i="6"/>
  <c r="I196" i="6"/>
  <c r="H196" i="6"/>
  <c r="G196" i="6"/>
  <c r="F196" i="6"/>
  <c r="J195" i="6"/>
  <c r="I195" i="6"/>
  <c r="O195" i="6" s="1"/>
  <c r="L34" i="19" s="1"/>
  <c r="L34" i="20" s="1"/>
  <c r="H195" i="6"/>
  <c r="G195" i="6"/>
  <c r="F195" i="6"/>
  <c r="J194" i="6"/>
  <c r="I194" i="6"/>
  <c r="H194" i="6"/>
  <c r="G194" i="6"/>
  <c r="F194" i="6"/>
  <c r="L194" i="6" s="1"/>
  <c r="E33" i="19" s="1"/>
  <c r="J193" i="6"/>
  <c r="I193" i="6"/>
  <c r="H193" i="6"/>
  <c r="G193" i="6"/>
  <c r="F193" i="6"/>
  <c r="J192" i="6"/>
  <c r="I192" i="6"/>
  <c r="H192" i="6"/>
  <c r="N192" i="6" s="1"/>
  <c r="K31" i="19" s="1"/>
  <c r="K31" i="20" s="1"/>
  <c r="G192" i="6"/>
  <c r="F192" i="6"/>
  <c r="J191" i="6"/>
  <c r="I191" i="6"/>
  <c r="H191" i="6"/>
  <c r="G191" i="6"/>
  <c r="F191" i="6"/>
  <c r="J190" i="6"/>
  <c r="P190" i="6" s="1"/>
  <c r="M29" i="19" s="1"/>
  <c r="M29" i="20" s="1"/>
  <c r="I190" i="6"/>
  <c r="H190" i="6"/>
  <c r="G190" i="6"/>
  <c r="F190" i="6"/>
  <c r="J189" i="6"/>
  <c r="I189" i="6"/>
  <c r="H189" i="6"/>
  <c r="G189" i="6"/>
  <c r="M189" i="6" s="1"/>
  <c r="F28" i="19" s="1"/>
  <c r="F28" i="20" s="1"/>
  <c r="F189" i="6"/>
  <c r="J188" i="6"/>
  <c r="I188" i="6"/>
  <c r="H188" i="6"/>
  <c r="N188" i="6" s="1"/>
  <c r="K27" i="19" s="1"/>
  <c r="K27" i="20" s="1"/>
  <c r="G188" i="6"/>
  <c r="F188" i="6"/>
  <c r="J187" i="6"/>
  <c r="I187" i="6"/>
  <c r="O187" i="6" s="1"/>
  <c r="L26" i="19" s="1"/>
  <c r="L26" i="20" s="1"/>
  <c r="H187" i="6"/>
  <c r="G187" i="6"/>
  <c r="F187" i="6"/>
  <c r="J186" i="6"/>
  <c r="P186" i="6" s="1"/>
  <c r="M25" i="19" s="1"/>
  <c r="M25" i="20" s="1"/>
  <c r="I186" i="6"/>
  <c r="H186" i="6"/>
  <c r="G186" i="6"/>
  <c r="F186" i="6"/>
  <c r="L186" i="6" s="1"/>
  <c r="E25" i="19" s="1"/>
  <c r="J185" i="6"/>
  <c r="I185" i="6"/>
  <c r="H185" i="6"/>
  <c r="G185" i="6"/>
  <c r="M185" i="6" s="1"/>
  <c r="F24" i="19" s="1"/>
  <c r="F24" i="20" s="1"/>
  <c r="F185" i="6"/>
  <c r="J184" i="6"/>
  <c r="I184" i="6"/>
  <c r="H184" i="6"/>
  <c r="N184" i="6" s="1"/>
  <c r="K23" i="19" s="1"/>
  <c r="K23" i="20" s="1"/>
  <c r="G184" i="6"/>
  <c r="F184" i="6"/>
  <c r="J183" i="6"/>
  <c r="I183" i="6"/>
  <c r="O183" i="6" s="1"/>
  <c r="L22" i="19" s="1"/>
  <c r="L22" i="20" s="1"/>
  <c r="H183" i="6"/>
  <c r="G183" i="6"/>
  <c r="F183" i="6"/>
  <c r="J182" i="6"/>
  <c r="P182" i="6" s="1"/>
  <c r="M21" i="19" s="1"/>
  <c r="M21" i="20" s="1"/>
  <c r="I182" i="6"/>
  <c r="H182" i="6"/>
  <c r="G182" i="6"/>
  <c r="F182" i="6"/>
  <c r="L182" i="6" s="1"/>
  <c r="E21" i="19" s="1"/>
  <c r="J181" i="6"/>
  <c r="I181" i="6"/>
  <c r="H181" i="6"/>
  <c r="G181" i="6"/>
  <c r="M181" i="6" s="1"/>
  <c r="F20" i="19" s="1"/>
  <c r="F20" i="20" s="1"/>
  <c r="F181" i="6"/>
  <c r="J180" i="6"/>
  <c r="I180" i="6"/>
  <c r="H180" i="6"/>
  <c r="N180" i="6" s="1"/>
  <c r="K19" i="19" s="1"/>
  <c r="K19" i="20" s="1"/>
  <c r="G180" i="6"/>
  <c r="F180" i="6"/>
  <c r="J179" i="6"/>
  <c r="I179" i="6"/>
  <c r="O179" i="6" s="1"/>
  <c r="L18" i="19" s="1"/>
  <c r="L18" i="20" s="1"/>
  <c r="H179" i="6"/>
  <c r="G179" i="6"/>
  <c r="F179" i="6"/>
  <c r="J178" i="6"/>
  <c r="P178" i="6" s="1"/>
  <c r="M17" i="19" s="1"/>
  <c r="M17" i="20" s="1"/>
  <c r="I178" i="6"/>
  <c r="H178" i="6"/>
  <c r="G178" i="6"/>
  <c r="F178" i="6"/>
  <c r="L178" i="6" s="1"/>
  <c r="E17" i="19" s="1"/>
  <c r="J177" i="6"/>
  <c r="I177" i="6"/>
  <c r="H177" i="6"/>
  <c r="G177" i="6"/>
  <c r="M177" i="6" s="1"/>
  <c r="F16" i="19" s="1"/>
  <c r="F16" i="20" s="1"/>
  <c r="F177" i="6"/>
  <c r="J176" i="6"/>
  <c r="I176" i="6"/>
  <c r="H176" i="6"/>
  <c r="N176" i="6" s="1"/>
  <c r="K15" i="19" s="1"/>
  <c r="K15" i="20" s="1"/>
  <c r="G176" i="6"/>
  <c r="F176" i="6"/>
  <c r="J175" i="6"/>
  <c r="I175" i="6"/>
  <c r="O175" i="6" s="1"/>
  <c r="L14" i="19" s="1"/>
  <c r="L14" i="20" s="1"/>
  <c r="H175" i="6"/>
  <c r="G175" i="6"/>
  <c r="F175" i="6"/>
  <c r="J174" i="6"/>
  <c r="P174" i="6" s="1"/>
  <c r="M13" i="19" s="1"/>
  <c r="M13" i="20" s="1"/>
  <c r="I174" i="6"/>
  <c r="H174" i="6"/>
  <c r="G174" i="6"/>
  <c r="F174" i="6"/>
  <c r="L174" i="6" s="1"/>
  <c r="E13" i="19" s="1"/>
  <c r="J173" i="6"/>
  <c r="I173" i="6"/>
  <c r="H173" i="6"/>
  <c r="G173" i="6"/>
  <c r="M173" i="6" s="1"/>
  <c r="F12" i="19" s="1"/>
  <c r="F12" i="20" s="1"/>
  <c r="F173" i="6"/>
  <c r="J172" i="6"/>
  <c r="I172" i="6"/>
  <c r="H172" i="6"/>
  <c r="N172" i="6" s="1"/>
  <c r="K11" i="19" s="1"/>
  <c r="K11" i="20" s="1"/>
  <c r="G172" i="6"/>
  <c r="F172" i="6"/>
  <c r="J171" i="6"/>
  <c r="I171" i="6"/>
  <c r="O171" i="6" s="1"/>
  <c r="L10" i="19" s="1"/>
  <c r="L10" i="20" s="1"/>
  <c r="H171" i="6"/>
  <c r="G171" i="6"/>
  <c r="F171" i="6"/>
  <c r="J170" i="6"/>
  <c r="P170" i="6" s="1"/>
  <c r="M9" i="19" s="1"/>
  <c r="M9" i="20" s="1"/>
  <c r="I170" i="6"/>
  <c r="H170" i="6"/>
  <c r="G170" i="6"/>
  <c r="F170" i="6"/>
  <c r="L170" i="6" s="1"/>
  <c r="E9" i="19" s="1"/>
  <c r="J169" i="6"/>
  <c r="I169" i="6"/>
  <c r="H169" i="6"/>
  <c r="G169" i="6"/>
  <c r="M169" i="6" s="1"/>
  <c r="F8" i="19" s="1"/>
  <c r="F169" i="6"/>
  <c r="L160" i="6"/>
  <c r="K160" i="6"/>
  <c r="J160" i="6"/>
  <c r="I160" i="6"/>
  <c r="H160" i="6"/>
  <c r="G160" i="6"/>
  <c r="F160" i="6"/>
  <c r="S460" i="7"/>
  <c r="K210" i="7" s="1"/>
  <c r="S37" i="19" s="1"/>
  <c r="S461" i="7"/>
  <c r="K211" i="7" s="1"/>
  <c r="S38" i="19" s="1"/>
  <c r="S462" i="7"/>
  <c r="K212" i="7" s="1"/>
  <c r="S39" i="19" s="1"/>
  <c r="S463" i="7"/>
  <c r="S445" i="7"/>
  <c r="K195" i="7" s="1"/>
  <c r="S22" i="19" s="1"/>
  <c r="S446" i="7"/>
  <c r="K196" i="7" s="1"/>
  <c r="S23" i="19" s="1"/>
  <c r="S447" i="7"/>
  <c r="K197" i="7" s="1"/>
  <c r="S24" i="19" s="1"/>
  <c r="S448" i="7"/>
  <c r="K198" i="7" s="1"/>
  <c r="S25" i="19" s="1"/>
  <c r="S449" i="7"/>
  <c r="K199" i="7" s="1"/>
  <c r="S26" i="19" s="1"/>
  <c r="S450" i="7"/>
  <c r="K200" i="7" s="1"/>
  <c r="S27" i="19" s="1"/>
  <c r="S451" i="7"/>
  <c r="K201" i="7" s="1"/>
  <c r="S28" i="19" s="1"/>
  <c r="S452" i="7"/>
  <c r="K202" i="7" s="1"/>
  <c r="S29" i="19" s="1"/>
  <c r="S453" i="7"/>
  <c r="K203" i="7" s="1"/>
  <c r="S30" i="19" s="1"/>
  <c r="S454" i="7"/>
  <c r="K204" i="7" s="1"/>
  <c r="S31" i="19" s="1"/>
  <c r="S455" i="7"/>
  <c r="K205" i="7" s="1"/>
  <c r="S32" i="19" s="1"/>
  <c r="S456" i="7"/>
  <c r="K206" i="7" s="1"/>
  <c r="S33" i="19" s="1"/>
  <c r="S457" i="7"/>
  <c r="K207" i="7" s="1"/>
  <c r="S34" i="19" s="1"/>
  <c r="S458" i="7"/>
  <c r="K208" i="7" s="1"/>
  <c r="S35" i="19" s="1"/>
  <c r="S459" i="7"/>
  <c r="K209" i="7" s="1"/>
  <c r="S36" i="19" s="1"/>
  <c r="S432" i="7"/>
  <c r="K182" i="7" s="1"/>
  <c r="S9" i="19" s="1"/>
  <c r="S433" i="7"/>
  <c r="K183" i="7" s="1"/>
  <c r="S10" i="19" s="1"/>
  <c r="S434" i="7"/>
  <c r="K184" i="7" s="1"/>
  <c r="S11" i="19" s="1"/>
  <c r="S435" i="7"/>
  <c r="K185" i="7" s="1"/>
  <c r="S12" i="19" s="1"/>
  <c r="S436" i="7"/>
  <c r="K186" i="7" s="1"/>
  <c r="S13" i="19" s="1"/>
  <c r="S437" i="7"/>
  <c r="K187" i="7" s="1"/>
  <c r="S14" i="19" s="1"/>
  <c r="S438" i="7"/>
  <c r="K188" i="7" s="1"/>
  <c r="S15" i="19" s="1"/>
  <c r="S439" i="7"/>
  <c r="K189" i="7" s="1"/>
  <c r="S16" i="19" s="1"/>
  <c r="S440" i="7"/>
  <c r="K190" i="7" s="1"/>
  <c r="S17" i="19" s="1"/>
  <c r="S441" i="7"/>
  <c r="K191" i="7" s="1"/>
  <c r="S18" i="19" s="1"/>
  <c r="S442" i="7"/>
  <c r="K192" i="7" s="1"/>
  <c r="S19" i="19" s="1"/>
  <c r="S443" i="7"/>
  <c r="K193" i="7" s="1"/>
  <c r="S20" i="19" s="1"/>
  <c r="S444" i="7"/>
  <c r="K194" i="7" s="1"/>
  <c r="S21" i="19" s="1"/>
  <c r="K181" i="7"/>
  <c r="S8" i="19" s="1"/>
  <c r="AO226" i="7"/>
  <c r="N184" i="7" s="1"/>
  <c r="O11" i="19" s="1"/>
  <c r="O464" i="7"/>
  <c r="N464" i="7"/>
  <c r="M464" i="7"/>
  <c r="L464" i="7"/>
  <c r="K464" i="7"/>
  <c r="J464" i="7"/>
  <c r="I464" i="7"/>
  <c r="H464" i="7"/>
  <c r="G464" i="7"/>
  <c r="F464" i="7"/>
  <c r="R463" i="7"/>
  <c r="Q463" i="7"/>
  <c r="P463" i="7"/>
  <c r="R462" i="7"/>
  <c r="Q462" i="7"/>
  <c r="P462" i="7"/>
  <c r="R461" i="7"/>
  <c r="Q461" i="7"/>
  <c r="P461" i="7"/>
  <c r="R460" i="7"/>
  <c r="Q460" i="7"/>
  <c r="P460" i="7"/>
  <c r="R459" i="7"/>
  <c r="Q459" i="7"/>
  <c r="P459" i="7"/>
  <c r="R458" i="7"/>
  <c r="Q458" i="7"/>
  <c r="P458" i="7"/>
  <c r="R457" i="7"/>
  <c r="Q457" i="7"/>
  <c r="P457" i="7"/>
  <c r="R456" i="7"/>
  <c r="Q456" i="7"/>
  <c r="P456" i="7"/>
  <c r="R455" i="7"/>
  <c r="Q455" i="7"/>
  <c r="P455" i="7"/>
  <c r="R454" i="7"/>
  <c r="Q454" i="7"/>
  <c r="P454" i="7"/>
  <c r="R453" i="7"/>
  <c r="Q453" i="7"/>
  <c r="P453" i="7"/>
  <c r="R452" i="7"/>
  <c r="Q452" i="7"/>
  <c r="P452" i="7"/>
  <c r="R451" i="7"/>
  <c r="Q451" i="7"/>
  <c r="P451" i="7"/>
  <c r="R450" i="7"/>
  <c r="Q450" i="7"/>
  <c r="P450" i="7"/>
  <c r="R449" i="7"/>
  <c r="Q449" i="7"/>
  <c r="P449" i="7"/>
  <c r="R448" i="7"/>
  <c r="Q448" i="7"/>
  <c r="P448" i="7"/>
  <c r="R447" i="7"/>
  <c r="Q447" i="7"/>
  <c r="P447" i="7"/>
  <c r="R446" i="7"/>
  <c r="Q446" i="7"/>
  <c r="P446" i="7"/>
  <c r="R445" i="7"/>
  <c r="Q445" i="7"/>
  <c r="P445" i="7"/>
  <c r="R444" i="7"/>
  <c r="Q444" i="7"/>
  <c r="P444" i="7"/>
  <c r="R443" i="7"/>
  <c r="Q443" i="7"/>
  <c r="P443" i="7"/>
  <c r="R442" i="7"/>
  <c r="Q442" i="7"/>
  <c r="P442" i="7"/>
  <c r="R441" i="7"/>
  <c r="Q441" i="7"/>
  <c r="P441" i="7"/>
  <c r="R440" i="7"/>
  <c r="Q440" i="7"/>
  <c r="P440" i="7"/>
  <c r="R439" i="7"/>
  <c r="Q439" i="7"/>
  <c r="P439" i="7"/>
  <c r="R438" i="7"/>
  <c r="Q438" i="7"/>
  <c r="P438" i="7"/>
  <c r="R437" i="7"/>
  <c r="Q437" i="7"/>
  <c r="P437" i="7"/>
  <c r="R436" i="7"/>
  <c r="Q436" i="7"/>
  <c r="P436" i="7"/>
  <c r="R435" i="7"/>
  <c r="Q435" i="7"/>
  <c r="P435" i="7"/>
  <c r="R434" i="7"/>
  <c r="Q434" i="7"/>
  <c r="P434" i="7"/>
  <c r="R433" i="7"/>
  <c r="Q433" i="7"/>
  <c r="P433" i="7"/>
  <c r="R432" i="7"/>
  <c r="Q432" i="7"/>
  <c r="P432" i="7"/>
  <c r="R431" i="7"/>
  <c r="Q431" i="7"/>
  <c r="P431" i="7"/>
  <c r="L424" i="7"/>
  <c r="K424" i="7"/>
  <c r="J424" i="7"/>
  <c r="I424" i="7"/>
  <c r="H424" i="7"/>
  <c r="G424" i="7"/>
  <c r="F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P395" i="7" s="1"/>
  <c r="F185" i="7" s="1"/>
  <c r="M394" i="7"/>
  <c r="M393" i="7"/>
  <c r="M392" i="7"/>
  <c r="M391" i="7"/>
  <c r="W384" i="7"/>
  <c r="V384" i="7"/>
  <c r="K33" i="7" s="1"/>
  <c r="T384" i="7"/>
  <c r="K36" i="7" s="1"/>
  <c r="R384" i="7"/>
  <c r="K35" i="7" s="1"/>
  <c r="P384" i="7"/>
  <c r="K32" i="7" s="1"/>
  <c r="L384" i="7"/>
  <c r="K37" i="7" s="1"/>
  <c r="H384" i="7"/>
  <c r="K31" i="7" s="1"/>
  <c r="F384" i="7"/>
  <c r="K30" i="7" s="1"/>
  <c r="Y383" i="7"/>
  <c r="AE383" i="7" s="1"/>
  <c r="AG383" i="7" s="1"/>
  <c r="X383" i="7"/>
  <c r="AD383" i="7" s="1"/>
  <c r="AF383" i="7" s="1"/>
  <c r="L213" i="7"/>
  <c r="Q40" i="19" s="1"/>
  <c r="X382" i="7"/>
  <c r="AD382" i="7" s="1"/>
  <c r="M213" i="7" s="1"/>
  <c r="R40" i="19" s="1"/>
  <c r="I40" i="19" s="1"/>
  <c r="J382" i="7"/>
  <c r="N382" i="7" s="1"/>
  <c r="X381" i="7"/>
  <c r="AD381" i="7" s="1"/>
  <c r="M212" i="7" s="1"/>
  <c r="R39" i="19" s="1"/>
  <c r="I39" i="19" s="1"/>
  <c r="J381" i="7"/>
  <c r="N381" i="7" s="1"/>
  <c r="L211" i="7"/>
  <c r="Q38" i="19" s="1"/>
  <c r="X380" i="7"/>
  <c r="AD380" i="7" s="1"/>
  <c r="M211" i="7" s="1"/>
  <c r="R38" i="19" s="1"/>
  <c r="I38" i="19" s="1"/>
  <c r="J380" i="7"/>
  <c r="N380" i="7" s="1"/>
  <c r="X379" i="7"/>
  <c r="AD379" i="7" s="1"/>
  <c r="M210" i="7" s="1"/>
  <c r="R37" i="19" s="1"/>
  <c r="I37" i="19" s="1"/>
  <c r="J379" i="7"/>
  <c r="N379" i="7" s="1"/>
  <c r="L209" i="7"/>
  <c r="Q36" i="19" s="1"/>
  <c r="X378" i="7"/>
  <c r="AD378" i="7" s="1"/>
  <c r="M209" i="7" s="1"/>
  <c r="R36" i="19" s="1"/>
  <c r="I36" i="19" s="1"/>
  <c r="J378" i="7"/>
  <c r="N378" i="7" s="1"/>
  <c r="L208" i="7"/>
  <c r="Q35" i="19" s="1"/>
  <c r="X377" i="7"/>
  <c r="AD377" i="7" s="1"/>
  <c r="M208" i="7" s="1"/>
  <c r="R35" i="19" s="1"/>
  <c r="I35" i="19" s="1"/>
  <c r="J377" i="7"/>
  <c r="N377" i="7" s="1"/>
  <c r="L207" i="7"/>
  <c r="Q34" i="19" s="1"/>
  <c r="X376" i="7"/>
  <c r="AD376" i="7" s="1"/>
  <c r="M207" i="7" s="1"/>
  <c r="R34" i="19" s="1"/>
  <c r="I34" i="19" s="1"/>
  <c r="J376" i="7"/>
  <c r="N376" i="7" s="1"/>
  <c r="X375" i="7"/>
  <c r="AD375" i="7" s="1"/>
  <c r="M206" i="7" s="1"/>
  <c r="R33" i="19" s="1"/>
  <c r="I33" i="19" s="1"/>
  <c r="J375" i="7"/>
  <c r="N375" i="7" s="1"/>
  <c r="L205" i="7"/>
  <c r="Q32" i="19" s="1"/>
  <c r="X374" i="7"/>
  <c r="AD374" i="7" s="1"/>
  <c r="M205" i="7" s="1"/>
  <c r="R32" i="19" s="1"/>
  <c r="I32" i="19" s="1"/>
  <c r="J374" i="7"/>
  <c r="N374" i="7" s="1"/>
  <c r="X373" i="7"/>
  <c r="AD373" i="7" s="1"/>
  <c r="M204" i="7" s="1"/>
  <c r="R31" i="19" s="1"/>
  <c r="I31" i="19" s="1"/>
  <c r="J373" i="7"/>
  <c r="N373" i="7" s="1"/>
  <c r="L203" i="7"/>
  <c r="Q30" i="19" s="1"/>
  <c r="X372" i="7"/>
  <c r="AD372" i="7" s="1"/>
  <c r="M203" i="7" s="1"/>
  <c r="R30" i="19" s="1"/>
  <c r="I30" i="19" s="1"/>
  <c r="J372" i="7"/>
  <c r="N372" i="7" s="1"/>
  <c r="X371" i="7"/>
  <c r="AD371" i="7" s="1"/>
  <c r="M202" i="7" s="1"/>
  <c r="R29" i="19" s="1"/>
  <c r="I29" i="19" s="1"/>
  <c r="J371" i="7"/>
  <c r="N371" i="7" s="1"/>
  <c r="L201" i="7"/>
  <c r="Q28" i="19" s="1"/>
  <c r="X370" i="7"/>
  <c r="AD370" i="7" s="1"/>
  <c r="M201" i="7" s="1"/>
  <c r="R28" i="19" s="1"/>
  <c r="I28" i="19" s="1"/>
  <c r="J370" i="7"/>
  <c r="N370" i="7" s="1"/>
  <c r="L200" i="7"/>
  <c r="Q27" i="19" s="1"/>
  <c r="X369" i="7"/>
  <c r="AD369" i="7" s="1"/>
  <c r="J369" i="7"/>
  <c r="N369" i="7" s="1"/>
  <c r="L199" i="7"/>
  <c r="Q26" i="19" s="1"/>
  <c r="X368" i="7"/>
  <c r="AD368" i="7" s="1"/>
  <c r="M199" i="7" s="1"/>
  <c r="R26" i="19" s="1"/>
  <c r="I26" i="19" s="1"/>
  <c r="J368" i="7"/>
  <c r="N368" i="7" s="1"/>
  <c r="X367" i="7"/>
  <c r="AD367" i="7" s="1"/>
  <c r="M198" i="7" s="1"/>
  <c r="R25" i="19" s="1"/>
  <c r="I25" i="19" s="1"/>
  <c r="J367" i="7"/>
  <c r="N367" i="7" s="1"/>
  <c r="L197" i="7"/>
  <c r="Q24" i="19" s="1"/>
  <c r="X366" i="7"/>
  <c r="AD366" i="7" s="1"/>
  <c r="M197" i="7" s="1"/>
  <c r="R24" i="19" s="1"/>
  <c r="I24" i="19" s="1"/>
  <c r="J366" i="7"/>
  <c r="N366" i="7" s="1"/>
  <c r="L196" i="7"/>
  <c r="Q23" i="19" s="1"/>
  <c r="X365" i="7"/>
  <c r="AD365" i="7" s="1"/>
  <c r="M196" i="7" s="1"/>
  <c r="R23" i="19" s="1"/>
  <c r="I23" i="19" s="1"/>
  <c r="J365" i="7"/>
  <c r="N365" i="7" s="1"/>
  <c r="L195" i="7"/>
  <c r="Q22" i="19" s="1"/>
  <c r="X364" i="7"/>
  <c r="AD364" i="7" s="1"/>
  <c r="M195" i="7" s="1"/>
  <c r="R22" i="19" s="1"/>
  <c r="I22" i="19" s="1"/>
  <c r="J364" i="7"/>
  <c r="N364" i="7" s="1"/>
  <c r="X363" i="7"/>
  <c r="AD363" i="7" s="1"/>
  <c r="M194" i="7" s="1"/>
  <c r="R21" i="19" s="1"/>
  <c r="I21" i="19" s="1"/>
  <c r="J363" i="7"/>
  <c r="N363" i="7" s="1"/>
  <c r="L193" i="7"/>
  <c r="Q20" i="19" s="1"/>
  <c r="X362" i="7"/>
  <c r="AD362" i="7" s="1"/>
  <c r="M193" i="7" s="1"/>
  <c r="R20" i="19" s="1"/>
  <c r="I20" i="19" s="1"/>
  <c r="J362" i="7"/>
  <c r="N362" i="7" s="1"/>
  <c r="L192" i="7"/>
  <c r="Q19" i="19" s="1"/>
  <c r="X361" i="7"/>
  <c r="AD361" i="7" s="1"/>
  <c r="J361" i="7"/>
  <c r="N361" i="7" s="1"/>
  <c r="L191" i="7"/>
  <c r="Q18" i="19" s="1"/>
  <c r="X360" i="7"/>
  <c r="AD360" i="7" s="1"/>
  <c r="M191" i="7" s="1"/>
  <c r="R18" i="19" s="1"/>
  <c r="I18" i="19" s="1"/>
  <c r="J360" i="7"/>
  <c r="N360" i="7" s="1"/>
  <c r="L190" i="7"/>
  <c r="Q17" i="19" s="1"/>
  <c r="X359" i="7"/>
  <c r="AD359" i="7" s="1"/>
  <c r="M190" i="7" s="1"/>
  <c r="R17" i="19" s="1"/>
  <c r="I17" i="19" s="1"/>
  <c r="J359" i="7"/>
  <c r="N359" i="7" s="1"/>
  <c r="L189" i="7"/>
  <c r="Q16" i="19" s="1"/>
  <c r="X358" i="7"/>
  <c r="AD358" i="7" s="1"/>
  <c r="M189" i="7" s="1"/>
  <c r="R16" i="19" s="1"/>
  <c r="I16" i="19" s="1"/>
  <c r="J358" i="7"/>
  <c r="N358" i="7" s="1"/>
  <c r="L188" i="7"/>
  <c r="Q15" i="19" s="1"/>
  <c r="X357" i="7"/>
  <c r="AD357" i="7" s="1"/>
  <c r="M188" i="7" s="1"/>
  <c r="R15" i="19" s="1"/>
  <c r="I15" i="19" s="1"/>
  <c r="J357" i="7"/>
  <c r="N357" i="7" s="1"/>
  <c r="L187" i="7"/>
  <c r="Q14" i="19" s="1"/>
  <c r="X356" i="7"/>
  <c r="AD356" i="7" s="1"/>
  <c r="M187" i="7" s="1"/>
  <c r="R14" i="19" s="1"/>
  <c r="I14" i="19" s="1"/>
  <c r="J356" i="7"/>
  <c r="N356" i="7" s="1"/>
  <c r="X355" i="7"/>
  <c r="AD355" i="7" s="1"/>
  <c r="M186" i="7" s="1"/>
  <c r="R13" i="19" s="1"/>
  <c r="I13" i="19" s="1"/>
  <c r="J355" i="7"/>
  <c r="N355" i="7" s="1"/>
  <c r="L185" i="7"/>
  <c r="Q12" i="19" s="1"/>
  <c r="X354" i="7"/>
  <c r="AD354" i="7" s="1"/>
  <c r="M185" i="7" s="1"/>
  <c r="R12" i="19" s="1"/>
  <c r="I12" i="19" s="1"/>
  <c r="J354" i="7"/>
  <c r="N354" i="7" s="1"/>
  <c r="L184" i="7"/>
  <c r="Q11" i="19" s="1"/>
  <c r="X353" i="7"/>
  <c r="AD353" i="7" s="1"/>
  <c r="M184" i="7" s="1"/>
  <c r="R11" i="19" s="1"/>
  <c r="I11" i="19" s="1"/>
  <c r="J353" i="7"/>
  <c r="N353" i="7" s="1"/>
  <c r="L183" i="7"/>
  <c r="Q10" i="19" s="1"/>
  <c r="X352" i="7"/>
  <c r="AD352" i="7" s="1"/>
  <c r="M183" i="7" s="1"/>
  <c r="R10" i="19" s="1"/>
  <c r="I10" i="19" s="1"/>
  <c r="J352" i="7"/>
  <c r="N352" i="7" s="1"/>
  <c r="L182" i="7"/>
  <c r="Q9" i="19" s="1"/>
  <c r="X351" i="7"/>
  <c r="AD351" i="7" s="1"/>
  <c r="M182" i="7" s="1"/>
  <c r="R9" i="19" s="1"/>
  <c r="I9" i="19" s="1"/>
  <c r="J351" i="7"/>
  <c r="N351" i="7" s="1"/>
  <c r="J350" i="7"/>
  <c r="K340" i="7"/>
  <c r="I340" i="7"/>
  <c r="N52" i="7" s="1"/>
  <c r="H340" i="7"/>
  <c r="M52" i="7" s="1"/>
  <c r="G340" i="7"/>
  <c r="F340" i="7"/>
  <c r="K52" i="7" s="1"/>
  <c r="L52" i="7" s="1"/>
  <c r="P40" i="20"/>
  <c r="P83" i="20" s="1"/>
  <c r="P39" i="20"/>
  <c r="P82" i="20" s="1"/>
  <c r="P39" i="19"/>
  <c r="P38" i="20"/>
  <c r="P81" i="20" s="1"/>
  <c r="P38" i="19"/>
  <c r="P37" i="20"/>
  <c r="P80" i="20" s="1"/>
  <c r="P37" i="19"/>
  <c r="P36" i="20"/>
  <c r="P79" i="20" s="1"/>
  <c r="P36" i="19"/>
  <c r="P35" i="20"/>
  <c r="P78" i="20" s="1"/>
  <c r="P35" i="19"/>
  <c r="P34" i="20"/>
  <c r="P77" i="20" s="1"/>
  <c r="P34" i="19"/>
  <c r="P33" i="20"/>
  <c r="P76" i="20" s="1"/>
  <c r="P33" i="19"/>
  <c r="P32" i="20"/>
  <c r="P75" i="20" s="1"/>
  <c r="P32" i="19"/>
  <c r="P31" i="20"/>
  <c r="P74" i="20" s="1"/>
  <c r="P31" i="19"/>
  <c r="P30" i="20"/>
  <c r="P73" i="20" s="1"/>
  <c r="P30" i="19"/>
  <c r="P29" i="20"/>
  <c r="P72" i="20" s="1"/>
  <c r="P29" i="19"/>
  <c r="P28" i="20"/>
  <c r="P71" i="20" s="1"/>
  <c r="P28" i="19"/>
  <c r="P27" i="20"/>
  <c r="P70" i="20" s="1"/>
  <c r="P27" i="19"/>
  <c r="P26" i="20"/>
  <c r="P69" i="20" s="1"/>
  <c r="P26" i="19"/>
  <c r="P25" i="20"/>
  <c r="P68" i="20" s="1"/>
  <c r="P25" i="19"/>
  <c r="P24" i="20"/>
  <c r="P67" i="20" s="1"/>
  <c r="P24" i="19"/>
  <c r="P23" i="20"/>
  <c r="P66" i="20" s="1"/>
  <c r="P23" i="19"/>
  <c r="P22" i="20"/>
  <c r="P65" i="20" s="1"/>
  <c r="P22" i="19"/>
  <c r="P21" i="20"/>
  <c r="P64" i="20" s="1"/>
  <c r="P21" i="19"/>
  <c r="P20" i="20"/>
  <c r="P63" i="20" s="1"/>
  <c r="P20" i="19"/>
  <c r="P19" i="20"/>
  <c r="P62" i="20" s="1"/>
  <c r="P19" i="19"/>
  <c r="P18" i="20"/>
  <c r="P61" i="20" s="1"/>
  <c r="P18" i="19"/>
  <c r="P17" i="20"/>
  <c r="P60" i="20" s="1"/>
  <c r="P17" i="19"/>
  <c r="P16" i="20"/>
  <c r="P59" i="20" s="1"/>
  <c r="P16" i="19"/>
  <c r="P15" i="20"/>
  <c r="P58" i="20" s="1"/>
  <c r="P15" i="19"/>
  <c r="P14" i="20"/>
  <c r="P57" i="20" s="1"/>
  <c r="P14" i="19"/>
  <c r="P13" i="20"/>
  <c r="P56" i="20" s="1"/>
  <c r="P13" i="19"/>
  <c r="P12" i="20"/>
  <c r="P55" i="20" s="1"/>
  <c r="P12" i="19"/>
  <c r="P11" i="20"/>
  <c r="P54" i="20" s="1"/>
  <c r="P11" i="19"/>
  <c r="P10" i="20"/>
  <c r="P53" i="20" s="1"/>
  <c r="P10" i="19"/>
  <c r="P9" i="20"/>
  <c r="P52" i="20" s="1"/>
  <c r="P9" i="19"/>
  <c r="P8" i="20"/>
  <c r="W300" i="7"/>
  <c r="AN256" i="7"/>
  <c r="AM256" i="7"/>
  <c r="AL256" i="7"/>
  <c r="AK256" i="7"/>
  <c r="AJ256" i="7"/>
  <c r="AI256" i="7"/>
  <c r="AH256" i="7"/>
  <c r="AG256" i="7"/>
  <c r="AF256" i="7"/>
  <c r="AE256" i="7"/>
  <c r="AD256" i="7"/>
  <c r="AC256" i="7"/>
  <c r="AB256" i="7"/>
  <c r="AA256" i="7"/>
  <c r="Z256" i="7"/>
  <c r="Y256" i="7"/>
  <c r="X256" i="7"/>
  <c r="W256" i="7"/>
  <c r="V256" i="7"/>
  <c r="U256" i="7"/>
  <c r="T256" i="7"/>
  <c r="S256" i="7"/>
  <c r="R256" i="7"/>
  <c r="Q256" i="7"/>
  <c r="P256" i="7"/>
  <c r="O256" i="7"/>
  <c r="N256" i="7"/>
  <c r="M256" i="7"/>
  <c r="L256" i="7"/>
  <c r="K256" i="7"/>
  <c r="J256" i="7"/>
  <c r="I256" i="7"/>
  <c r="H256" i="7"/>
  <c r="G256" i="7"/>
  <c r="F256" i="7"/>
  <c r="P40" i="19"/>
  <c r="K213" i="7"/>
  <c r="S40" i="19" s="1"/>
  <c r="S12" i="20"/>
  <c r="S55" i="20" s="1"/>
  <c r="P394" i="7" l="1"/>
  <c r="F184" i="7" s="1"/>
  <c r="S11" i="20" s="1"/>
  <c r="S54" i="20" s="1"/>
  <c r="P418" i="7"/>
  <c r="F208" i="7" s="1"/>
  <c r="S35" i="20" s="1"/>
  <c r="S78" i="20" s="1"/>
  <c r="P410" i="7"/>
  <c r="F200" i="7" s="1"/>
  <c r="S27" i="20" s="1"/>
  <c r="S70" i="20" s="1"/>
  <c r="P403" i="7"/>
  <c r="F193" i="7" s="1"/>
  <c r="S20" i="20" s="1"/>
  <c r="S63" i="20" s="1"/>
  <c r="P411" i="7"/>
  <c r="F201" i="7" s="1"/>
  <c r="S28" i="20" s="1"/>
  <c r="S71" i="20" s="1"/>
  <c r="P419" i="7"/>
  <c r="F209" i="7" s="1"/>
  <c r="S36" i="20" s="1"/>
  <c r="S79" i="20" s="1"/>
  <c r="P402" i="7"/>
  <c r="F192" i="7" s="1"/>
  <c r="S19" i="20" s="1"/>
  <c r="S62" i="20" s="1"/>
  <c r="P396" i="7"/>
  <c r="F186" i="7" s="1"/>
  <c r="S13" i="20" s="1"/>
  <c r="S56" i="20" s="1"/>
  <c r="P404" i="7"/>
  <c r="F194" i="7" s="1"/>
  <c r="S21" i="20" s="1"/>
  <c r="S64" i="20" s="1"/>
  <c r="P412" i="7"/>
  <c r="F202" i="7" s="1"/>
  <c r="S29" i="20" s="1"/>
  <c r="S72" i="20" s="1"/>
  <c r="P420" i="7"/>
  <c r="F210" i="7" s="1"/>
  <c r="S37" i="20" s="1"/>
  <c r="S80" i="20" s="1"/>
  <c r="P397" i="7"/>
  <c r="F187" i="7" s="1"/>
  <c r="S14" i="20" s="1"/>
  <c r="S57" i="20" s="1"/>
  <c r="P405" i="7"/>
  <c r="F195" i="7" s="1"/>
  <c r="S22" i="20" s="1"/>
  <c r="S65" i="20" s="1"/>
  <c r="P413" i="7"/>
  <c r="F203" i="7" s="1"/>
  <c r="S30" i="20" s="1"/>
  <c r="S73" i="20" s="1"/>
  <c r="P421" i="7"/>
  <c r="F211" i="7" s="1"/>
  <c r="S38" i="20" s="1"/>
  <c r="S81" i="20" s="1"/>
  <c r="P398" i="7"/>
  <c r="F188" i="7" s="1"/>
  <c r="S15" i="20" s="1"/>
  <c r="S58" i="20" s="1"/>
  <c r="P406" i="7"/>
  <c r="F196" i="7" s="1"/>
  <c r="S23" i="20" s="1"/>
  <c r="S66" i="20" s="1"/>
  <c r="P414" i="7"/>
  <c r="F204" i="7" s="1"/>
  <c r="S31" i="20" s="1"/>
  <c r="S74" i="20" s="1"/>
  <c r="P422" i="7"/>
  <c r="F212" i="7" s="1"/>
  <c r="S39" i="20" s="1"/>
  <c r="S82" i="20" s="1"/>
  <c r="L190" i="6"/>
  <c r="E29" i="19" s="1"/>
  <c r="O191" i="6"/>
  <c r="L30" i="19" s="1"/>
  <c r="L30" i="20" s="1"/>
  <c r="M193" i="6"/>
  <c r="F32" i="19" s="1"/>
  <c r="F32" i="20" s="1"/>
  <c r="P194" i="6"/>
  <c r="M33" i="19" s="1"/>
  <c r="M33" i="20" s="1"/>
  <c r="N196" i="6"/>
  <c r="K35" i="19" s="1"/>
  <c r="K35" i="20" s="1"/>
  <c r="L198" i="6"/>
  <c r="E37" i="19" s="1"/>
  <c r="O199" i="6"/>
  <c r="L38" i="19" s="1"/>
  <c r="L38" i="20" s="1"/>
  <c r="M201" i="6"/>
  <c r="F40" i="19" s="1"/>
  <c r="F40" i="20" s="1"/>
  <c r="P52" i="7"/>
  <c r="P391" i="7"/>
  <c r="P399" i="7"/>
  <c r="F189" i="7" s="1"/>
  <c r="S16" i="20" s="1"/>
  <c r="S59" i="20" s="1"/>
  <c r="P407" i="7"/>
  <c r="F197" i="7" s="1"/>
  <c r="S24" i="20" s="1"/>
  <c r="S67" i="20" s="1"/>
  <c r="S32" i="20"/>
  <c r="S75" i="20" s="1"/>
  <c r="P415" i="7"/>
  <c r="F205" i="7" s="1"/>
  <c r="S40" i="20"/>
  <c r="S83" i="20" s="1"/>
  <c r="P423" i="7"/>
  <c r="F213" i="7" s="1"/>
  <c r="P392" i="7"/>
  <c r="F182" i="7" s="1"/>
  <c r="S9" i="20" s="1"/>
  <c r="S52" i="20" s="1"/>
  <c r="P400" i="7"/>
  <c r="F190" i="7" s="1"/>
  <c r="S17" i="20" s="1"/>
  <c r="S60" i="20" s="1"/>
  <c r="S25" i="20"/>
  <c r="S68" i="20" s="1"/>
  <c r="P408" i="7"/>
  <c r="F198" i="7" s="1"/>
  <c r="S33" i="20"/>
  <c r="S76" i="20" s="1"/>
  <c r="P416" i="7"/>
  <c r="F206" i="7" s="1"/>
  <c r="K63" i="7"/>
  <c r="S10" i="20"/>
  <c r="S53" i="20" s="1"/>
  <c r="P393" i="7"/>
  <c r="F183" i="7" s="1"/>
  <c r="P401" i="7"/>
  <c r="F191" i="7" s="1"/>
  <c r="S18" i="20" s="1"/>
  <c r="S61" i="20" s="1"/>
  <c r="P409" i="7"/>
  <c r="F199" i="7" s="1"/>
  <c r="S26" i="20" s="1"/>
  <c r="S69" i="20" s="1"/>
  <c r="P417" i="7"/>
  <c r="F207" i="7" s="1"/>
  <c r="S34" i="20" s="1"/>
  <c r="S77" i="20" s="1"/>
  <c r="K12" i="6"/>
  <c r="K95" i="6"/>
  <c r="O40" i="21"/>
  <c r="J45" i="14"/>
  <c r="J51" i="14" s="1"/>
  <c r="H15" i="14" s="1"/>
  <c r="J49" i="14"/>
  <c r="H16" i="14" s="1"/>
  <c r="O132" i="9"/>
  <c r="Q132" i="9" s="1"/>
  <c r="AB38" i="20" s="1"/>
  <c r="O128" i="9"/>
  <c r="Q128" i="9" s="1"/>
  <c r="AB34" i="20" s="1"/>
  <c r="O124" i="9"/>
  <c r="Q124" i="9" s="1"/>
  <c r="AB30" i="20" s="1"/>
  <c r="O120" i="9"/>
  <c r="Q120" i="9" s="1"/>
  <c r="AB26" i="20" s="1"/>
  <c r="O116" i="9"/>
  <c r="Q116" i="9" s="1"/>
  <c r="AB22" i="20" s="1"/>
  <c r="O112" i="9"/>
  <c r="Q112" i="9" s="1"/>
  <c r="AB18" i="20" s="1"/>
  <c r="O108" i="9"/>
  <c r="Q108" i="9" s="1"/>
  <c r="AB14" i="20" s="1"/>
  <c r="O118" i="9"/>
  <c r="Q118" i="9" s="1"/>
  <c r="AB24" i="20" s="1"/>
  <c r="O110" i="9"/>
  <c r="Q110" i="9" s="1"/>
  <c r="AB16" i="20" s="1"/>
  <c r="O102" i="9"/>
  <c r="Q102" i="9" s="1"/>
  <c r="AB8" i="20" s="1"/>
  <c r="O133" i="9"/>
  <c r="Q133" i="9" s="1"/>
  <c r="AB39" i="20" s="1"/>
  <c r="O129" i="9"/>
  <c r="Q129" i="9" s="1"/>
  <c r="AB35" i="20" s="1"/>
  <c r="O125" i="9"/>
  <c r="Q125" i="9" s="1"/>
  <c r="AB31" i="20" s="1"/>
  <c r="O121" i="9"/>
  <c r="Q121" i="9" s="1"/>
  <c r="AB27" i="20" s="1"/>
  <c r="O117" i="9"/>
  <c r="Q117" i="9" s="1"/>
  <c r="AB23" i="20" s="1"/>
  <c r="O113" i="9"/>
  <c r="Q113" i="9" s="1"/>
  <c r="AB19" i="20" s="1"/>
  <c r="O109" i="9"/>
  <c r="Q109" i="9" s="1"/>
  <c r="AB15" i="20" s="1"/>
  <c r="O105" i="9"/>
  <c r="Q105" i="9" s="1"/>
  <c r="AB11" i="20" s="1"/>
  <c r="O130" i="9"/>
  <c r="Q130" i="9" s="1"/>
  <c r="AB36" i="20" s="1"/>
  <c r="O126" i="9"/>
  <c r="Q126" i="9" s="1"/>
  <c r="AB32" i="20" s="1"/>
  <c r="O114" i="9"/>
  <c r="Q114" i="9" s="1"/>
  <c r="AB20" i="20" s="1"/>
  <c r="O131" i="9"/>
  <c r="Q131" i="9" s="1"/>
  <c r="AB37" i="20" s="1"/>
  <c r="O127" i="9"/>
  <c r="Q127" i="9" s="1"/>
  <c r="AB33" i="20" s="1"/>
  <c r="O123" i="9"/>
  <c r="Q123" i="9" s="1"/>
  <c r="AB29" i="20" s="1"/>
  <c r="O119" i="9"/>
  <c r="Q119" i="9" s="1"/>
  <c r="AB25" i="20" s="1"/>
  <c r="O115" i="9"/>
  <c r="Q115" i="9" s="1"/>
  <c r="AB21" i="20" s="1"/>
  <c r="O111" i="9"/>
  <c r="Q111" i="9" s="1"/>
  <c r="AB17" i="20" s="1"/>
  <c r="O107" i="9"/>
  <c r="Q107" i="9" s="1"/>
  <c r="AB13" i="20" s="1"/>
  <c r="O103" i="9"/>
  <c r="Q103" i="9" s="1"/>
  <c r="AB9" i="20" s="1"/>
  <c r="O104" i="9"/>
  <c r="Q104" i="9" s="1"/>
  <c r="AB10" i="20" s="1"/>
  <c r="O134" i="9"/>
  <c r="Q134" i="9" s="1"/>
  <c r="AB40" i="20" s="1"/>
  <c r="O122" i="9"/>
  <c r="Q122" i="9" s="1"/>
  <c r="AB28" i="20" s="1"/>
  <c r="O106" i="9"/>
  <c r="Q106" i="9" s="1"/>
  <c r="AB12" i="20" s="1"/>
  <c r="J28" i="14"/>
  <c r="M28" i="14" s="1"/>
  <c r="U11" i="19"/>
  <c r="L169" i="6"/>
  <c r="E8" i="19" s="1"/>
  <c r="G8" i="19" s="1"/>
  <c r="P169" i="6"/>
  <c r="M8" i="19" s="1"/>
  <c r="M8" i="20" s="1"/>
  <c r="O170" i="6"/>
  <c r="L9" i="19" s="1"/>
  <c r="L9" i="20" s="1"/>
  <c r="N171" i="6"/>
  <c r="K10" i="19" s="1"/>
  <c r="K10" i="20" s="1"/>
  <c r="M172" i="6"/>
  <c r="F11" i="19" s="1"/>
  <c r="F11" i="20" s="1"/>
  <c r="L173" i="6"/>
  <c r="E12" i="19" s="1"/>
  <c r="E12" i="20" s="1"/>
  <c r="G12" i="20" s="1"/>
  <c r="P173" i="6"/>
  <c r="M12" i="19" s="1"/>
  <c r="M12" i="20" s="1"/>
  <c r="O174" i="6"/>
  <c r="L13" i="19" s="1"/>
  <c r="L13" i="20" s="1"/>
  <c r="N175" i="6"/>
  <c r="K14" i="19" s="1"/>
  <c r="K14" i="20" s="1"/>
  <c r="M176" i="6"/>
  <c r="F15" i="19" s="1"/>
  <c r="F15" i="20" s="1"/>
  <c r="L177" i="6"/>
  <c r="E16" i="19" s="1"/>
  <c r="G16" i="19" s="1"/>
  <c r="P177" i="6"/>
  <c r="M16" i="19" s="1"/>
  <c r="M16" i="20" s="1"/>
  <c r="O178" i="6"/>
  <c r="L17" i="19" s="1"/>
  <c r="L17" i="20" s="1"/>
  <c r="N179" i="6"/>
  <c r="K18" i="19" s="1"/>
  <c r="K18" i="20" s="1"/>
  <c r="M180" i="6"/>
  <c r="F19" i="19" s="1"/>
  <c r="F19" i="20" s="1"/>
  <c r="L181" i="6"/>
  <c r="E20" i="19" s="1"/>
  <c r="G20" i="19" s="1"/>
  <c r="J15" i="14"/>
  <c r="J20" i="14" s="1"/>
  <c r="L63" i="14"/>
  <c r="F39" i="13"/>
  <c r="F41" i="13" s="1"/>
  <c r="F8" i="20"/>
  <c r="E9" i="20"/>
  <c r="E13" i="20"/>
  <c r="E17" i="20"/>
  <c r="E21" i="20"/>
  <c r="E25" i="20"/>
  <c r="E29" i="20"/>
  <c r="E33" i="20"/>
  <c r="E37" i="20"/>
  <c r="L24" i="6"/>
  <c r="N24" i="6"/>
  <c r="M24" i="6"/>
  <c r="L31" i="6"/>
  <c r="M31" i="6"/>
  <c r="N31" i="6"/>
  <c r="P51" i="20"/>
  <c r="P84" i="20" s="1"/>
  <c r="P85" i="20" s="1"/>
  <c r="P42" i="20"/>
  <c r="P43" i="20" s="1"/>
  <c r="S42" i="19"/>
  <c r="S43" i="19" s="1"/>
  <c r="V99" i="18" s="1"/>
  <c r="N66" i="6"/>
  <c r="M66" i="6"/>
  <c r="L66" i="6"/>
  <c r="K64" i="7"/>
  <c r="L64" i="7" s="1"/>
  <c r="K66" i="7"/>
  <c r="K65" i="7"/>
  <c r="K67" i="7"/>
  <c r="K68" i="7"/>
  <c r="P181" i="6"/>
  <c r="M20" i="19" s="1"/>
  <c r="M20" i="20" s="1"/>
  <c r="O182" i="6"/>
  <c r="L21" i="19" s="1"/>
  <c r="L21" i="20" s="1"/>
  <c r="N183" i="6"/>
  <c r="K22" i="19" s="1"/>
  <c r="K22" i="20" s="1"/>
  <c r="M184" i="6"/>
  <c r="F23" i="19" s="1"/>
  <c r="F23" i="20" s="1"/>
  <c r="L181" i="7"/>
  <c r="Q8" i="19" s="1"/>
  <c r="AB384" i="7"/>
  <c r="K44" i="7"/>
  <c r="N44" i="7" s="1"/>
  <c r="K45" i="7"/>
  <c r="N37" i="7"/>
  <c r="L37" i="7"/>
  <c r="M37" i="7"/>
  <c r="L33" i="7"/>
  <c r="M33" i="7"/>
  <c r="N33" i="7"/>
  <c r="L31" i="7"/>
  <c r="N31" i="7"/>
  <c r="M31" i="7"/>
  <c r="N32" i="7"/>
  <c r="L32" i="7"/>
  <c r="M32" i="7"/>
  <c r="M36" i="7"/>
  <c r="N36" i="7"/>
  <c r="L36" i="7"/>
  <c r="L12" i="6"/>
  <c r="M30" i="7"/>
  <c r="L30" i="7"/>
  <c r="N30" i="7"/>
  <c r="L35" i="7"/>
  <c r="M35" i="7"/>
  <c r="N35" i="7"/>
  <c r="M214" i="7"/>
  <c r="R41" i="19" s="1"/>
  <c r="AF353" i="7"/>
  <c r="AF361" i="7"/>
  <c r="AF369" i="7"/>
  <c r="M192" i="7"/>
  <c r="R19" i="19" s="1"/>
  <c r="I19" i="19" s="1"/>
  <c r="AF377" i="7"/>
  <c r="M200" i="7"/>
  <c r="R27" i="19" s="1"/>
  <c r="I27" i="19" s="1"/>
  <c r="AF380" i="7"/>
  <c r="R464" i="7"/>
  <c r="Q464" i="7"/>
  <c r="AF351" i="7"/>
  <c r="X384" i="7"/>
  <c r="P464" i="7"/>
  <c r="AO249" i="7"/>
  <c r="N207" i="7" s="1"/>
  <c r="O34" i="19" s="1"/>
  <c r="U34" i="19" s="1"/>
  <c r="AO241" i="7"/>
  <c r="N199" i="7" s="1"/>
  <c r="O26" i="19" s="1"/>
  <c r="U26" i="19" s="1"/>
  <c r="AO233" i="7"/>
  <c r="N191" i="7" s="1"/>
  <c r="O18" i="19" s="1"/>
  <c r="U18" i="19" s="1"/>
  <c r="AO225" i="7"/>
  <c r="N183" i="7" s="1"/>
  <c r="O10" i="19" s="1"/>
  <c r="U10" i="19" s="1"/>
  <c r="AO223" i="7"/>
  <c r="AO248" i="7"/>
  <c r="N206" i="7" s="1"/>
  <c r="O33" i="19" s="1"/>
  <c r="AO240" i="7"/>
  <c r="N198" i="7" s="1"/>
  <c r="O25" i="19" s="1"/>
  <c r="AO232" i="7"/>
  <c r="N190" i="7" s="1"/>
  <c r="O17" i="19" s="1"/>
  <c r="U17" i="19" s="1"/>
  <c r="N182" i="7"/>
  <c r="O9" i="19" s="1"/>
  <c r="U9" i="19" s="1"/>
  <c r="AF359" i="7"/>
  <c r="AO255" i="7"/>
  <c r="AO247" i="7"/>
  <c r="N205" i="7" s="1"/>
  <c r="O32" i="19" s="1"/>
  <c r="U32" i="19" s="1"/>
  <c r="AO239" i="7"/>
  <c r="N197" i="7" s="1"/>
  <c r="O24" i="19" s="1"/>
  <c r="U24" i="19" s="1"/>
  <c r="AO231" i="7"/>
  <c r="N189" i="7" s="1"/>
  <c r="O16" i="19" s="1"/>
  <c r="U16" i="19" s="1"/>
  <c r="AF356" i="7"/>
  <c r="AF365" i="7"/>
  <c r="AO254" i="7"/>
  <c r="N212" i="7" s="1"/>
  <c r="O39" i="19" s="1"/>
  <c r="AO246" i="7"/>
  <c r="N204" i="7" s="1"/>
  <c r="O31" i="19" s="1"/>
  <c r="AO238" i="7"/>
  <c r="N196" i="7" s="1"/>
  <c r="O23" i="19" s="1"/>
  <c r="U23" i="19" s="1"/>
  <c r="AO230" i="7"/>
  <c r="N188" i="7" s="1"/>
  <c r="O15" i="19" s="1"/>
  <c r="U15" i="19" s="1"/>
  <c r="AF378" i="7"/>
  <c r="AO253" i="7"/>
  <c r="N211" i="7" s="1"/>
  <c r="O38" i="19" s="1"/>
  <c r="U38" i="19" s="1"/>
  <c r="AO245" i="7"/>
  <c r="N203" i="7" s="1"/>
  <c r="O30" i="19" s="1"/>
  <c r="U30" i="19" s="1"/>
  <c r="AO237" i="7"/>
  <c r="N195" i="7" s="1"/>
  <c r="O22" i="19" s="1"/>
  <c r="U22" i="19" s="1"/>
  <c r="AO229" i="7"/>
  <c r="N187" i="7" s="1"/>
  <c r="O14" i="19" s="1"/>
  <c r="U14" i="19" s="1"/>
  <c r="L185" i="6"/>
  <c r="E24" i="19" s="1"/>
  <c r="AO252" i="7"/>
  <c r="N210" i="7" s="1"/>
  <c r="O37" i="19" s="1"/>
  <c r="AO244" i="7"/>
  <c r="N202" i="7" s="1"/>
  <c r="O29" i="19" s="1"/>
  <c r="AO236" i="7"/>
  <c r="N194" i="7" s="1"/>
  <c r="O21" i="19" s="1"/>
  <c r="AO228" i="7"/>
  <c r="N213" i="7" s="1"/>
  <c r="O40" i="19" s="1"/>
  <c r="U40" i="19" s="1"/>
  <c r="AF357" i="7"/>
  <c r="AO251" i="7"/>
  <c r="N209" i="7" s="1"/>
  <c r="O36" i="19" s="1"/>
  <c r="U36" i="19" s="1"/>
  <c r="AO243" i="7"/>
  <c r="N201" i="7" s="1"/>
  <c r="O28" i="19" s="1"/>
  <c r="U28" i="19" s="1"/>
  <c r="AO235" i="7"/>
  <c r="N193" i="7" s="1"/>
  <c r="O20" i="19" s="1"/>
  <c r="U20" i="19" s="1"/>
  <c r="AO227" i="7"/>
  <c r="N185" i="7" s="1"/>
  <c r="O12" i="19" s="1"/>
  <c r="U12" i="19" s="1"/>
  <c r="M181" i="7"/>
  <c r="R8" i="19" s="1"/>
  <c r="I8" i="19" s="1"/>
  <c r="AO250" i="7"/>
  <c r="N208" i="7" s="1"/>
  <c r="O35" i="19" s="1"/>
  <c r="U35" i="19" s="1"/>
  <c r="AO242" i="7"/>
  <c r="N200" i="7" s="1"/>
  <c r="O27" i="19" s="1"/>
  <c r="AO234" i="7"/>
  <c r="N192" i="7" s="1"/>
  <c r="O19" i="19" s="1"/>
  <c r="P185" i="6"/>
  <c r="M24" i="19" s="1"/>
  <c r="M24" i="20" s="1"/>
  <c r="O186" i="6"/>
  <c r="L25" i="19" s="1"/>
  <c r="L25" i="20" s="1"/>
  <c r="N187" i="6"/>
  <c r="K26" i="19" s="1"/>
  <c r="K26" i="20" s="1"/>
  <c r="M188" i="6"/>
  <c r="F27" i="19" s="1"/>
  <c r="F27" i="20" s="1"/>
  <c r="L189" i="6"/>
  <c r="E28" i="19" s="1"/>
  <c r="P189" i="6"/>
  <c r="M28" i="19" s="1"/>
  <c r="M28" i="20" s="1"/>
  <c r="O190" i="6"/>
  <c r="L29" i="19" s="1"/>
  <c r="L29" i="20" s="1"/>
  <c r="K15" i="6"/>
  <c r="K16" i="6"/>
  <c r="N191" i="6"/>
  <c r="K30" i="19" s="1"/>
  <c r="K30" i="20" s="1"/>
  <c r="M192" i="6"/>
  <c r="F31" i="19" s="1"/>
  <c r="F31" i="20" s="1"/>
  <c r="L193" i="6"/>
  <c r="E32" i="19" s="1"/>
  <c r="P193" i="6"/>
  <c r="M32" i="19" s="1"/>
  <c r="M32" i="20" s="1"/>
  <c r="O194" i="6"/>
  <c r="L33" i="19" s="1"/>
  <c r="L33" i="20" s="1"/>
  <c r="N195" i="6"/>
  <c r="K34" i="19" s="1"/>
  <c r="K34" i="20" s="1"/>
  <c r="M196" i="6"/>
  <c r="F35" i="19" s="1"/>
  <c r="F35" i="20" s="1"/>
  <c r="L197" i="6"/>
  <c r="E36" i="19" s="1"/>
  <c r="P197" i="6"/>
  <c r="M36" i="19" s="1"/>
  <c r="M36" i="20" s="1"/>
  <c r="O198" i="6"/>
  <c r="L37" i="19" s="1"/>
  <c r="L37" i="20" s="1"/>
  <c r="N169" i="6"/>
  <c r="K8" i="19" s="1"/>
  <c r="M170" i="6"/>
  <c r="F9" i="19" s="1"/>
  <c r="F9" i="20" s="1"/>
  <c r="L171" i="6"/>
  <c r="E10" i="19" s="1"/>
  <c r="P171" i="6"/>
  <c r="M10" i="19" s="1"/>
  <c r="M10" i="20" s="1"/>
  <c r="O172" i="6"/>
  <c r="L11" i="19" s="1"/>
  <c r="L11" i="20" s="1"/>
  <c r="N173" i="6"/>
  <c r="K12" i="19" s="1"/>
  <c r="K12" i="20" s="1"/>
  <c r="M174" i="6"/>
  <c r="F13" i="19" s="1"/>
  <c r="F13" i="20" s="1"/>
  <c r="L175" i="6"/>
  <c r="E14" i="19" s="1"/>
  <c r="P175" i="6"/>
  <c r="M14" i="19" s="1"/>
  <c r="M14" i="20" s="1"/>
  <c r="O176" i="6"/>
  <c r="L15" i="19" s="1"/>
  <c r="L15" i="20" s="1"/>
  <c r="N177" i="6"/>
  <c r="K16" i="19" s="1"/>
  <c r="K16" i="20" s="1"/>
  <c r="M178" i="6"/>
  <c r="F17" i="19" s="1"/>
  <c r="F17" i="20" s="1"/>
  <c r="L179" i="6"/>
  <c r="E18" i="19" s="1"/>
  <c r="P179" i="6"/>
  <c r="M18" i="19" s="1"/>
  <c r="M18" i="20" s="1"/>
  <c r="O180" i="6"/>
  <c r="L19" i="19" s="1"/>
  <c r="L19" i="20" s="1"/>
  <c r="N181" i="6"/>
  <c r="K20" i="19" s="1"/>
  <c r="K20" i="20" s="1"/>
  <c r="M182" i="6"/>
  <c r="F21" i="19" s="1"/>
  <c r="F21" i="20" s="1"/>
  <c r="L183" i="6"/>
  <c r="E22" i="19" s="1"/>
  <c r="P183" i="6"/>
  <c r="M22" i="19" s="1"/>
  <c r="M22" i="20" s="1"/>
  <c r="O184" i="6"/>
  <c r="L23" i="19" s="1"/>
  <c r="L23" i="20" s="1"/>
  <c r="N185" i="6"/>
  <c r="K24" i="19" s="1"/>
  <c r="K24" i="20" s="1"/>
  <c r="M186" i="6"/>
  <c r="F25" i="19" s="1"/>
  <c r="F25" i="20" s="1"/>
  <c r="L187" i="6"/>
  <c r="E26" i="19" s="1"/>
  <c r="P187" i="6"/>
  <c r="M26" i="19" s="1"/>
  <c r="M26" i="20" s="1"/>
  <c r="O188" i="6"/>
  <c r="L27" i="19" s="1"/>
  <c r="L27" i="20" s="1"/>
  <c r="N189" i="6"/>
  <c r="K28" i="19" s="1"/>
  <c r="K28" i="20" s="1"/>
  <c r="M190" i="6"/>
  <c r="F29" i="19" s="1"/>
  <c r="F29" i="20" s="1"/>
  <c r="L191" i="6"/>
  <c r="E30" i="19" s="1"/>
  <c r="P191" i="6"/>
  <c r="M30" i="19" s="1"/>
  <c r="M30" i="20" s="1"/>
  <c r="O192" i="6"/>
  <c r="L31" i="19" s="1"/>
  <c r="L31" i="20" s="1"/>
  <c r="N193" i="6"/>
  <c r="K32" i="19" s="1"/>
  <c r="K32" i="20" s="1"/>
  <c r="M194" i="6"/>
  <c r="F33" i="19" s="1"/>
  <c r="F33" i="20" s="1"/>
  <c r="L195" i="6"/>
  <c r="E34" i="19" s="1"/>
  <c r="P195" i="6"/>
  <c r="M34" i="19" s="1"/>
  <c r="M34" i="20" s="1"/>
  <c r="O196" i="6"/>
  <c r="L35" i="19" s="1"/>
  <c r="L35" i="20" s="1"/>
  <c r="N197" i="6"/>
  <c r="K36" i="19" s="1"/>
  <c r="K36" i="20" s="1"/>
  <c r="M198" i="6"/>
  <c r="F37" i="19" s="1"/>
  <c r="F37" i="20" s="1"/>
  <c r="L199" i="6"/>
  <c r="E38" i="19" s="1"/>
  <c r="P199" i="6"/>
  <c r="M38" i="19" s="1"/>
  <c r="M38" i="20" s="1"/>
  <c r="O200" i="6"/>
  <c r="L39" i="19" s="1"/>
  <c r="L39" i="20" s="1"/>
  <c r="N201" i="6"/>
  <c r="K40" i="19" s="1"/>
  <c r="K40" i="20" s="1"/>
  <c r="O169" i="6"/>
  <c r="L8" i="19" s="1"/>
  <c r="M171" i="6"/>
  <c r="F10" i="19" s="1"/>
  <c r="F10" i="20" s="1"/>
  <c r="L172" i="6"/>
  <c r="E11" i="19" s="1"/>
  <c r="P172" i="6"/>
  <c r="M11" i="19" s="1"/>
  <c r="M11" i="20" s="1"/>
  <c r="O173" i="6"/>
  <c r="L12" i="19" s="1"/>
  <c r="L12" i="20" s="1"/>
  <c r="N174" i="6"/>
  <c r="K13" i="19" s="1"/>
  <c r="K13" i="20" s="1"/>
  <c r="M175" i="6"/>
  <c r="F14" i="19" s="1"/>
  <c r="F14" i="20" s="1"/>
  <c r="L176" i="6"/>
  <c r="E15" i="19" s="1"/>
  <c r="P176" i="6"/>
  <c r="M15" i="19" s="1"/>
  <c r="M15" i="20" s="1"/>
  <c r="O177" i="6"/>
  <c r="L16" i="19" s="1"/>
  <c r="L16" i="20" s="1"/>
  <c r="N178" i="6"/>
  <c r="K17" i="19" s="1"/>
  <c r="K17" i="20" s="1"/>
  <c r="M179" i="6"/>
  <c r="F18" i="19" s="1"/>
  <c r="F18" i="20" s="1"/>
  <c r="L180" i="6"/>
  <c r="E19" i="19" s="1"/>
  <c r="P180" i="6"/>
  <c r="M19" i="19" s="1"/>
  <c r="M19" i="20" s="1"/>
  <c r="O181" i="6"/>
  <c r="L20" i="19" s="1"/>
  <c r="L20" i="20" s="1"/>
  <c r="N182" i="6"/>
  <c r="K21" i="19" s="1"/>
  <c r="K21" i="20" s="1"/>
  <c r="M183" i="6"/>
  <c r="F22" i="19" s="1"/>
  <c r="F22" i="20" s="1"/>
  <c r="L184" i="6"/>
  <c r="E23" i="19" s="1"/>
  <c r="P184" i="6"/>
  <c r="M23" i="19" s="1"/>
  <c r="M23" i="20" s="1"/>
  <c r="O185" i="6"/>
  <c r="L24" i="19" s="1"/>
  <c r="L24" i="20" s="1"/>
  <c r="N186" i="6"/>
  <c r="K25" i="19" s="1"/>
  <c r="K25" i="20" s="1"/>
  <c r="M187" i="6"/>
  <c r="F26" i="19" s="1"/>
  <c r="F26" i="20" s="1"/>
  <c r="L188" i="6"/>
  <c r="E27" i="19" s="1"/>
  <c r="P188" i="6"/>
  <c r="M27" i="19" s="1"/>
  <c r="M27" i="20" s="1"/>
  <c r="O189" i="6"/>
  <c r="L28" i="19" s="1"/>
  <c r="L28" i="20" s="1"/>
  <c r="N190" i="6"/>
  <c r="K29" i="19" s="1"/>
  <c r="K29" i="20" s="1"/>
  <c r="M191" i="6"/>
  <c r="F30" i="19" s="1"/>
  <c r="F30" i="20" s="1"/>
  <c r="L192" i="6"/>
  <c r="E31" i="19" s="1"/>
  <c r="P192" i="6"/>
  <c r="M31" i="19" s="1"/>
  <c r="M31" i="20" s="1"/>
  <c r="O193" i="6"/>
  <c r="L32" i="19" s="1"/>
  <c r="L32" i="20" s="1"/>
  <c r="N194" i="6"/>
  <c r="K33" i="19" s="1"/>
  <c r="K33" i="20" s="1"/>
  <c r="M195" i="6"/>
  <c r="F34" i="19" s="1"/>
  <c r="F34" i="20" s="1"/>
  <c r="L196" i="6"/>
  <c r="E35" i="19" s="1"/>
  <c r="P196" i="6"/>
  <c r="M35" i="19" s="1"/>
  <c r="M35" i="20" s="1"/>
  <c r="O197" i="6"/>
  <c r="L36" i="19" s="1"/>
  <c r="L36" i="20" s="1"/>
  <c r="N198" i="6"/>
  <c r="K37" i="19" s="1"/>
  <c r="K37" i="20" s="1"/>
  <c r="M199" i="6"/>
  <c r="F38" i="19" s="1"/>
  <c r="F38" i="20" s="1"/>
  <c r="L200" i="6"/>
  <c r="E39" i="19" s="1"/>
  <c r="P200" i="6"/>
  <c r="M39" i="19" s="1"/>
  <c r="M39" i="20" s="1"/>
  <c r="O201" i="6"/>
  <c r="L40" i="19" s="1"/>
  <c r="L40" i="20" s="1"/>
  <c r="H202" i="6"/>
  <c r="N202" i="6" s="1"/>
  <c r="N199" i="6"/>
  <c r="K38" i="19" s="1"/>
  <c r="K38" i="20" s="1"/>
  <c r="M200" i="6"/>
  <c r="F39" i="19" s="1"/>
  <c r="F39" i="20" s="1"/>
  <c r="L201" i="6"/>
  <c r="E40" i="19" s="1"/>
  <c r="P201" i="6"/>
  <c r="M40" i="19" s="1"/>
  <c r="M40" i="20" s="1"/>
  <c r="N170" i="6"/>
  <c r="K9" i="19" s="1"/>
  <c r="K9" i="20" s="1"/>
  <c r="I202" i="6"/>
  <c r="O202" i="6" s="1"/>
  <c r="F202" i="6"/>
  <c r="L202" i="6" s="1"/>
  <c r="K13" i="6" s="1"/>
  <c r="J202" i="6"/>
  <c r="P202" i="6" s="1"/>
  <c r="G202" i="6"/>
  <c r="M202" i="6" s="1"/>
  <c r="K14" i="6" s="1"/>
  <c r="AM290" i="7"/>
  <c r="AM291" i="7"/>
  <c r="AM292" i="7"/>
  <c r="AM293" i="7"/>
  <c r="AM295" i="7"/>
  <c r="AM296" i="7"/>
  <c r="AM297" i="7"/>
  <c r="AM299" i="7"/>
  <c r="G186" i="7"/>
  <c r="Q13" i="20" s="1"/>
  <c r="Q56" i="20" s="1"/>
  <c r="G196" i="7"/>
  <c r="Q23" i="20" s="1"/>
  <c r="Q66" i="20" s="1"/>
  <c r="K373" i="7"/>
  <c r="O373" i="7" s="1"/>
  <c r="G211" i="7"/>
  <c r="Q38" i="20" s="1"/>
  <c r="Q81" i="20" s="1"/>
  <c r="AJ282" i="7"/>
  <c r="AJ283" i="7"/>
  <c r="Y363" i="7"/>
  <c r="AE363" i="7" s="1"/>
  <c r="H194" i="7" s="1"/>
  <c r="R21" i="20" s="1"/>
  <c r="I21" i="20" s="1"/>
  <c r="G201" i="7"/>
  <c r="Q28" i="20" s="1"/>
  <c r="Q71" i="20" s="1"/>
  <c r="K374" i="7"/>
  <c r="O374" i="7" s="1"/>
  <c r="G193" i="7"/>
  <c r="Q20" i="20" s="1"/>
  <c r="Q63" i="20" s="1"/>
  <c r="AM283" i="7"/>
  <c r="AK289" i="7"/>
  <c r="AK292" i="7"/>
  <c r="G188" i="7"/>
  <c r="Q15" i="20" s="1"/>
  <c r="Q58" i="20" s="1"/>
  <c r="AL285" i="7"/>
  <c r="G191" i="7"/>
  <c r="Q18" i="20" s="1"/>
  <c r="Q61" i="20" s="1"/>
  <c r="AM285" i="7"/>
  <c r="K382" i="7"/>
  <c r="O382" i="7" s="1"/>
  <c r="AK268" i="7"/>
  <c r="AK269" i="7"/>
  <c r="AL269" i="7"/>
  <c r="AK270" i="7"/>
  <c r="AK271" i="7"/>
  <c r="AK274" i="7"/>
  <c r="AK275" i="7"/>
  <c r="AK276" i="7"/>
  <c r="AK280" i="7"/>
  <c r="AK281" i="7"/>
  <c r="AK282" i="7"/>
  <c r="AK283" i="7"/>
  <c r="AJ286" i="7"/>
  <c r="AJ296" i="7"/>
  <c r="K351" i="7"/>
  <c r="O351" i="7" s="1"/>
  <c r="K355" i="7"/>
  <c r="O355" i="7" s="1"/>
  <c r="Y355" i="7"/>
  <c r="AE355" i="7" s="1"/>
  <c r="G190" i="7"/>
  <c r="Q17" i="20" s="1"/>
  <c r="Q60" i="20" s="1"/>
  <c r="K360" i="7"/>
  <c r="O360" i="7" s="1"/>
  <c r="K361" i="7"/>
  <c r="O361" i="7" s="1"/>
  <c r="G195" i="7"/>
  <c r="Q22" i="20" s="1"/>
  <c r="Q65" i="20" s="1"/>
  <c r="G199" i="7"/>
  <c r="Q26" i="20" s="1"/>
  <c r="Q69" i="20" s="1"/>
  <c r="G212" i="7"/>
  <c r="Q39" i="20" s="1"/>
  <c r="Q82" i="20" s="1"/>
  <c r="AM268" i="7"/>
  <c r="AM271" i="7"/>
  <c r="AM272" i="7"/>
  <c r="AM273" i="7"/>
  <c r="AM274" i="7"/>
  <c r="AM276" i="7"/>
  <c r="AM279" i="7"/>
  <c r="AM280" i="7"/>
  <c r="AM281" i="7"/>
  <c r="AK293" i="7"/>
  <c r="AK294" i="7"/>
  <c r="AL294" i="7"/>
  <c r="AK295" i="7"/>
  <c r="AK299" i="7"/>
  <c r="K366" i="7"/>
  <c r="O366" i="7" s="1"/>
  <c r="G207" i="7"/>
  <c r="Q34" i="20" s="1"/>
  <c r="Q77" i="20" s="1"/>
  <c r="AL268" i="7"/>
  <c r="AL280" i="7"/>
  <c r="AL282" i="7"/>
  <c r="AL293" i="7"/>
  <c r="K354" i="7"/>
  <c r="O354" i="7" s="1"/>
  <c r="G187" i="7"/>
  <c r="Q14" i="20" s="1"/>
  <c r="Q57" i="20" s="1"/>
  <c r="G203" i="7"/>
  <c r="Q30" i="20" s="1"/>
  <c r="Q73" i="20" s="1"/>
  <c r="G209" i="7"/>
  <c r="Q36" i="20" s="1"/>
  <c r="Q79" i="20" s="1"/>
  <c r="K381" i="7"/>
  <c r="O381" i="7" s="1"/>
  <c r="AL277" i="7"/>
  <c r="AK277" i="7"/>
  <c r="AJ290" i="7"/>
  <c r="AJ291" i="7"/>
  <c r="AJ292" i="7"/>
  <c r="AL297" i="7"/>
  <c r="AL299" i="7"/>
  <c r="G183" i="7"/>
  <c r="Q10" i="20" s="1"/>
  <c r="Q53" i="20" s="1"/>
  <c r="Y356" i="7"/>
  <c r="AE356" i="7" s="1"/>
  <c r="H187" i="7" s="1"/>
  <c r="R14" i="20" s="1"/>
  <c r="I14" i="20" s="1"/>
  <c r="G197" i="7"/>
  <c r="Q24" i="20" s="1"/>
  <c r="Q67" i="20" s="1"/>
  <c r="K368" i="7"/>
  <c r="O368" i="7" s="1"/>
  <c r="K376" i="7"/>
  <c r="O376" i="7" s="1"/>
  <c r="K380" i="7"/>
  <c r="O380" i="7" s="1"/>
  <c r="AJ270" i="7"/>
  <c r="AJ271" i="7"/>
  <c r="AJ272" i="7"/>
  <c r="AJ274" i="7"/>
  <c r="AJ275" i="7"/>
  <c r="AJ276" i="7"/>
  <c r="AL276" i="7"/>
  <c r="AJ277" i="7"/>
  <c r="AJ278" i="7"/>
  <c r="AJ279" i="7"/>
  <c r="AL286" i="7"/>
  <c r="AL287" i="7"/>
  <c r="AL289" i="7"/>
  <c r="AM289" i="7"/>
  <c r="AK290" i="7"/>
  <c r="AJ294" i="7"/>
  <c r="AJ295" i="7"/>
  <c r="G185" i="7"/>
  <c r="Q12" i="20" s="1"/>
  <c r="Q55" i="20" s="1"/>
  <c r="K357" i="7"/>
  <c r="O357" i="7" s="1"/>
  <c r="G189" i="7"/>
  <c r="Q16" i="20" s="1"/>
  <c r="Q59" i="20" s="1"/>
  <c r="Y358" i="7"/>
  <c r="AE358" i="7" s="1"/>
  <c r="G194" i="7"/>
  <c r="Q21" i="20" s="1"/>
  <c r="Q64" i="20" s="1"/>
  <c r="K365" i="7"/>
  <c r="O365" i="7" s="1"/>
  <c r="G198" i="7"/>
  <c r="Q25" i="20" s="1"/>
  <c r="Q68" i="20" s="1"/>
  <c r="K370" i="7"/>
  <c r="O370" i="7" s="1"/>
  <c r="G202" i="7"/>
  <c r="Q29" i="20" s="1"/>
  <c r="Q72" i="20" s="1"/>
  <c r="G204" i="7"/>
  <c r="Q31" i="20" s="1"/>
  <c r="Q74" i="20" s="1"/>
  <c r="G206" i="7"/>
  <c r="Q33" i="20" s="1"/>
  <c r="Q76" i="20" s="1"/>
  <c r="G213" i="7"/>
  <c r="Q40" i="20" s="1"/>
  <c r="Q83" i="20" s="1"/>
  <c r="AM267" i="7"/>
  <c r="AM269" i="7"/>
  <c r="AL270" i="7"/>
  <c r="AM270" i="7"/>
  <c r="AL271" i="7"/>
  <c r="AM282" i="7"/>
  <c r="AM287" i="7"/>
  <c r="AM288" i="7"/>
  <c r="AK291" i="7"/>
  <c r="AM294" i="7"/>
  <c r="AL295" i="7"/>
  <c r="AL298" i="7"/>
  <c r="AM298" i="7"/>
  <c r="I384" i="7"/>
  <c r="G182" i="7"/>
  <c r="Q9" i="20" s="1"/>
  <c r="Q52" i="20" s="1"/>
  <c r="K352" i="7"/>
  <c r="O352" i="7" s="1"/>
  <c r="Y353" i="7"/>
  <c r="AE353" i="7" s="1"/>
  <c r="H184" i="7" s="1"/>
  <c r="R11" i="20" s="1"/>
  <c r="I11" i="20" s="1"/>
  <c r="K356" i="7"/>
  <c r="O356" i="7" s="1"/>
  <c r="M384" i="7"/>
  <c r="K358" i="7"/>
  <c r="O358" i="7" s="1"/>
  <c r="K363" i="7"/>
  <c r="O363" i="7" s="1"/>
  <c r="Y368" i="7"/>
  <c r="AE368" i="7" s="1"/>
  <c r="H199" i="7" s="1"/>
  <c r="R26" i="20" s="1"/>
  <c r="I26" i="20" s="1"/>
  <c r="K372" i="7"/>
  <c r="O372" i="7" s="1"/>
  <c r="Y372" i="7"/>
  <c r="AE372" i="7" s="1"/>
  <c r="H203" i="7" s="1"/>
  <c r="R30" i="20" s="1"/>
  <c r="I30" i="20" s="1"/>
  <c r="Y373" i="7"/>
  <c r="AE373" i="7" s="1"/>
  <c r="H204" i="7" s="1"/>
  <c r="R31" i="20" s="1"/>
  <c r="I31" i="20" s="1"/>
  <c r="K375" i="7"/>
  <c r="O375" i="7" s="1"/>
  <c r="Y377" i="7"/>
  <c r="AE377" i="7" s="1"/>
  <c r="H208" i="7" s="1"/>
  <c r="R35" i="20" s="1"/>
  <c r="I35" i="20" s="1"/>
  <c r="Y380" i="7"/>
  <c r="AE380" i="7" s="1"/>
  <c r="Y381" i="7"/>
  <c r="AE381" i="7" s="1"/>
  <c r="H212" i="7" s="1"/>
  <c r="R39" i="20" s="1"/>
  <c r="I39" i="20" s="1"/>
  <c r="Y382" i="7"/>
  <c r="AE382" i="7" s="1"/>
  <c r="AJ268" i="7"/>
  <c r="AL272" i="7"/>
  <c r="AL273" i="7"/>
  <c r="AK278" i="7"/>
  <c r="AK279" i="7"/>
  <c r="AJ280" i="7"/>
  <c r="AJ281" i="7"/>
  <c r="AK286" i="7"/>
  <c r="AJ287" i="7"/>
  <c r="AJ288" i="7"/>
  <c r="AJ289" i="7"/>
  <c r="AL290" i="7"/>
  <c r="AL292" i="7"/>
  <c r="AJ293" i="7"/>
  <c r="AK296" i="7"/>
  <c r="AJ299" i="7"/>
  <c r="Y351" i="7"/>
  <c r="AE351" i="7" s="1"/>
  <c r="H182" i="7" s="1"/>
  <c r="R9" i="20" s="1"/>
  <c r="I9" i="20" s="1"/>
  <c r="Y360" i="7"/>
  <c r="AE360" i="7" s="1"/>
  <c r="H191" i="7" s="1"/>
  <c r="R18" i="20" s="1"/>
  <c r="I18" i="20" s="1"/>
  <c r="Y366" i="7"/>
  <c r="AE366" i="7" s="1"/>
  <c r="Y367" i="7"/>
  <c r="AE367" i="7" s="1"/>
  <c r="H198" i="7" s="1"/>
  <c r="R25" i="20" s="1"/>
  <c r="I25" i="20" s="1"/>
  <c r="Y370" i="7"/>
  <c r="AE370" i="7" s="1"/>
  <c r="Y378" i="7"/>
  <c r="AE378" i="7" s="1"/>
  <c r="H209" i="7" s="1"/>
  <c r="R36" i="20" s="1"/>
  <c r="I36" i="20" s="1"/>
  <c r="AK273" i="7"/>
  <c r="AM275" i="7"/>
  <c r="AM277" i="7"/>
  <c r="AL278" i="7"/>
  <c r="AM278" i="7"/>
  <c r="AL281" i="7"/>
  <c r="AL284" i="7"/>
  <c r="AM284" i="7"/>
  <c r="AM286" i="7"/>
  <c r="K350" i="7"/>
  <c r="O350" i="7" s="1"/>
  <c r="G184" i="7"/>
  <c r="Q11" i="20" s="1"/>
  <c r="Q54" i="20" s="1"/>
  <c r="K359" i="7"/>
  <c r="O359" i="7" s="1"/>
  <c r="Y359" i="7"/>
  <c r="AE359" i="7" s="1"/>
  <c r="G192" i="7"/>
  <c r="Q19" i="20" s="1"/>
  <c r="Q62" i="20" s="1"/>
  <c r="K362" i="7"/>
  <c r="O362" i="7" s="1"/>
  <c r="K364" i="7"/>
  <c r="O364" i="7" s="1"/>
  <c r="Y365" i="7"/>
  <c r="AE365" i="7" s="1"/>
  <c r="H196" i="7" s="1"/>
  <c r="R23" i="20" s="1"/>
  <c r="I23" i="20" s="1"/>
  <c r="K367" i="7"/>
  <c r="O367" i="7" s="1"/>
  <c r="K369" i="7"/>
  <c r="O369" i="7" s="1"/>
  <c r="K371" i="7"/>
  <c r="O371" i="7" s="1"/>
  <c r="Y374" i="7"/>
  <c r="AE374" i="7" s="1"/>
  <c r="H205" i="7" s="1"/>
  <c r="R32" i="20" s="1"/>
  <c r="I32" i="20" s="1"/>
  <c r="K378" i="7"/>
  <c r="O378" i="7" s="1"/>
  <c r="S464" i="7"/>
  <c r="K215" i="7"/>
  <c r="J215" i="7"/>
  <c r="AL279" i="7"/>
  <c r="AL283" i="7"/>
  <c r="U384" i="7"/>
  <c r="L198" i="7"/>
  <c r="Q25" i="19" s="1"/>
  <c r="AF367" i="7"/>
  <c r="AF363" i="7"/>
  <c r="L194" i="7"/>
  <c r="Q21" i="19" s="1"/>
  <c r="K379" i="7"/>
  <c r="O379" i="7" s="1"/>
  <c r="AJ273" i="7"/>
  <c r="AJ284" i="7"/>
  <c r="AK285" i="7"/>
  <c r="AL296" i="7"/>
  <c r="M340" i="7"/>
  <c r="N53" i="7" s="1"/>
  <c r="Q384" i="7"/>
  <c r="Y361" i="7"/>
  <c r="AE361" i="7" s="1"/>
  <c r="H192" i="7" s="1"/>
  <c r="R19" i="20" s="1"/>
  <c r="I19" i="20" s="1"/>
  <c r="AF366" i="7"/>
  <c r="Y369" i="7"/>
  <c r="AE369" i="7" s="1"/>
  <c r="H200" i="7" s="1"/>
  <c r="R27" i="20" s="1"/>
  <c r="I27" i="20" s="1"/>
  <c r="AF370" i="7"/>
  <c r="AF374" i="7"/>
  <c r="Y376" i="7"/>
  <c r="AE376" i="7" s="1"/>
  <c r="H207" i="7" s="1"/>
  <c r="R34" i="20" s="1"/>
  <c r="I34" i="20" s="1"/>
  <c r="AK267" i="7"/>
  <c r="K377" i="7"/>
  <c r="O377" i="7" s="1"/>
  <c r="L212" i="7"/>
  <c r="Q39" i="19" s="1"/>
  <c r="AF381" i="7"/>
  <c r="H214" i="7"/>
  <c r="R41" i="20" s="1"/>
  <c r="AJ267" i="7"/>
  <c r="AJ269" i="7"/>
  <c r="AK272" i="7"/>
  <c r="AL274" i="7"/>
  <c r="AK284" i="7"/>
  <c r="AK287" i="7"/>
  <c r="AL288" i="7"/>
  <c r="Y352" i="7"/>
  <c r="AE352" i="7" s="1"/>
  <c r="H183" i="7" s="1"/>
  <c r="R10" i="20" s="1"/>
  <c r="I10" i="20" s="1"/>
  <c r="AF355" i="7"/>
  <c r="L186" i="7"/>
  <c r="Q13" i="19" s="1"/>
  <c r="Y357" i="7"/>
  <c r="AE357" i="7" s="1"/>
  <c r="H188" i="7" s="1"/>
  <c r="R15" i="20" s="1"/>
  <c r="I15" i="20" s="1"/>
  <c r="Y364" i="7"/>
  <c r="AE364" i="7" s="1"/>
  <c r="H195" i="7" s="1"/>
  <c r="R22" i="20" s="1"/>
  <c r="I22" i="20" s="1"/>
  <c r="L204" i="7"/>
  <c r="Q31" i="19" s="1"/>
  <c r="AF373" i="7"/>
  <c r="Y375" i="7"/>
  <c r="AE375" i="7" s="1"/>
  <c r="H206" i="7" s="1"/>
  <c r="R33" i="20" s="1"/>
  <c r="I33" i="20" s="1"/>
  <c r="L206" i="7"/>
  <c r="Q33" i="19" s="1"/>
  <c r="AF375" i="7"/>
  <c r="G384" i="7"/>
  <c r="M424" i="7"/>
  <c r="AJ297" i="7"/>
  <c r="AK298" i="7"/>
  <c r="J384" i="7"/>
  <c r="N350" i="7"/>
  <c r="N384" i="7" s="1"/>
  <c r="Y350" i="7"/>
  <c r="AF358" i="7"/>
  <c r="Y362" i="7"/>
  <c r="AE362" i="7" s="1"/>
  <c r="AF362" i="7"/>
  <c r="AF372" i="7"/>
  <c r="Y379" i="7"/>
  <c r="AE379" i="7" s="1"/>
  <c r="H210" i="7" s="1"/>
  <c r="R37" i="20" s="1"/>
  <c r="I37" i="20" s="1"/>
  <c r="AF379" i="7"/>
  <c r="L210" i="7"/>
  <c r="Q37" i="19" s="1"/>
  <c r="AL275" i="7"/>
  <c r="AJ285" i="7"/>
  <c r="AK288" i="7"/>
  <c r="AK297" i="7"/>
  <c r="S384" i="7"/>
  <c r="K353" i="7"/>
  <c r="O353" i="7" s="1"/>
  <c r="Y354" i="7"/>
  <c r="AE354" i="7" s="1"/>
  <c r="H185" i="7" s="1"/>
  <c r="R12" i="20" s="1"/>
  <c r="I12" i="20" s="1"/>
  <c r="AF354" i="7"/>
  <c r="AF364" i="7"/>
  <c r="Y371" i="7"/>
  <c r="AE371" i="7" s="1"/>
  <c r="H202" i="7" s="1"/>
  <c r="R29" i="20" s="1"/>
  <c r="I29" i="20" s="1"/>
  <c r="AF371" i="7"/>
  <c r="L202" i="7"/>
  <c r="Q29" i="19" s="1"/>
  <c r="AF382" i="7"/>
  <c r="AL267" i="7"/>
  <c r="AJ298" i="7"/>
  <c r="AF352" i="7"/>
  <c r="AF360" i="7"/>
  <c r="AF368" i="7"/>
  <c r="AF376" i="7"/>
  <c r="M95" i="6" l="1"/>
  <c r="L95" i="6"/>
  <c r="U27" i="19"/>
  <c r="F181" i="7"/>
  <c r="P424" i="7"/>
  <c r="G12" i="19"/>
  <c r="P32" i="7"/>
  <c r="E16" i="20"/>
  <c r="G16" i="20" s="1"/>
  <c r="E20" i="20"/>
  <c r="G20" i="20" s="1"/>
  <c r="N12" i="6"/>
  <c r="M12" i="6"/>
  <c r="AB42" i="20"/>
  <c r="AB43" i="20" s="1"/>
  <c r="E8" i="20"/>
  <c r="G8" i="20" s="1"/>
  <c r="U29" i="19"/>
  <c r="U19" i="19"/>
  <c r="U37" i="19"/>
  <c r="U25" i="19"/>
  <c r="I41" i="19"/>
  <c r="N41" i="19" s="1"/>
  <c r="U41" i="19"/>
  <c r="U31" i="19"/>
  <c r="U33" i="19"/>
  <c r="F33" i="13"/>
  <c r="J38" i="14"/>
  <c r="M38" i="14" s="1"/>
  <c r="U21" i="19"/>
  <c r="U39" i="19"/>
  <c r="M45" i="14"/>
  <c r="M51" i="14" s="1"/>
  <c r="P31" i="6"/>
  <c r="F26" i="13" s="1"/>
  <c r="P24" i="6"/>
  <c r="N19" i="19"/>
  <c r="N16" i="19"/>
  <c r="V16" i="19" s="1"/>
  <c r="G25" i="20"/>
  <c r="G9" i="20"/>
  <c r="E42" i="19"/>
  <c r="E43" i="19" s="1"/>
  <c r="N12" i="19"/>
  <c r="N11" i="19"/>
  <c r="N15" i="19"/>
  <c r="E27" i="20"/>
  <c r="G27" i="20" s="1"/>
  <c r="G27" i="19"/>
  <c r="E14" i="20"/>
  <c r="G14" i="20" s="1"/>
  <c r="G14" i="19"/>
  <c r="N17" i="19"/>
  <c r="N26" i="19"/>
  <c r="G33" i="20"/>
  <c r="E40" i="20"/>
  <c r="G40" i="20" s="1"/>
  <c r="G40" i="19"/>
  <c r="E31" i="20"/>
  <c r="G31" i="20" s="1"/>
  <c r="G31" i="19"/>
  <c r="E15" i="20"/>
  <c r="G15" i="20" s="1"/>
  <c r="G15" i="19"/>
  <c r="E34" i="20"/>
  <c r="G34" i="20" s="1"/>
  <c r="G34" i="19"/>
  <c r="E18" i="20"/>
  <c r="G18" i="20" s="1"/>
  <c r="G18" i="19"/>
  <c r="K8" i="20"/>
  <c r="K42" i="20" s="1"/>
  <c r="K43" i="20" s="1"/>
  <c r="V31" i="18" s="1"/>
  <c r="K42" i="19"/>
  <c r="K43" i="19" s="1"/>
  <c r="V94" i="18" s="1"/>
  <c r="E32" i="20"/>
  <c r="G32" i="20" s="1"/>
  <c r="G32" i="19"/>
  <c r="M42" i="20"/>
  <c r="N37" i="19"/>
  <c r="N21" i="19"/>
  <c r="N35" i="19"/>
  <c r="N20" i="19"/>
  <c r="V20" i="19" s="1"/>
  <c r="N30" i="19"/>
  <c r="N14" i="19"/>
  <c r="V14" i="19" s="1"/>
  <c r="N23" i="19"/>
  <c r="N24" i="19"/>
  <c r="G33" i="19"/>
  <c r="G25" i="19"/>
  <c r="G17" i="19"/>
  <c r="G9" i="19"/>
  <c r="E39" i="20"/>
  <c r="G39" i="20" s="1"/>
  <c r="G39" i="19"/>
  <c r="E23" i="20"/>
  <c r="G23" i="20" s="1"/>
  <c r="G23" i="19"/>
  <c r="E26" i="20"/>
  <c r="G26" i="20" s="1"/>
  <c r="G26" i="19"/>
  <c r="E10" i="20"/>
  <c r="G10" i="20" s="1"/>
  <c r="G10" i="19"/>
  <c r="N29" i="19"/>
  <c r="N13" i="19"/>
  <c r="N36" i="19"/>
  <c r="N38" i="19"/>
  <c r="N22" i="19"/>
  <c r="N39" i="19"/>
  <c r="N40" i="19"/>
  <c r="G37" i="19"/>
  <c r="G29" i="19"/>
  <c r="G21" i="19"/>
  <c r="V21" i="19" s="1"/>
  <c r="G13" i="19"/>
  <c r="F42" i="19"/>
  <c r="F43" i="19" s="1"/>
  <c r="V88" i="18" s="1"/>
  <c r="E11" i="20"/>
  <c r="G11" i="20" s="1"/>
  <c r="G11" i="19"/>
  <c r="E30" i="20"/>
  <c r="G30" i="20" s="1"/>
  <c r="G30" i="19"/>
  <c r="N33" i="19"/>
  <c r="N10" i="19"/>
  <c r="G17" i="20"/>
  <c r="E35" i="20"/>
  <c r="G35" i="20" s="1"/>
  <c r="G35" i="19"/>
  <c r="E19" i="20"/>
  <c r="G19" i="20" s="1"/>
  <c r="G19" i="19"/>
  <c r="L8" i="20"/>
  <c r="L42" i="20" s="1"/>
  <c r="L43" i="20" s="1"/>
  <c r="V32" i="18" s="1"/>
  <c r="L42" i="19"/>
  <c r="L43" i="19" s="1"/>
  <c r="V95" i="18" s="1"/>
  <c r="E38" i="20"/>
  <c r="G38" i="20" s="1"/>
  <c r="G38" i="19"/>
  <c r="E22" i="20"/>
  <c r="G22" i="20" s="1"/>
  <c r="G22" i="19"/>
  <c r="V22" i="19" s="1"/>
  <c r="E36" i="20"/>
  <c r="G36" i="20" s="1"/>
  <c r="G36" i="19"/>
  <c r="V36" i="19" s="1"/>
  <c r="E28" i="20"/>
  <c r="G28" i="20" s="1"/>
  <c r="G28" i="19"/>
  <c r="E24" i="20"/>
  <c r="G24" i="20" s="1"/>
  <c r="G24" i="19"/>
  <c r="N27" i="19"/>
  <c r="M42" i="19"/>
  <c r="M43" i="19" s="1"/>
  <c r="V96" i="18" s="1"/>
  <c r="N25" i="19"/>
  <c r="N9" i="19"/>
  <c r="N28" i="19"/>
  <c r="N34" i="19"/>
  <c r="N18" i="19"/>
  <c r="N31" i="19"/>
  <c r="N32" i="19"/>
  <c r="G37" i="20"/>
  <c r="G29" i="20"/>
  <c r="G21" i="20"/>
  <c r="G13" i="20"/>
  <c r="F42" i="20"/>
  <c r="F43" i="20" s="1"/>
  <c r="V23" i="18" s="1"/>
  <c r="L15" i="14"/>
  <c r="K15" i="14"/>
  <c r="M15" i="14"/>
  <c r="V44" i="18"/>
  <c r="R76" i="20"/>
  <c r="N33" i="20"/>
  <c r="N31" i="20"/>
  <c r="R74" i="20"/>
  <c r="R72" i="20"/>
  <c r="N29" i="20"/>
  <c r="R58" i="20"/>
  <c r="N15" i="20"/>
  <c r="N27" i="20"/>
  <c r="R70" i="20"/>
  <c r="R79" i="20"/>
  <c r="N36" i="20"/>
  <c r="R61" i="20"/>
  <c r="N18" i="20"/>
  <c r="R73" i="20"/>
  <c r="N30" i="20"/>
  <c r="R42" i="19"/>
  <c r="R43" i="19" s="1"/>
  <c r="V101" i="18" s="1"/>
  <c r="N22" i="20"/>
  <c r="R65" i="20"/>
  <c r="R75" i="20"/>
  <c r="N32" i="20"/>
  <c r="R82" i="20"/>
  <c r="N39" i="20"/>
  <c r="R52" i="20"/>
  <c r="N9" i="20"/>
  <c r="N35" i="20"/>
  <c r="R78" i="20"/>
  <c r="Q42" i="19"/>
  <c r="Q43" i="19" s="1"/>
  <c r="V100" i="18" s="1"/>
  <c r="N12" i="20"/>
  <c r="R55" i="20"/>
  <c r="R53" i="20"/>
  <c r="N10" i="20"/>
  <c r="R66" i="20"/>
  <c r="N23" i="20"/>
  <c r="R54" i="20"/>
  <c r="N11" i="20"/>
  <c r="R64" i="20"/>
  <c r="N21" i="20"/>
  <c r="R80" i="20"/>
  <c r="N37" i="20"/>
  <c r="R77" i="20"/>
  <c r="N34" i="20"/>
  <c r="N19" i="20"/>
  <c r="R62" i="20"/>
  <c r="N25" i="20"/>
  <c r="R68" i="20"/>
  <c r="R69" i="20"/>
  <c r="N26" i="20"/>
  <c r="R57" i="20"/>
  <c r="N14" i="20"/>
  <c r="U41" i="20"/>
  <c r="I41" i="20"/>
  <c r="P66" i="6"/>
  <c r="F28" i="13" s="1"/>
  <c r="N68" i="7"/>
  <c r="L68" i="7"/>
  <c r="M68" i="7"/>
  <c r="L67" i="7"/>
  <c r="M67" i="7"/>
  <c r="N67" i="7"/>
  <c r="M66" i="7"/>
  <c r="L66" i="7"/>
  <c r="N66" i="7"/>
  <c r="M63" i="7"/>
  <c r="N63" i="7"/>
  <c r="L63" i="7"/>
  <c r="N65" i="7"/>
  <c r="M65" i="7"/>
  <c r="L65" i="7"/>
  <c r="N64" i="7"/>
  <c r="M64" i="7"/>
  <c r="L44" i="7"/>
  <c r="M44" i="7"/>
  <c r="G181" i="7"/>
  <c r="Q8" i="20" s="1"/>
  <c r="P30" i="7"/>
  <c r="P33" i="7"/>
  <c r="P37" i="7"/>
  <c r="L15" i="6"/>
  <c r="N15" i="6"/>
  <c r="M15" i="6"/>
  <c r="L14" i="6"/>
  <c r="M14" i="6"/>
  <c r="N14" i="6"/>
  <c r="L13" i="6"/>
  <c r="N13" i="6"/>
  <c r="M13" i="6"/>
  <c r="P35" i="7"/>
  <c r="P31" i="7"/>
  <c r="L16" i="6"/>
  <c r="N16" i="6"/>
  <c r="M16" i="6"/>
  <c r="P36" i="7"/>
  <c r="N45" i="7"/>
  <c r="L45" i="7"/>
  <c r="M45" i="7"/>
  <c r="N181" i="7"/>
  <c r="O8" i="19" s="1"/>
  <c r="AO256" i="7"/>
  <c r="M215" i="7"/>
  <c r="AD384" i="7"/>
  <c r="N186" i="7"/>
  <c r="AF384" i="7"/>
  <c r="L215" i="7"/>
  <c r="AG359" i="7"/>
  <c r="AG380" i="7"/>
  <c r="AG378" i="7"/>
  <c r="AG376" i="7"/>
  <c r="AG381" i="7"/>
  <c r="AG366" i="7"/>
  <c r="H190" i="7"/>
  <c r="R17" i="20" s="1"/>
  <c r="I17" i="20" s="1"/>
  <c r="AN270" i="7"/>
  <c r="I184" i="7" s="1"/>
  <c r="O11" i="20" s="1"/>
  <c r="U11" i="20" s="1"/>
  <c r="AN269" i="7"/>
  <c r="I183" i="7" s="1"/>
  <c r="O10" i="20" s="1"/>
  <c r="U10" i="20" s="1"/>
  <c r="AN279" i="7"/>
  <c r="I193" i="7" s="1"/>
  <c r="O20" i="20" s="1"/>
  <c r="AN271" i="7"/>
  <c r="I185" i="7" s="1"/>
  <c r="O12" i="20" s="1"/>
  <c r="U12" i="20" s="1"/>
  <c r="AN277" i="7"/>
  <c r="I191" i="7" s="1"/>
  <c r="O18" i="20" s="1"/>
  <c r="U18" i="20" s="1"/>
  <c r="AN296" i="7"/>
  <c r="I210" i="7" s="1"/>
  <c r="O37" i="20" s="1"/>
  <c r="AN288" i="7"/>
  <c r="I202" i="7" s="1"/>
  <c r="O29" i="20" s="1"/>
  <c r="U29" i="20" s="1"/>
  <c r="AN283" i="7"/>
  <c r="I197" i="7" s="1"/>
  <c r="O24" i="20" s="1"/>
  <c r="AN274" i="7"/>
  <c r="I188" i="7" s="1"/>
  <c r="O15" i="20" s="1"/>
  <c r="U15" i="20" s="1"/>
  <c r="AG363" i="7"/>
  <c r="AG372" i="7"/>
  <c r="AN294" i="7"/>
  <c r="I208" i="7" s="1"/>
  <c r="O35" i="20" s="1"/>
  <c r="AG358" i="7"/>
  <c r="AN282" i="7"/>
  <c r="I196" i="7" s="1"/>
  <c r="O23" i="20" s="1"/>
  <c r="U23" i="20" s="1"/>
  <c r="AN276" i="7"/>
  <c r="I190" i="7" s="1"/>
  <c r="O17" i="20" s="1"/>
  <c r="H197" i="7"/>
  <c r="R24" i="20" s="1"/>
  <c r="I24" i="20" s="1"/>
  <c r="AN289" i="7"/>
  <c r="I203" i="7" s="1"/>
  <c r="O30" i="20" s="1"/>
  <c r="U30" i="20" s="1"/>
  <c r="AN281" i="7"/>
  <c r="I195" i="7" s="1"/>
  <c r="O22" i="20" s="1"/>
  <c r="U22" i="20" s="1"/>
  <c r="H189" i="7"/>
  <c r="R16" i="20" s="1"/>
  <c r="I16" i="20" s="1"/>
  <c r="AN293" i="7"/>
  <c r="I207" i="7" s="1"/>
  <c r="O34" i="20" s="1"/>
  <c r="U34" i="20" s="1"/>
  <c r="AN280" i="7"/>
  <c r="I194" i="7" s="1"/>
  <c r="O21" i="20" s="1"/>
  <c r="U21" i="20" s="1"/>
  <c r="AN295" i="7"/>
  <c r="I209" i="7" s="1"/>
  <c r="O36" i="20" s="1"/>
  <c r="U36" i="20" s="1"/>
  <c r="AN268" i="7"/>
  <c r="I182" i="7" s="1"/>
  <c r="O9" i="20" s="1"/>
  <c r="U9" i="20" s="1"/>
  <c r="AG382" i="7"/>
  <c r="AG374" i="7"/>
  <c r="AG360" i="7"/>
  <c r="AN272" i="7"/>
  <c r="I186" i="7" s="1"/>
  <c r="O13" i="20" s="1"/>
  <c r="AM300" i="7"/>
  <c r="AG356" i="7"/>
  <c r="H211" i="7"/>
  <c r="R38" i="20" s="1"/>
  <c r="I38" i="20" s="1"/>
  <c r="AN292" i="7"/>
  <c r="I206" i="7" s="1"/>
  <c r="O33" i="20" s="1"/>
  <c r="U33" i="20" s="1"/>
  <c r="G205" i="7"/>
  <c r="Q32" i="20" s="1"/>
  <c r="Q75" i="20" s="1"/>
  <c r="AN275" i="7"/>
  <c r="I189" i="7" s="1"/>
  <c r="O16" i="20" s="1"/>
  <c r="AN299" i="7"/>
  <c r="I213" i="7" s="1"/>
  <c r="O40" i="20" s="1"/>
  <c r="AN290" i="7"/>
  <c r="I204" i="7" s="1"/>
  <c r="O31" i="20" s="1"/>
  <c r="U31" i="20" s="1"/>
  <c r="AN286" i="7"/>
  <c r="I200" i="7" s="1"/>
  <c r="O27" i="20" s="1"/>
  <c r="AN278" i="7"/>
  <c r="I192" i="7" s="1"/>
  <c r="O19" i="20" s="1"/>
  <c r="U19" i="20" s="1"/>
  <c r="AG365" i="7"/>
  <c r="AG357" i="7"/>
  <c r="AG351" i="7"/>
  <c r="H213" i="7"/>
  <c r="R40" i="20" s="1"/>
  <c r="I40" i="20" s="1"/>
  <c r="AN287" i="7"/>
  <c r="I201" i="7" s="1"/>
  <c r="O28" i="20" s="1"/>
  <c r="AG373" i="7"/>
  <c r="AG367" i="7"/>
  <c r="AN298" i="7"/>
  <c r="I212" i="7" s="1"/>
  <c r="O39" i="20" s="1"/>
  <c r="U39" i="20" s="1"/>
  <c r="O384" i="7"/>
  <c r="AG368" i="7"/>
  <c r="AN291" i="7"/>
  <c r="I205" i="7" s="1"/>
  <c r="O32" i="20" s="1"/>
  <c r="U32" i="20" s="1"/>
  <c r="AN273" i="7"/>
  <c r="I187" i="7" s="1"/>
  <c r="O14" i="20" s="1"/>
  <c r="U14" i="20" s="1"/>
  <c r="AG353" i="7"/>
  <c r="H186" i="7"/>
  <c r="R13" i="20" s="1"/>
  <c r="I13" i="20" s="1"/>
  <c r="AG355" i="7"/>
  <c r="AG377" i="7"/>
  <c r="G208" i="7"/>
  <c r="Q35" i="20" s="1"/>
  <c r="Q78" i="20" s="1"/>
  <c r="AL300" i="7"/>
  <c r="Y384" i="7"/>
  <c r="AE350" i="7"/>
  <c r="AG350" i="7" s="1"/>
  <c r="AJ300" i="7"/>
  <c r="AN267" i="7"/>
  <c r="H201" i="7"/>
  <c r="R28" i="20" s="1"/>
  <c r="I28" i="20" s="1"/>
  <c r="AG370" i="7"/>
  <c r="AN284" i="7"/>
  <c r="I198" i="7" s="1"/>
  <c r="O25" i="20" s="1"/>
  <c r="U25" i="20" s="1"/>
  <c r="AG379" i="7"/>
  <c r="G210" i="7"/>
  <c r="Q37" i="20" s="1"/>
  <c r="Q80" i="20" s="1"/>
  <c r="AG354" i="7"/>
  <c r="AG361" i="7"/>
  <c r="AK300" i="7"/>
  <c r="AN285" i="7"/>
  <c r="I199" i="7" s="1"/>
  <c r="O26" i="20" s="1"/>
  <c r="U26" i="20" s="1"/>
  <c r="AG362" i="7"/>
  <c r="H193" i="7"/>
  <c r="R20" i="20" s="1"/>
  <c r="I20" i="20" s="1"/>
  <c r="AN297" i="7"/>
  <c r="I211" i="7" s="1"/>
  <c r="O38" i="20" s="1"/>
  <c r="K384" i="7"/>
  <c r="AG364" i="7"/>
  <c r="AG375" i="7"/>
  <c r="L340" i="7"/>
  <c r="M53" i="7" s="1"/>
  <c r="P53" i="7" s="1"/>
  <c r="AG369" i="7"/>
  <c r="G200" i="7"/>
  <c r="Q27" i="20" s="1"/>
  <c r="Q70" i="20" s="1"/>
  <c r="AG352" i="7"/>
  <c r="AG371" i="7"/>
  <c r="S8" i="20" l="1"/>
  <c r="F215" i="7"/>
  <c r="V12" i="19"/>
  <c r="P12" i="6"/>
  <c r="AC12" i="20"/>
  <c r="AC32" i="20"/>
  <c r="P95" i="6"/>
  <c r="V37" i="18" s="1"/>
  <c r="AC19" i="20"/>
  <c r="AC15" i="20"/>
  <c r="AC33" i="20"/>
  <c r="AC39" i="20"/>
  <c r="M43" i="20"/>
  <c r="V33" i="18" s="1"/>
  <c r="O39" i="21" s="1"/>
  <c r="F52" i="13"/>
  <c r="AC9" i="20"/>
  <c r="AC26" i="20"/>
  <c r="AC34" i="20"/>
  <c r="AC11" i="20"/>
  <c r="AC14" i="20"/>
  <c r="AC25" i="20"/>
  <c r="AC36" i="20"/>
  <c r="AC22" i="20"/>
  <c r="AC23" i="20"/>
  <c r="AC10" i="20"/>
  <c r="AC31" i="20"/>
  <c r="AC29" i="20"/>
  <c r="AC21" i="20"/>
  <c r="AC30" i="20"/>
  <c r="AC18" i="20"/>
  <c r="U38" i="20"/>
  <c r="U27" i="20"/>
  <c r="AC27" i="20" s="1"/>
  <c r="U35" i="20"/>
  <c r="AC35" i="20" s="1"/>
  <c r="V29" i="19"/>
  <c r="U16" i="20"/>
  <c r="U13" i="20"/>
  <c r="U17" i="20"/>
  <c r="U20" i="20"/>
  <c r="F25" i="13"/>
  <c r="J26" i="14"/>
  <c r="U24" i="20"/>
  <c r="J30" i="14"/>
  <c r="M30" i="14" s="1"/>
  <c r="U28" i="20"/>
  <c r="U40" i="20"/>
  <c r="U37" i="20"/>
  <c r="AC37" i="20" s="1"/>
  <c r="V19" i="19"/>
  <c r="V25" i="19"/>
  <c r="V33" i="19"/>
  <c r="V10" i="19"/>
  <c r="V23" i="19"/>
  <c r="V26" i="19"/>
  <c r="V37" i="19"/>
  <c r="V27" i="19"/>
  <c r="V24" i="19"/>
  <c r="V15" i="19"/>
  <c r="V40" i="19"/>
  <c r="V30" i="19"/>
  <c r="V28" i="19"/>
  <c r="V38" i="19"/>
  <c r="V34" i="19"/>
  <c r="V31" i="19"/>
  <c r="V18" i="19"/>
  <c r="V11" i="19"/>
  <c r="V39" i="19"/>
  <c r="V9" i="19"/>
  <c r="V17" i="19"/>
  <c r="V35" i="19"/>
  <c r="V32" i="19"/>
  <c r="G42" i="20"/>
  <c r="G43" i="20" s="1"/>
  <c r="O25" i="21"/>
  <c r="AH131" i="21"/>
  <c r="E42" i="20"/>
  <c r="E43" i="20" s="1"/>
  <c r="V22" i="18" s="1"/>
  <c r="O38" i="21"/>
  <c r="AH147" i="21"/>
  <c r="O37" i="21"/>
  <c r="AH146" i="21"/>
  <c r="G42" i="19"/>
  <c r="V87" i="18"/>
  <c r="V89" i="18" s="1"/>
  <c r="G43" i="19"/>
  <c r="AH162" i="21"/>
  <c r="O51" i="21"/>
  <c r="H32" i="13"/>
  <c r="K37" i="14"/>
  <c r="F32" i="13"/>
  <c r="J37" i="14"/>
  <c r="V41" i="19"/>
  <c r="O57" i="20"/>
  <c r="U57" i="20" s="1"/>
  <c r="AC57" i="20" s="1"/>
  <c r="R83" i="20"/>
  <c r="N40" i="20"/>
  <c r="O61" i="20"/>
  <c r="U61" i="20" s="1"/>
  <c r="AC61" i="20" s="1"/>
  <c r="O70" i="20"/>
  <c r="U70" i="20" s="1"/>
  <c r="AC70" i="20" s="1"/>
  <c r="O77" i="20"/>
  <c r="U77" i="20" s="1"/>
  <c r="AC77" i="20" s="1"/>
  <c r="N24" i="20"/>
  <c r="R67" i="20"/>
  <c r="O78" i="20"/>
  <c r="U78" i="20" s="1"/>
  <c r="AC78" i="20" s="1"/>
  <c r="O67" i="20"/>
  <c r="O55" i="20"/>
  <c r="U55" i="20" s="1"/>
  <c r="AC55" i="20" s="1"/>
  <c r="N17" i="20"/>
  <c r="R60" i="20"/>
  <c r="O62" i="20"/>
  <c r="U62" i="20" s="1"/>
  <c r="AC62" i="20" s="1"/>
  <c r="O64" i="20"/>
  <c r="U64" i="20" s="1"/>
  <c r="AC64" i="20" s="1"/>
  <c r="O58" i="20"/>
  <c r="U58" i="20" s="1"/>
  <c r="AC58" i="20" s="1"/>
  <c r="O81" i="20"/>
  <c r="O74" i="20"/>
  <c r="U74" i="20" s="1"/>
  <c r="AC74" i="20" s="1"/>
  <c r="O52" i="20"/>
  <c r="U52" i="20" s="1"/>
  <c r="AC52" i="20" s="1"/>
  <c r="O60" i="20"/>
  <c r="O72" i="20"/>
  <c r="U72" i="20" s="1"/>
  <c r="AC72" i="20" s="1"/>
  <c r="O63" i="20"/>
  <c r="N215" i="7"/>
  <c r="O13" i="19"/>
  <c r="I42" i="19"/>
  <c r="I43" i="19" s="1"/>
  <c r="N8" i="19"/>
  <c r="O82" i="20"/>
  <c r="U82" i="20" s="1"/>
  <c r="AC82" i="20" s="1"/>
  <c r="O59" i="20"/>
  <c r="O73" i="20"/>
  <c r="U73" i="20" s="1"/>
  <c r="AC73" i="20" s="1"/>
  <c r="O54" i="20"/>
  <c r="U54" i="20" s="1"/>
  <c r="AC54" i="20" s="1"/>
  <c r="O215" i="7"/>
  <c r="P42" i="19"/>
  <c r="P43" i="19" s="1"/>
  <c r="O69" i="20"/>
  <c r="U69" i="20" s="1"/>
  <c r="AC69" i="20" s="1"/>
  <c r="R71" i="20"/>
  <c r="N28" i="20"/>
  <c r="O75" i="20"/>
  <c r="U75" i="20" s="1"/>
  <c r="AC75" i="20" s="1"/>
  <c r="N13" i="20"/>
  <c r="R56" i="20"/>
  <c r="O76" i="20"/>
  <c r="U76" i="20" s="1"/>
  <c r="AC76" i="20" s="1"/>
  <c r="O56" i="20"/>
  <c r="R59" i="20"/>
  <c r="N16" i="20"/>
  <c r="R63" i="20"/>
  <c r="N20" i="20"/>
  <c r="O68" i="20"/>
  <c r="U68" i="20" s="1"/>
  <c r="AC68" i="20" s="1"/>
  <c r="O71" i="20"/>
  <c r="O83" i="20"/>
  <c r="R81" i="20"/>
  <c r="N38" i="20"/>
  <c r="O79" i="20"/>
  <c r="U79" i="20" s="1"/>
  <c r="AC79" i="20" s="1"/>
  <c r="O65" i="20"/>
  <c r="U65" i="20" s="1"/>
  <c r="AC65" i="20" s="1"/>
  <c r="O66" i="20"/>
  <c r="U66" i="20" s="1"/>
  <c r="AC66" i="20" s="1"/>
  <c r="O80" i="20"/>
  <c r="U80" i="20" s="1"/>
  <c r="AC80" i="20" s="1"/>
  <c r="O53" i="20"/>
  <c r="U53" i="20" s="1"/>
  <c r="AC53" i="20" s="1"/>
  <c r="Q51" i="20"/>
  <c r="Q84" i="20" s="1"/>
  <c r="Q85" i="20" s="1"/>
  <c r="Q42" i="20"/>
  <c r="Q43" i="20" s="1"/>
  <c r="N41" i="20"/>
  <c r="AC41" i="20" s="1"/>
  <c r="P65" i="7"/>
  <c r="P63" i="7"/>
  <c r="P67" i="7"/>
  <c r="P64" i="7"/>
  <c r="P68" i="7"/>
  <c r="P66" i="7"/>
  <c r="P16" i="6"/>
  <c r="P44" i="7"/>
  <c r="P45" i="7"/>
  <c r="P14" i="6"/>
  <c r="P13" i="6"/>
  <c r="P15" i="6"/>
  <c r="G215" i="7"/>
  <c r="AG384" i="7"/>
  <c r="H181" i="7"/>
  <c r="AE384" i="7"/>
  <c r="AN300" i="7"/>
  <c r="I181" i="7"/>
  <c r="S42" i="20" l="1"/>
  <c r="S43" i="20" s="1"/>
  <c r="V40" i="18" s="1"/>
  <c r="S51" i="20"/>
  <c r="S84" i="20" s="1"/>
  <c r="S85" i="20" s="1"/>
  <c r="J33" i="14"/>
  <c r="M33" i="14" s="1"/>
  <c r="F29" i="13"/>
  <c r="AH148" i="21"/>
  <c r="AC16" i="20"/>
  <c r="AC40" i="20"/>
  <c r="AC13" i="20"/>
  <c r="AC28" i="20"/>
  <c r="AC38" i="20"/>
  <c r="AC20" i="20"/>
  <c r="M26" i="14"/>
  <c r="AC24" i="20"/>
  <c r="AC17" i="20"/>
  <c r="U71" i="20"/>
  <c r="AC71" i="20" s="1"/>
  <c r="U8" i="19"/>
  <c r="V8" i="19" s="1"/>
  <c r="U13" i="19"/>
  <c r="V24" i="18"/>
  <c r="AH130" i="21"/>
  <c r="O24" i="21"/>
  <c r="N43" i="19"/>
  <c r="V92" i="18"/>
  <c r="V97" i="18" s="1"/>
  <c r="F24" i="13"/>
  <c r="V103" i="18"/>
  <c r="V41" i="18"/>
  <c r="H24" i="13"/>
  <c r="K25" i="14"/>
  <c r="J25" i="14"/>
  <c r="M37" i="14"/>
  <c r="F34" i="13"/>
  <c r="J39" i="14"/>
  <c r="U83" i="20"/>
  <c r="AC83" i="20" s="1"/>
  <c r="O42" i="19"/>
  <c r="O43" i="19" s="1"/>
  <c r="V102" i="18" s="1"/>
  <c r="U81" i="20"/>
  <c r="AC81" i="20" s="1"/>
  <c r="N42" i="19"/>
  <c r="H215" i="7"/>
  <c r="R8" i="20"/>
  <c r="I8" i="20" s="1"/>
  <c r="I215" i="7"/>
  <c r="O8" i="20"/>
  <c r="U56" i="20"/>
  <c r="AC56" i="20" s="1"/>
  <c r="U59" i="20"/>
  <c r="AC59" i="20" s="1"/>
  <c r="U63" i="20"/>
  <c r="AC63" i="20" s="1"/>
  <c r="U60" i="20"/>
  <c r="AC60" i="20" s="1"/>
  <c r="U67" i="20"/>
  <c r="AC67" i="20" s="1"/>
  <c r="AH114" i="21" l="1"/>
  <c r="AH158" i="21"/>
  <c r="O47" i="21"/>
  <c r="F30" i="13"/>
  <c r="M39" i="14"/>
  <c r="K34" i="14"/>
  <c r="H30" i="13"/>
  <c r="U42" i="19"/>
  <c r="U43" i="19" s="1"/>
  <c r="V43" i="19" s="1"/>
  <c r="V13" i="19"/>
  <c r="U8" i="20"/>
  <c r="V25" i="18"/>
  <c r="O11" i="21"/>
  <c r="V104" i="18"/>
  <c r="V105" i="18" s="1"/>
  <c r="AH159" i="21"/>
  <c r="O48" i="21"/>
  <c r="M25" i="14"/>
  <c r="R51" i="20"/>
  <c r="R84" i="20" s="1"/>
  <c r="R85" i="20" s="1"/>
  <c r="R42" i="20"/>
  <c r="R43" i="20" s="1"/>
  <c r="O51" i="20"/>
  <c r="O42" i="20"/>
  <c r="O43" i="20" s="1"/>
  <c r="I12" i="14" l="1"/>
  <c r="U42" i="20"/>
  <c r="U43" i="20" s="1"/>
  <c r="V42" i="19"/>
  <c r="V42" i="18"/>
  <c r="V43" i="18"/>
  <c r="P62" i="7"/>
  <c r="V45" i="18" s="1"/>
  <c r="N8" i="20"/>
  <c r="AC8" i="20" s="1"/>
  <c r="I42" i="20"/>
  <c r="I43" i="20" s="1"/>
  <c r="O84" i="20"/>
  <c r="O85" i="20" s="1"/>
  <c r="U51" i="20"/>
  <c r="AH163" i="21" l="1"/>
  <c r="O52" i="21"/>
  <c r="AH161" i="21"/>
  <c r="O50" i="21"/>
  <c r="AH160" i="21"/>
  <c r="O49" i="21"/>
  <c r="V46" i="18"/>
  <c r="V72" i="18" s="1"/>
  <c r="F35" i="13"/>
  <c r="J40" i="14"/>
  <c r="V28" i="18"/>
  <c r="N42" i="20"/>
  <c r="AC51" i="20"/>
  <c r="U84" i="20"/>
  <c r="F36" i="13" l="1"/>
  <c r="F54" i="13" s="1"/>
  <c r="AC42" i="20"/>
  <c r="AC43" i="20" s="1"/>
  <c r="V47" i="18"/>
  <c r="O13" i="21"/>
  <c r="AH116" i="21"/>
  <c r="V35" i="18"/>
  <c r="AH143" i="21"/>
  <c r="O35" i="21"/>
  <c r="M40" i="14"/>
  <c r="J41" i="14"/>
  <c r="U85" i="20"/>
  <c r="AC84" i="20"/>
  <c r="AC85" i="20" s="1"/>
  <c r="N43" i="20"/>
  <c r="AH115" i="21" l="1"/>
  <c r="V67" i="18"/>
  <c r="V68" i="18" s="1"/>
  <c r="V38" i="18"/>
  <c r="P244" i="21"/>
  <c r="O12" i="21"/>
  <c r="V36" i="18"/>
  <c r="H14" i="14"/>
  <c r="V69" i="18" l="1"/>
  <c r="V71" i="18"/>
  <c r="V73" i="18"/>
  <c r="AH120" i="21"/>
  <c r="P243" i="21"/>
  <c r="L80" i="6"/>
  <c r="M80" i="6"/>
  <c r="N80" i="6"/>
  <c r="P80" i="6" l="1"/>
  <c r="J31" i="14" s="1"/>
  <c r="M31" i="14" s="1"/>
  <c r="M34" i="14" s="1"/>
  <c r="J34" i="14" l="1"/>
  <c r="H12" i="14" s="1"/>
  <c r="J63" i="14" l="1"/>
  <c r="K12" i="14"/>
  <c r="M12" i="14"/>
  <c r="L12" i="14"/>
  <c r="H20" i="14"/>
  <c r="M24" i="7"/>
  <c r="N24" i="7" l="1"/>
  <c r="P24" i="7" s="1"/>
  <c r="H31" i="13" l="1"/>
  <c r="H36" i="13" s="1"/>
  <c r="H54" i="13" s="1"/>
  <c r="K36" i="14"/>
  <c r="K41" i="14" l="1"/>
  <c r="M36" i="14"/>
  <c r="M41" i="14" s="1"/>
  <c r="M63" i="14" s="1"/>
  <c r="I14" i="14" l="1"/>
  <c r="K63" i="14"/>
  <c r="I20" i="14" l="1"/>
  <c r="M14" i="14"/>
  <c r="M20" i="14" s="1"/>
  <c r="K14" i="14"/>
  <c r="K20" i="14" s="1"/>
  <c r="L14" i="14"/>
  <c r="L20"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Doust</author>
  </authors>
  <commentList>
    <comment ref="C16" authorId="0" shapeId="0" xr:uid="{00000000-0006-0000-0300-000001000000}">
      <text>
        <r>
          <rPr>
            <sz val="9"/>
            <color indexed="81"/>
            <rFont val="Tahoma"/>
            <family val="2"/>
          </rPr>
          <t>From Climate Change Action Plan</t>
        </r>
      </text>
    </comment>
    <comment ref="D16" authorId="0" shapeId="0" xr:uid="{00000000-0006-0000-0300-000002000000}">
      <text>
        <r>
          <rPr>
            <sz val="9"/>
            <color indexed="81"/>
            <rFont val="Tahoma"/>
            <family val="2"/>
          </rPr>
          <t xml:space="preserve">From AEAT modelling
</t>
        </r>
      </text>
    </comment>
    <comment ref="I16" authorId="0" shapeId="0" xr:uid="{00000000-0006-0000-0300-000003000000}">
      <text>
        <r>
          <rPr>
            <sz val="9"/>
            <color indexed="81"/>
            <rFont val="Calibri"/>
            <family val="2"/>
          </rPr>
          <t>DECC Local and Regional CO2 Emissions Estimates for 2005-2011 (published 11.07. 2013) used from 2005 onwards. The Mayor's Climate Change Mitigation and Energy Strategy used AEA modelling for 2005-2008. This has now been revised with 2013 DECC estimates for 2005-2011.</t>
        </r>
        <r>
          <rPr>
            <sz val="9"/>
            <color indexed="81"/>
            <rFont val="Tahoma"/>
            <family val="2"/>
          </rPr>
          <t xml:space="preserve">
</t>
        </r>
      </text>
    </comment>
    <comment ref="B101" authorId="0" shapeId="0" xr:uid="{00000000-0006-0000-0300-000004000000}">
      <text>
        <r>
          <rPr>
            <b/>
            <sz val="9"/>
            <color indexed="81"/>
            <rFont val="Tahoma"/>
            <family val="2"/>
          </rPr>
          <t>Included in Industrial and Commercial up to 2010</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Doust</author>
  </authors>
  <commentList>
    <comment ref="G45" authorId="0" shapeId="0" xr:uid="{00000000-0006-0000-0500-000001000000}">
      <text>
        <r>
          <rPr>
            <b/>
            <sz val="9"/>
            <color indexed="81"/>
            <rFont val="Tahoma"/>
            <family val="2"/>
          </rPr>
          <t>DO NOT USE - KWH DATA WEATHER ADJUSTED!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Agnieszka Griffin</author>
  </authors>
  <commentList>
    <comment ref="K57" authorId="0" shapeId="0" xr:uid="{00000000-0006-0000-0700-000001000000}">
      <text>
        <r>
          <rPr>
            <b/>
            <sz val="9"/>
            <color indexed="81"/>
            <rFont val="Tahoma"/>
            <family val="2"/>
          </rPr>
          <t>Agnieszka Griffin:</t>
        </r>
        <r>
          <rPr>
            <sz val="9"/>
            <color indexed="81"/>
            <rFont val="Tahoma"/>
            <family val="2"/>
          </rPr>
          <t xml:space="preserve">
unit: tonnes</t>
        </r>
      </text>
    </comment>
    <comment ref="K58" authorId="0" shapeId="0" xr:uid="{00000000-0006-0000-0700-000002000000}">
      <text>
        <r>
          <rPr>
            <b/>
            <sz val="9"/>
            <color indexed="81"/>
            <rFont val="Tahoma"/>
            <family val="2"/>
          </rPr>
          <t>Agnieszka Griffin:</t>
        </r>
        <r>
          <rPr>
            <sz val="9"/>
            <color indexed="81"/>
            <rFont val="Tahoma"/>
            <family val="2"/>
          </rPr>
          <t xml:space="preserve">
Unit: tonnes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Karagianni, Eirini</author>
    <author>Jones, Luke</author>
  </authors>
  <commentList>
    <comment ref="E11" authorId="0" shapeId="0" xr:uid="{00000000-0006-0000-0E00-000001000000}">
      <text>
        <r>
          <rPr>
            <b/>
            <sz val="8"/>
            <rFont val="Tahoma"/>
            <family val="2"/>
          </rPr>
          <t>kg CO₂e per unit</t>
        </r>
      </text>
    </comment>
    <comment ref="F11" authorId="0" shapeId="0" xr:uid="{00000000-0006-0000-0E00-000002000000}">
      <text>
        <r>
          <rPr>
            <b/>
            <sz val="8"/>
            <rFont val="Tahoma"/>
            <family val="2"/>
          </rPr>
          <t>kg CO₂e of CO₂ per unit</t>
        </r>
      </text>
    </comment>
    <comment ref="G11" authorId="0" shapeId="0" xr:uid="{00000000-0006-0000-0E00-000003000000}">
      <text>
        <r>
          <rPr>
            <b/>
            <sz val="8"/>
            <rFont val="Tahoma"/>
            <family val="2"/>
          </rPr>
          <t>kg CO₂e of CH₄ per unit</t>
        </r>
      </text>
    </comment>
    <comment ref="H11" authorId="0" shapeId="0" xr:uid="{00000000-0006-0000-0E00-000004000000}">
      <text>
        <r>
          <rPr>
            <b/>
            <sz val="8"/>
            <rFont val="Tahoma"/>
            <family val="2"/>
          </rPr>
          <t>kg CO₂e of N₂O per unit</t>
        </r>
      </text>
    </comment>
    <comment ref="J11" authorId="0" shapeId="0" xr:uid="{00000000-0006-0000-0E00-000005000000}">
      <text>
        <r>
          <rPr>
            <b/>
            <sz val="8"/>
            <rFont val="Tahoma"/>
            <family val="2"/>
          </rPr>
          <t>kg CO₂e per unit</t>
        </r>
      </text>
    </comment>
    <comment ref="K11" authorId="0" shapeId="0" xr:uid="{00000000-0006-0000-0E00-000006000000}">
      <text>
        <r>
          <rPr>
            <b/>
            <sz val="8"/>
            <rFont val="Tahoma"/>
            <family val="2"/>
          </rPr>
          <t>kg CO₂e of CO₂ per unit</t>
        </r>
      </text>
    </comment>
    <comment ref="L11" authorId="0" shapeId="0" xr:uid="{00000000-0006-0000-0E00-000007000000}">
      <text>
        <r>
          <rPr>
            <b/>
            <sz val="8"/>
            <rFont val="Tahoma"/>
            <family val="2"/>
          </rPr>
          <t>kg CO₂e of CH₄ per unit</t>
        </r>
      </text>
    </comment>
    <comment ref="M11" authorId="0" shapeId="0" xr:uid="{00000000-0006-0000-0E00-000008000000}">
      <text>
        <r>
          <rPr>
            <b/>
            <sz val="8"/>
            <rFont val="Tahoma"/>
            <family val="2"/>
          </rPr>
          <t>kg CO₂e of N₂O per unit</t>
        </r>
      </text>
    </comment>
    <comment ref="C12" authorId="0" shapeId="0" xr:uid="{00000000-0006-0000-0E00-000009000000}">
      <text>
        <r>
          <rPr>
            <b/>
            <sz val="8"/>
            <rFont val="Tahoma"/>
            <family val="2"/>
          </rPr>
          <t>Compressed natural gas - a compressed version of the same natural gas used in homes. Stored in cylinders for use as an alternative transport fuel.</t>
        </r>
      </text>
    </comment>
    <comment ref="C16" authorId="0" shapeId="0" xr:uid="{00000000-0006-0000-0E00-00000A000000}">
      <text>
        <r>
          <rPr>
            <b/>
            <sz val="8"/>
            <rFont val="Tahoma"/>
            <family val="2"/>
          </rPr>
          <t xml:space="preserve">Liquefied natural gas- in a liquid state, this is the easiest way to transport gas in tankers (truck or ship). It can be used as an alternative transport fuel.
</t>
        </r>
      </text>
    </comment>
    <comment ref="C20" authorId="0" shapeId="0" xr:uid="{00000000-0006-0000-0E00-00000B000000}">
      <text>
        <r>
          <rPr>
            <b/>
            <sz val="8"/>
            <rFont val="Tahoma"/>
            <family val="2"/>
          </rPr>
          <t>Liquid petroleum gas - used to power cooking stoves or heaters off-grid and fuel some vehicles (such as fork-lift trucks and vans).</t>
        </r>
      </text>
    </comment>
    <comment ref="C24" authorId="0" shapeId="0" xr:uid="{00000000-0006-0000-0E00-00000C000000}">
      <text>
        <r>
          <rPr>
            <b/>
            <sz val="8"/>
            <rFont val="Tahoma"/>
            <family val="2"/>
          </rPr>
          <t>Standard natural gas received through the gas mains grid network in the UK. Note - contains limited biogas content.</t>
        </r>
      </text>
    </comment>
    <comment ref="C28" authorId="1" shapeId="0" xr:uid="{00000000-0006-0000-0E00-00000D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C32" authorId="0" shapeId="0" xr:uid="{00000000-0006-0000-0E00-00000E000000}">
      <text>
        <r>
          <rPr>
            <b/>
            <sz val="8"/>
            <rFont val="Tahoma"/>
            <family val="2"/>
          </rPr>
          <t>Consists mainly of ethane, plus other hydrocarbons, (excludes butane and propane).</t>
        </r>
      </text>
    </comment>
    <comment ref="E38" authorId="0" shapeId="0" xr:uid="{00000000-0006-0000-0E00-00000F000000}">
      <text>
        <r>
          <rPr>
            <b/>
            <sz val="8"/>
            <rFont val="Tahoma"/>
            <family val="2"/>
          </rPr>
          <t>kg CO₂e per unit</t>
        </r>
      </text>
    </comment>
    <comment ref="F38" authorId="0" shapeId="0" xr:uid="{00000000-0006-0000-0E00-000010000000}">
      <text>
        <r>
          <rPr>
            <b/>
            <sz val="8"/>
            <rFont val="Tahoma"/>
            <family val="2"/>
          </rPr>
          <t>kg CO₂e of CO₂ per unit</t>
        </r>
      </text>
    </comment>
    <comment ref="G38" authorId="0" shapeId="0" xr:uid="{00000000-0006-0000-0E00-000011000000}">
      <text>
        <r>
          <rPr>
            <b/>
            <sz val="8"/>
            <rFont val="Tahoma"/>
            <family val="2"/>
          </rPr>
          <t>kg CO₂e of CH₄ per unit</t>
        </r>
      </text>
    </comment>
    <comment ref="H38" authorId="0" shapeId="0" xr:uid="{00000000-0006-0000-0E00-000012000000}">
      <text>
        <r>
          <rPr>
            <b/>
            <sz val="8"/>
            <rFont val="Tahoma"/>
            <family val="2"/>
          </rPr>
          <t>kg CO₂e of N₂O per unit</t>
        </r>
      </text>
    </comment>
    <comment ref="J38" authorId="0" shapeId="0" xr:uid="{00000000-0006-0000-0E00-000013000000}">
      <text>
        <r>
          <rPr>
            <b/>
            <sz val="8"/>
            <rFont val="Tahoma"/>
            <family val="2"/>
          </rPr>
          <t>kg CO₂e per unit</t>
        </r>
      </text>
    </comment>
    <comment ref="K38" authorId="0" shapeId="0" xr:uid="{00000000-0006-0000-0E00-000014000000}">
      <text>
        <r>
          <rPr>
            <b/>
            <sz val="8"/>
            <rFont val="Tahoma"/>
            <family val="2"/>
          </rPr>
          <t>kg CO₂e of CO₂ per unit</t>
        </r>
      </text>
    </comment>
    <comment ref="L38" authorId="0" shapeId="0" xr:uid="{00000000-0006-0000-0E00-000015000000}">
      <text>
        <r>
          <rPr>
            <b/>
            <sz val="8"/>
            <rFont val="Tahoma"/>
            <family val="2"/>
          </rPr>
          <t>kg CO₂e of CH₄ per unit</t>
        </r>
      </text>
    </comment>
    <comment ref="M38" authorId="0" shapeId="0" xr:uid="{00000000-0006-0000-0E00-000016000000}">
      <text>
        <r>
          <rPr>
            <b/>
            <sz val="8"/>
            <rFont val="Tahoma"/>
            <family val="2"/>
          </rPr>
          <t>kg CO₂e of N₂O per unit</t>
        </r>
      </text>
    </comment>
    <comment ref="C39" authorId="0" shapeId="0" xr:uid="{00000000-0006-0000-0E00-000017000000}">
      <text>
        <r>
          <rPr>
            <b/>
            <sz val="8"/>
            <rFont val="Tahoma"/>
            <family val="2"/>
          </rPr>
          <t>Fuel for piston-engined aircraft - a high octane petrol (aka AVGAS).</t>
        </r>
      </text>
    </comment>
    <comment ref="C43" authorId="0" shapeId="0" xr:uid="{00000000-0006-0000-0E00-000018000000}">
      <text>
        <r>
          <rPr>
            <b/>
            <sz val="8"/>
            <rFont val="Tahoma"/>
            <family val="2"/>
          </rPr>
          <t>Fuel for turbo-prop aircraft and jets (aka jet fuel). Similar to kerosene used as a heating fuel, but refined to a higher quality.</t>
        </r>
      </text>
    </comment>
    <comment ref="C47" authorId="0" shapeId="0" xr:uid="{00000000-0006-0000-0E00-000019000000}">
      <text>
        <r>
          <rPr>
            <b/>
            <sz val="8"/>
            <rFont val="Tahoma"/>
            <family val="2"/>
          </rPr>
          <t>Main purpose is for heating/lighting on a domestic scale (also known as kerosene).</t>
        </r>
      </text>
    </comment>
    <comment ref="C51" authorId="0" shapeId="0" xr:uid="{00000000-0006-0000-0E00-00001A000000}">
      <text>
        <r>
          <rPr>
            <b/>
            <sz val="8"/>
            <rFont val="Tahoma"/>
            <family val="2"/>
          </rPr>
          <t>Standard diesel bought from any local filling station (across the board forecourt fuel typically contains biofuel content).</t>
        </r>
      </text>
    </comment>
    <comment ref="C55" authorId="0" shapeId="0" xr:uid="{00000000-0006-0000-0E00-00001B000000}">
      <text>
        <r>
          <rPr>
            <b/>
            <sz val="8"/>
            <rFont val="Tahoma"/>
            <family val="2"/>
          </rPr>
          <t>Diesel that has not been blended with biofuel (non-forecourt diesel).</t>
        </r>
      </text>
    </comment>
    <comment ref="C59" authorId="0" shapeId="0" xr:uid="{00000000-0006-0000-0E00-00001C000000}">
      <text>
        <r>
          <rPr>
            <b/>
            <sz val="8"/>
            <rFont val="Tahoma"/>
            <family val="2"/>
          </rPr>
          <t>Heavy oil used as fuel in furnaces and boilers of power stations, in industry, for industrial heating and in ships.</t>
        </r>
      </text>
    </comment>
    <comment ref="C63" authorId="0" shapeId="0" xr:uid="{00000000-0006-0000-0E00-00001D000000}">
      <text>
        <r>
          <rPr>
            <b/>
            <sz val="8"/>
            <rFont val="Tahoma"/>
            <family val="2"/>
          </rPr>
          <t>Medium oil used in diesel engines and heating systems (also known as red diesel).</t>
        </r>
      </text>
    </comment>
    <comment ref="C67" authorId="2" shapeId="0" xr:uid="{00000000-0006-0000-0E00-00001E000000}">
      <text>
        <r>
          <rPr>
            <b/>
            <sz val="8"/>
            <color indexed="81"/>
            <rFont val="Tahoma"/>
            <family val="2"/>
          </rPr>
          <t>Waste petroleum-based lubricating oils recovered for use as fuels</t>
        </r>
      </text>
    </comment>
    <comment ref="C71" authorId="0" shapeId="0" xr:uid="{00000000-0006-0000-0E00-00001F000000}">
      <text>
        <r>
          <rPr>
            <b/>
            <sz val="8"/>
            <rFont val="Tahoma"/>
            <family val="2"/>
          </rPr>
          <t>A product of crude oil refining - often used as a solvent.</t>
        </r>
      </text>
    </comment>
    <comment ref="C75" authorId="0" shapeId="0" xr:uid="{00000000-0006-0000-0E00-000020000000}">
      <text>
        <r>
          <rPr>
            <b/>
            <sz val="8"/>
            <rFont val="Tahoma"/>
            <family val="2"/>
          </rPr>
          <t>Standard petrol bought from any local filling station (across the board forecourt fuel typically contains biofuel content).</t>
        </r>
      </text>
    </comment>
    <comment ref="C79" authorId="0" shapeId="0" xr:uid="{00000000-0006-0000-0E00-000021000000}">
      <text>
        <r>
          <rPr>
            <b/>
            <sz val="8"/>
            <rFont val="Tahoma"/>
            <family val="2"/>
          </rPr>
          <t>Petrol that has not been blended with biofuel (non forecourt petrol).</t>
        </r>
      </text>
    </comment>
    <comment ref="C83" authorId="0" shapeId="0" xr:uid="{00000000-0006-0000-0E00-000022000000}">
      <text>
        <r>
          <rPr>
            <b/>
            <sz val="8"/>
            <rFont val="Tahoma"/>
            <family val="2"/>
          </rPr>
          <t>Waste oils meeting the 'residual' oil definition contained in the 'Processed Fuel Oil Quality Protocol'.</t>
        </r>
      </text>
    </comment>
    <comment ref="C87" authorId="0" shapeId="0" xr:uid="{00000000-0006-0000-0E00-000023000000}">
      <text>
        <r>
          <rPr>
            <b/>
            <sz val="8"/>
            <rFont val="Tahoma"/>
            <family val="2"/>
          </rPr>
          <t>Waste oils meeting the 'distillate' oil definition contained in the 'Processed Fuel Oil Quality Protocol'.</t>
        </r>
      </text>
    </comment>
    <comment ref="C91" authorId="2" shapeId="0" xr:uid="{00000000-0006-0000-0E00-000024000000}">
      <text>
        <r>
          <rPr>
            <b/>
            <sz val="8"/>
            <color indexed="81"/>
            <rFont val="Tahoma"/>
            <family val="2"/>
          </rPr>
          <t>Includes aromatic extracts, defoament solvents and other minor miscellaneous products</t>
        </r>
        <r>
          <rPr>
            <sz val="9"/>
            <color indexed="81"/>
            <rFont val="Tahoma"/>
            <family val="2"/>
          </rPr>
          <t xml:space="preserve">
</t>
        </r>
      </text>
    </comment>
    <comment ref="S94" authorId="3" shapeId="0" xr:uid="{00000000-0006-0000-0E00-000025000000}">
      <text>
        <r>
          <rPr>
            <b/>
            <sz val="9"/>
            <color indexed="81"/>
            <rFont val="Tahoma"/>
            <family val="2"/>
          </rPr>
          <t>Standard natural gas received through the gas mains grid network in the UK. Note - contains limited biogas content.</t>
        </r>
      </text>
    </comment>
    <comment ref="C95" authorId="0" shapeId="0" xr:uid="{00000000-0006-0000-0E00-000026000000}">
      <text>
        <r>
          <rPr>
            <b/>
            <sz val="8"/>
            <rFont val="Tahoma"/>
            <family val="2"/>
          </rPr>
          <t>Recycled oils outside of the 'Processed Fuel Oil Quality Protocol' definitions.</t>
        </r>
      </text>
    </comment>
    <comment ref="S95" authorId="4" shapeId="0" xr:uid="{00000000-0006-0000-0E00-000027000000}">
      <text>
        <r>
          <rPr>
            <sz val="9"/>
            <color indexed="81"/>
            <rFont val="Tahoma"/>
            <family val="2"/>
          </rPr>
          <t>Standard natural gas received through the gas mains grid network in the UK. Note - contains limited biogas content</t>
        </r>
      </text>
    </comment>
    <comment ref="C99" authorId="0" shapeId="0" xr:uid="{00000000-0006-0000-0E00-000028000000}">
      <text>
        <r>
          <rPr>
            <b/>
            <sz val="8"/>
            <rFont val="Tahoma"/>
            <family val="2"/>
          </rPr>
          <t>Distillate fuels are commonly called "Marine gas oil". Distillate fuel is composed of petroleum fractions of crude oil that are separated in a refinery by a boiling or "distillation" process.</t>
        </r>
      </text>
    </comment>
    <comment ref="C103" authorId="0" shapeId="0" xr:uid="{00000000-0006-0000-0E00-000029000000}">
      <text>
        <r>
          <rPr>
            <b/>
            <sz val="8"/>
            <rFont val="Tahoma"/>
            <family val="2"/>
          </rPr>
          <t>Residual fuels are called "Marine fuel oil". Residual fuel or "residuum" is the fraction that did not boil, sometimes referred to as "tar" or "petroleum pitch".</t>
        </r>
      </text>
    </comment>
    <comment ref="J109" authorId="0" shapeId="0" xr:uid="{00000000-0006-0000-0E00-00002A000000}">
      <text>
        <r>
          <rPr>
            <b/>
            <sz val="8"/>
            <rFont val="Tahoma"/>
            <family val="2"/>
          </rPr>
          <t>kg CO₂e per unit</t>
        </r>
      </text>
    </comment>
    <comment ref="K109" authorId="0" shapeId="0" xr:uid="{00000000-0006-0000-0E00-00002B000000}">
      <text>
        <r>
          <rPr>
            <b/>
            <sz val="8"/>
            <rFont val="Tahoma"/>
            <family val="2"/>
          </rPr>
          <t>kg CO₂e of CO₂ per unit</t>
        </r>
      </text>
    </comment>
    <comment ref="L109" authorId="0" shapeId="0" xr:uid="{00000000-0006-0000-0E00-00002C000000}">
      <text>
        <r>
          <rPr>
            <b/>
            <sz val="8"/>
            <rFont val="Tahoma"/>
            <family val="2"/>
          </rPr>
          <t>kg CO₂e of CH₄ per unit</t>
        </r>
      </text>
    </comment>
    <comment ref="M109" authorId="0" shapeId="0" xr:uid="{00000000-0006-0000-0E00-00002D000000}">
      <text>
        <r>
          <rPr>
            <b/>
            <sz val="8"/>
            <rFont val="Tahoma"/>
            <family val="2"/>
          </rPr>
          <t>kg CO₂e of N₂O per unit</t>
        </r>
      </text>
    </comment>
    <comment ref="C110" authorId="0" shapeId="0" xr:uid="{00000000-0006-0000-0E00-00002E000000}">
      <text>
        <r>
          <rPr>
            <b/>
            <sz val="8"/>
            <rFont val="Tahoma"/>
            <family val="2"/>
          </rPr>
          <t>Coal used in sources other than power stations and domestic use.</t>
        </r>
      </text>
    </comment>
    <comment ref="C113" authorId="0" shapeId="0" xr:uid="{00000000-0006-0000-0E00-00002F000000}">
      <text>
        <r>
          <rPr>
            <b/>
            <sz val="8"/>
            <rFont val="Tahoma"/>
            <family val="2"/>
          </rPr>
          <t>Coal used in power stations to generate electricity.</t>
        </r>
      </text>
    </comment>
    <comment ref="C116" authorId="0" shapeId="0" xr:uid="{00000000-0006-0000-0E00-000030000000}">
      <text>
        <r>
          <rPr>
            <b/>
            <sz val="8"/>
            <rFont val="Tahoma"/>
            <family val="2"/>
          </rPr>
          <t>Coal used domestically.</t>
        </r>
      </text>
    </comment>
    <comment ref="C119" authorId="0" shapeId="0" xr:uid="{00000000-0006-0000-0E00-000031000000}">
      <text>
        <r>
          <rPr>
            <b/>
            <sz val="8"/>
            <rFont val="Tahoma"/>
            <family val="2"/>
          </rPr>
          <t>Coke may be used as a heating fuel and as a reducing agent in a blast furnace.</t>
        </r>
      </text>
    </comment>
    <comment ref="C122" authorId="0" shapeId="0" xr:uid="{00000000-0006-0000-0E00-000032000000}">
      <text>
        <r>
          <rPr>
            <b/>
            <sz val="8"/>
            <rFont val="Tahoma"/>
            <family val="2"/>
          </rPr>
          <t>Normally used in cement manufacture and power plants.</t>
        </r>
      </text>
    </comment>
    <comment ref="C125" authorId="0" shapeId="0" xr:uid="{00000000-0006-0000-0E00-000033000000}">
      <text>
        <r>
          <rPr>
            <b/>
            <sz val="8"/>
            <rFont val="Tahoma"/>
            <family val="2"/>
          </rPr>
          <t>Coal used in power stations to generate electricity (only for coal produced in the UK).</t>
        </r>
      </text>
    </comment>
    <comment ref="F130" authorId="0" shapeId="0" xr:uid="{00000000-0006-0000-0E00-000034000000}">
      <text>
        <r>
          <rPr>
            <b/>
            <sz val="8"/>
            <rFont val="Tahoma"/>
            <family val="2"/>
          </rPr>
          <t>kg CO₂e per unit</t>
        </r>
      </text>
    </comment>
    <comment ref="G130" authorId="0" shapeId="0" xr:uid="{00000000-0006-0000-0E00-000035000000}">
      <text>
        <r>
          <rPr>
            <b/>
            <sz val="8"/>
            <rFont val="Tahoma"/>
            <family val="2"/>
          </rPr>
          <t>kg CO₂e of CO₂ per unit</t>
        </r>
      </text>
    </comment>
    <comment ref="H130" authorId="0" shapeId="0" xr:uid="{00000000-0006-0000-0E00-000036000000}">
      <text>
        <r>
          <rPr>
            <b/>
            <sz val="8"/>
            <rFont val="Tahoma"/>
            <family val="2"/>
          </rPr>
          <t>kg CO₂e of CH₄ per unit</t>
        </r>
      </text>
    </comment>
    <comment ref="I130" authorId="0" shapeId="0" xr:uid="{00000000-0006-0000-0E00-000037000000}">
      <text>
        <r>
          <rPr>
            <b/>
            <sz val="8"/>
            <rFont val="Tahoma"/>
            <family val="2"/>
          </rPr>
          <t>kg CO₂e of N₂O per unit</t>
        </r>
      </text>
    </comment>
    <comment ref="J130" authorId="0" shapeId="0" xr:uid="{00000000-0006-0000-0E00-000038000000}">
      <text>
        <r>
          <rPr>
            <b/>
            <sz val="8"/>
            <rFont val="Tahoma"/>
            <family val="2"/>
          </rPr>
          <t>kg CO₂e per unit</t>
        </r>
      </text>
    </comment>
    <comment ref="K130" authorId="0" shapeId="0" xr:uid="{00000000-0006-0000-0E00-000039000000}">
      <text>
        <r>
          <rPr>
            <b/>
            <sz val="8"/>
            <rFont val="Tahoma"/>
            <family val="2"/>
          </rPr>
          <t>kg CO₂e of CO₂ per unit</t>
        </r>
      </text>
    </comment>
    <comment ref="L130" authorId="0" shapeId="0" xr:uid="{00000000-0006-0000-0E00-00003A000000}">
      <text>
        <r>
          <rPr>
            <b/>
            <sz val="8"/>
            <rFont val="Tahoma"/>
            <family val="2"/>
          </rPr>
          <t>kg CO₂e of CH₄ per unit</t>
        </r>
      </text>
    </comment>
    <comment ref="M130" authorId="0" shapeId="0" xr:uid="{00000000-0006-0000-0E00-00003B000000}">
      <text>
        <r>
          <rPr>
            <b/>
            <sz val="8"/>
            <rFont val="Tahoma"/>
            <family val="2"/>
          </rPr>
          <t>kg CO₂e of N₂O per unit</t>
        </r>
      </text>
    </comment>
    <comment ref="B131" authorId="0" shapeId="0" xr:uid="{00000000-0006-0000-0E00-00003C000000}">
      <text>
        <r>
          <rPr>
            <b/>
            <sz val="8"/>
            <rFont val="Tahoma"/>
            <family val="2"/>
          </rPr>
          <t>Emissions associated with the generation of electricity at a power station.  Electricity generation factors do not include transmission and distribution.</t>
        </r>
      </text>
    </comment>
    <comment ref="F134" authorId="0" shapeId="0" xr:uid="{00000000-0006-0000-0E00-00003D000000}">
      <text>
        <r>
          <rPr>
            <b/>
            <sz val="8"/>
            <rFont val="Tahoma"/>
            <family val="2"/>
          </rPr>
          <t>kg CO₂e per unit</t>
        </r>
      </text>
    </comment>
    <comment ref="G134" authorId="0" shapeId="0" xr:uid="{00000000-0006-0000-0E00-00003E000000}">
      <text>
        <r>
          <rPr>
            <b/>
            <sz val="8"/>
            <rFont val="Tahoma"/>
            <family val="2"/>
          </rPr>
          <t>kg CO₂e of CO₂ per unit</t>
        </r>
      </text>
    </comment>
    <comment ref="H134" authorId="0" shapeId="0" xr:uid="{00000000-0006-0000-0E00-00003F000000}">
      <text>
        <r>
          <rPr>
            <b/>
            <sz val="8"/>
            <rFont val="Tahoma"/>
            <family val="2"/>
          </rPr>
          <t>kg CO₂e of CH₄ per unit</t>
        </r>
      </text>
    </comment>
    <comment ref="I134" authorId="0" shapeId="0" xr:uid="{00000000-0006-0000-0E00-000040000000}">
      <text>
        <r>
          <rPr>
            <b/>
            <sz val="8"/>
            <rFont val="Tahoma"/>
            <family val="2"/>
          </rPr>
          <t>kg CO₂e of N₂O per unit</t>
        </r>
      </text>
    </comment>
    <comment ref="J134" authorId="0" shapeId="0" xr:uid="{00000000-0006-0000-0E00-000041000000}">
      <text>
        <r>
          <rPr>
            <b/>
            <sz val="8"/>
            <rFont val="Tahoma"/>
            <family val="2"/>
          </rPr>
          <t>kg CO₂e per unit</t>
        </r>
      </text>
    </comment>
    <comment ref="K134" authorId="0" shapeId="0" xr:uid="{00000000-0006-0000-0E00-000042000000}">
      <text>
        <r>
          <rPr>
            <b/>
            <sz val="8"/>
            <rFont val="Tahoma"/>
            <family val="2"/>
          </rPr>
          <t>kg CO₂e of CO₂ per unit</t>
        </r>
      </text>
    </comment>
    <comment ref="L134" authorId="0" shapeId="0" xr:uid="{00000000-0006-0000-0E00-000043000000}">
      <text>
        <r>
          <rPr>
            <b/>
            <sz val="8"/>
            <rFont val="Tahoma"/>
            <family val="2"/>
          </rPr>
          <t>kg CO₂e of CH₄ per unit</t>
        </r>
      </text>
    </comment>
    <comment ref="M134" authorId="0" shapeId="0" xr:uid="{00000000-0006-0000-0E00-000044000000}">
      <text>
        <r>
          <rPr>
            <b/>
            <sz val="8"/>
            <rFont val="Tahoma"/>
            <family val="2"/>
          </rPr>
          <t>kg CO₂e of N₂O per unit</t>
        </r>
      </text>
    </comment>
    <comment ref="B135" authorId="0" shapeId="0" xr:uid="{00000000-0006-0000-0E00-000045000000}">
      <text>
        <r>
          <rPr>
            <b/>
            <sz val="8"/>
            <rFont val="Tahoma"/>
            <family val="2"/>
          </rPr>
          <t>Emissions impact of the efficiency losses experienced in getting electricity from the power plant to the end user.</t>
        </r>
      </text>
    </comment>
    <comment ref="E138" authorId="0" shapeId="0" xr:uid="{00000000-0006-0000-0E00-000046000000}">
      <text>
        <r>
          <rPr>
            <b/>
            <sz val="8"/>
            <rFont val="Tahoma"/>
            <family val="2"/>
          </rPr>
          <t>kg CO₂e per unit</t>
        </r>
      </text>
    </comment>
    <comment ref="J138" authorId="0" shapeId="0" xr:uid="{00000000-0006-0000-0E00-000047000000}">
      <text>
        <r>
          <rPr>
            <b/>
            <sz val="8"/>
            <rFont val="Tahoma"/>
            <family val="2"/>
          </rPr>
          <t>kg CO₂e per unit</t>
        </r>
      </text>
    </comment>
    <comment ref="C143" authorId="0" shapeId="0" xr:uid="{00000000-0006-0000-0E00-000048000000}">
      <text>
        <r>
          <rPr>
            <b/>
            <sz val="8"/>
            <rFont val="Tahoma"/>
            <family val="2"/>
          </rPr>
          <t>Compressed low quality wood (such as sawdust and shavings) made into pellet form.</t>
        </r>
      </text>
    </comment>
  </commentList>
</comments>
</file>

<file path=xl/sharedStrings.xml><?xml version="1.0" encoding="utf-8"?>
<sst xmlns="http://schemas.openxmlformats.org/spreadsheetml/2006/main" count="6633" uniqueCount="2385">
  <si>
    <t>Other (please specify)</t>
  </si>
  <si>
    <t>Travel time</t>
  </si>
  <si>
    <t>Travel expenditure</t>
  </si>
  <si>
    <t>Distance travelled (freight)</t>
  </si>
  <si>
    <t>Distance travelled (passenger)</t>
  </si>
  <si>
    <t>Distance travelled (vehicle)</t>
  </si>
  <si>
    <t>Hydrogen</t>
  </si>
  <si>
    <t>T&amp;D losses from grid-supplied energy consumption</t>
  </si>
  <si>
    <t>Cooling (CHP)</t>
  </si>
  <si>
    <t>Cooling</t>
  </si>
  <si>
    <t>Steam (CHP)</t>
  </si>
  <si>
    <t>Steam</t>
  </si>
  <si>
    <t>Heating (CHP)</t>
  </si>
  <si>
    <t>Heating</t>
  </si>
  <si>
    <t>Electricity (CHP)</t>
  </si>
  <si>
    <t>lb</t>
  </si>
  <si>
    <t>Electricity</t>
  </si>
  <si>
    <t>st</t>
  </si>
  <si>
    <t>Wood or wood waste</t>
  </si>
  <si>
    <t>lt</t>
  </si>
  <si>
    <t>Town gas or city gas</t>
  </si>
  <si>
    <t>kg</t>
  </si>
  <si>
    <t>Sludge gas</t>
  </si>
  <si>
    <t>tonne</t>
  </si>
  <si>
    <t>Sewage sludge</t>
  </si>
  <si>
    <t>gal (UK)</t>
  </si>
  <si>
    <t>Residual fuel oil</t>
  </si>
  <si>
    <t>gal (US)</t>
  </si>
  <si>
    <t>Propane</t>
  </si>
  <si>
    <t>Ml</t>
  </si>
  <si>
    <t>Petroleum coke</t>
  </si>
  <si>
    <t>kl</t>
  </si>
  <si>
    <t>Other Liquid BioFuels</t>
  </si>
  <si>
    <t>l (liter)</t>
  </si>
  <si>
    <t>Other biogas</t>
  </si>
  <si>
    <t>MMb</t>
  </si>
  <si>
    <t>Natural gas</t>
  </si>
  <si>
    <t>bbl</t>
  </si>
  <si>
    <t>Naphtha</t>
  </si>
  <si>
    <t>MMcf</t>
  </si>
  <si>
    <t>Municipal wastes (biomass fraction)</t>
  </si>
  <si>
    <t>Mcf</t>
  </si>
  <si>
    <t>Municipal wastes (non-biomass fraction)</t>
  </si>
  <si>
    <t>Ccf</t>
  </si>
  <si>
    <t>Municipal wastes (all)</t>
  </si>
  <si>
    <r>
      <t>cf (ft</t>
    </r>
    <r>
      <rPr>
        <vertAlign val="superscript"/>
        <sz val="11"/>
        <color theme="1"/>
        <rFont val="Calibri"/>
        <family val="2"/>
        <scheme val="minor"/>
      </rPr>
      <t>3</t>
    </r>
    <r>
      <rPr>
        <sz val="11"/>
        <color theme="1"/>
        <rFont val="Calibri"/>
        <family val="2"/>
        <scheme val="minor"/>
      </rPr>
      <t>)</t>
    </r>
  </si>
  <si>
    <t>Motor gasoline (petrol)</t>
  </si>
  <si>
    <t>Mcm</t>
  </si>
  <si>
    <t>Methanol</t>
  </si>
  <si>
    <r>
      <t>thou.m</t>
    </r>
    <r>
      <rPr>
        <vertAlign val="superscript"/>
        <sz val="12"/>
        <color theme="1"/>
        <rFont val="Calibri"/>
        <family val="2"/>
        <scheme val="minor"/>
      </rPr>
      <t>3</t>
    </r>
  </si>
  <si>
    <t>Lubricants</t>
  </si>
  <si>
    <t>m³</t>
  </si>
  <si>
    <t>Liquefied Petroleum Gas (LPG)</t>
  </si>
  <si>
    <t>BOE</t>
  </si>
  <si>
    <t>Liquefied Natural Gas (LNG)</t>
  </si>
  <si>
    <t>Mtoe</t>
  </si>
  <si>
    <t>Landfill gas</t>
  </si>
  <si>
    <t>Therm</t>
  </si>
  <si>
    <t>Kerosene (paraffin)</t>
  </si>
  <si>
    <t>MMBtu</t>
  </si>
  <si>
    <t>Jet kerosene</t>
  </si>
  <si>
    <t>kBtu</t>
  </si>
  <si>
    <t>3.C.14 or 3.D.2</t>
  </si>
  <si>
    <t>Jet gasoline</t>
  </si>
  <si>
    <t>Btu</t>
  </si>
  <si>
    <t>3.D.1</t>
  </si>
  <si>
    <t>Harvested wood products</t>
  </si>
  <si>
    <t>Gas oil</t>
  </si>
  <si>
    <t>Mix of diesel oil and motor gasoline</t>
  </si>
  <si>
    <t>Gcal</t>
  </si>
  <si>
    <t>3.C.13</t>
  </si>
  <si>
    <t>CH4 emissions from rewetted and created wetlands on inland wetland mineral soils</t>
  </si>
  <si>
    <t>Mcal</t>
  </si>
  <si>
    <t>3.C.12</t>
  </si>
  <si>
    <t>N2O emissions from aquaculture</t>
  </si>
  <si>
    <t>Ethanol</t>
  </si>
  <si>
    <t>TJ</t>
  </si>
  <si>
    <t>3.C.11</t>
  </si>
  <si>
    <t>CH4 emissions from rewetting of mangroves and tidal marshes</t>
  </si>
  <si>
    <t>NF3</t>
  </si>
  <si>
    <t>E85</t>
  </si>
  <si>
    <t>Non-specified industry (1.A.2.m)</t>
  </si>
  <si>
    <t>GJ</t>
  </si>
  <si>
    <t>Please select</t>
  </si>
  <si>
    <t>3.C.10</t>
  </si>
  <si>
    <t>CH4 from rewetting of organic soils</t>
  </si>
  <si>
    <t>Diesel oil</t>
  </si>
  <si>
    <t>Kerosene</t>
  </si>
  <si>
    <t>Textile and leather (1.A.2.l)</t>
  </si>
  <si>
    <t>MJ</t>
  </si>
  <si>
    <t>3.C.9</t>
  </si>
  <si>
    <t>CH4 from drainage ditches on organic soils</t>
  </si>
  <si>
    <t>Crude oil</t>
  </si>
  <si>
    <t>Construction (1.A.2.k)</t>
  </si>
  <si>
    <t>TWh</t>
  </si>
  <si>
    <t>3.C.8</t>
  </si>
  <si>
    <t>CH4 from drained organic soils</t>
  </si>
  <si>
    <t>1.B.1.c</t>
  </si>
  <si>
    <t>Compressed Natural Gas (CNG)</t>
  </si>
  <si>
    <t>Wood and wood products (1.A.2.j)</t>
  </si>
  <si>
    <t>GWh</t>
  </si>
  <si>
    <t>3.C.7</t>
  </si>
  <si>
    <t>Rice cultivations</t>
  </si>
  <si>
    <t>1.B.1.b</t>
  </si>
  <si>
    <t>Coal (manufactured solid fuels)</t>
  </si>
  <si>
    <t>Mining (excl. fuels) and quarrying (1.A.2.i)</t>
  </si>
  <si>
    <t>MWh</t>
  </si>
  <si>
    <t>3.C.6</t>
  </si>
  <si>
    <t>Indirect N2O from manure management</t>
  </si>
  <si>
    <t>3.A.2.i</t>
  </si>
  <si>
    <t>Other (2.B.10) (please specify)</t>
  </si>
  <si>
    <t>1.B.1.a.ii.2</t>
  </si>
  <si>
    <t>SF6</t>
  </si>
  <si>
    <t>Coking coal</t>
  </si>
  <si>
    <t>Machinery (1.A.2.h)</t>
  </si>
  <si>
    <t>kWh</t>
  </si>
  <si>
    <t>3.C.5</t>
  </si>
  <si>
    <t>Indirect N2O from managed soils</t>
  </si>
  <si>
    <t>Fluorochemical production (2.B.9)</t>
  </si>
  <si>
    <t>1.B.1.a.ii.1</t>
  </si>
  <si>
    <t>PFCs</t>
  </si>
  <si>
    <t>Coke</t>
  </si>
  <si>
    <t>Transport equipment (1.A.2.g)</t>
  </si>
  <si>
    <t>tkm</t>
  </si>
  <si>
    <t>3.C.4</t>
  </si>
  <si>
    <t>Direct N2O from managed soils</t>
  </si>
  <si>
    <t>Other (2.F.6) (please specify)</t>
  </si>
  <si>
    <t>Petrochemical and black carbon production (2.B.8)</t>
  </si>
  <si>
    <t>1.B.2.b.iii.6</t>
  </si>
  <si>
    <t>Other (please specify) (1.B.2.b.iii.6)</t>
  </si>
  <si>
    <t>1.B.2.a.iii.6</t>
  </si>
  <si>
    <t>Other (please specify) (1.B.2.a.iii.6)</t>
  </si>
  <si>
    <t>1.B.1.a.ii</t>
  </si>
  <si>
    <t>Coal (Bituminous or Black coal)</t>
  </si>
  <si>
    <t>Non-metallic minerals (1.A.2.f)</t>
  </si>
  <si>
    <t>pkm</t>
  </si>
  <si>
    <t>3.C.3</t>
  </si>
  <si>
    <t>Urea fertilization</t>
  </si>
  <si>
    <t>Solvents (2.F.5)</t>
  </si>
  <si>
    <t>Other (2.C.7) (please specify)</t>
  </si>
  <si>
    <t>Soda ash production (2.B.7)</t>
  </si>
  <si>
    <t>1.B.2.b.iii.5</t>
  </si>
  <si>
    <t>Distribution (1.B.2.b.iii.5)</t>
  </si>
  <si>
    <t>1.B.2.a.iii.5</t>
  </si>
  <si>
    <t>Distribution of oil products (1.B.2.a.iii.5)</t>
  </si>
  <si>
    <t>1.B.1.a.i.4</t>
  </si>
  <si>
    <t>Charcoal</t>
  </si>
  <si>
    <t>Other energy industries (1.A.1.c.ii)</t>
  </si>
  <si>
    <t>Food processing, beverages and tobacco (1.A.2.e)</t>
  </si>
  <si>
    <r>
      <t>mile</t>
    </r>
    <r>
      <rPr>
        <vertAlign val="superscript"/>
        <sz val="12"/>
        <color theme="1"/>
        <rFont val="Calibri"/>
        <family val="2"/>
        <scheme val="minor"/>
      </rPr>
      <t>2</t>
    </r>
  </si>
  <si>
    <t>vmt</t>
  </si>
  <si>
    <t>3.C.2</t>
  </si>
  <si>
    <t>Liming</t>
  </si>
  <si>
    <t>Aerosols (2.F.4)</t>
  </si>
  <si>
    <t>2.H</t>
  </si>
  <si>
    <t>Zinc production (2.C.6)</t>
  </si>
  <si>
    <t>Titanium dioxide production (2.B.6)</t>
  </si>
  <si>
    <t>1.B.2.b.iii.4</t>
  </si>
  <si>
    <t>Transmission and storage (1.B.2.b.iii.4)</t>
  </si>
  <si>
    <t>1.B.2.a.iii.4</t>
  </si>
  <si>
    <t>Refining (1.B.2.a.iii.4)</t>
  </si>
  <si>
    <t>1.B.1.a.i.3</t>
  </si>
  <si>
    <t>Butane</t>
  </si>
  <si>
    <t>Manufacture of solid fuels (1.A.1.c.i)</t>
  </si>
  <si>
    <t>Pulp, paper and print (1.A.2.d)</t>
  </si>
  <si>
    <t>acre</t>
  </si>
  <si>
    <t>vkt</t>
  </si>
  <si>
    <t>AFOLU</t>
  </si>
  <si>
    <t>3.C.1.d</t>
  </si>
  <si>
    <t xml:space="preserve">  Burning in All Other land</t>
  </si>
  <si>
    <t>Fire protection (2.F.3)</t>
  </si>
  <si>
    <t>Other (2.E.5) (please specify)</t>
  </si>
  <si>
    <t>2.G</t>
  </si>
  <si>
    <t>Other_product_manufacture_and_use</t>
  </si>
  <si>
    <t>Lead production (2.C.5)</t>
  </si>
  <si>
    <t>Carbide production (2.B.5)</t>
  </si>
  <si>
    <t>Other (2.A.5) (please specify)</t>
  </si>
  <si>
    <t>4.A.3</t>
  </si>
  <si>
    <t>Uncategorised waste disposal sites</t>
  </si>
  <si>
    <t>1.B.2.b.iii.3</t>
  </si>
  <si>
    <t>Processing (1.B.2.b.iii.3)</t>
  </si>
  <si>
    <t>1.B.2.a.iii.3</t>
  </si>
  <si>
    <t>Transport (1.B.2.a.iii.3)</t>
  </si>
  <si>
    <t>1.B.1.a.i.2</t>
  </si>
  <si>
    <t>Bitumen</t>
  </si>
  <si>
    <t>Petroleum refining (1.A.1.b)</t>
  </si>
  <si>
    <t>Chemicals (1.A.2.c)</t>
  </si>
  <si>
    <r>
      <t>km</t>
    </r>
    <r>
      <rPr>
        <vertAlign val="superscript"/>
        <sz val="12"/>
        <color theme="1"/>
        <rFont val="Calibri"/>
        <family val="2"/>
        <scheme val="minor"/>
      </rPr>
      <t>2</t>
    </r>
  </si>
  <si>
    <t>miles</t>
  </si>
  <si>
    <t>Wastewater</t>
  </si>
  <si>
    <t>Air</t>
  </si>
  <si>
    <t>Energy</t>
  </si>
  <si>
    <t>IPPU</t>
  </si>
  <si>
    <t>3.C.1.c</t>
  </si>
  <si>
    <t xml:space="preserve">  Burning in Grassland</t>
  </si>
  <si>
    <t>Other (2.G.4) (please specify)</t>
  </si>
  <si>
    <t>Foam blowing agents (2.F.2)</t>
  </si>
  <si>
    <t>Heat transfer fluid (2.E.4)</t>
  </si>
  <si>
    <t>Other (2.D.4) (please specify)</t>
  </si>
  <si>
    <t>2.F</t>
  </si>
  <si>
    <t>Product_uses_as_substitutes_for_ozone_depleting_substances</t>
  </si>
  <si>
    <t>Magnesium production (2.C.4)</t>
  </si>
  <si>
    <t>Caprolactam production (2.B.4)</t>
  </si>
  <si>
    <t>Other Process Uses of Carbonates (2.A.4)</t>
  </si>
  <si>
    <t>2.C</t>
  </si>
  <si>
    <t>Metal</t>
  </si>
  <si>
    <t>Sludge</t>
  </si>
  <si>
    <t>4.A.2</t>
  </si>
  <si>
    <t>Unmanaged waste disposal sites</t>
  </si>
  <si>
    <t>1.B.2.b.iii.2</t>
  </si>
  <si>
    <t>Production (1.B.2.b.iii.2)</t>
  </si>
  <si>
    <t>1.B.2.a.iii.2</t>
  </si>
  <si>
    <t>Production and Upgrading (1.B.2.a.iii.2)</t>
  </si>
  <si>
    <t>1.B.1.a.i.1</t>
  </si>
  <si>
    <t>t</t>
  </si>
  <si>
    <t>2AR</t>
  </si>
  <si>
    <t>IPCC Second Assessment Report (1995)</t>
  </si>
  <si>
    <t>Biogasoline</t>
  </si>
  <si>
    <t>Fishing (mobile combustion) (1.A.4.c.iii)</t>
  </si>
  <si>
    <t>Heat plants (1.A.1.a.iii)</t>
  </si>
  <si>
    <t>Non-ferrous metals (1.A.2.b)</t>
  </si>
  <si>
    <t>Institutional</t>
  </si>
  <si>
    <t>hectare</t>
  </si>
  <si>
    <t>km</t>
  </si>
  <si>
    <t>Incineration</t>
  </si>
  <si>
    <t>Water</t>
  </si>
  <si>
    <t>Scope 3</t>
  </si>
  <si>
    <t>Waste</t>
  </si>
  <si>
    <t>Construction</t>
  </si>
  <si>
    <t>3.C.1.b</t>
  </si>
  <si>
    <t xml:space="preserve">  Burning in Cropland</t>
  </si>
  <si>
    <t>Other (2.H.3) (please specify)</t>
  </si>
  <si>
    <t>N2O from product uses (2.G.3)</t>
  </si>
  <si>
    <t xml:space="preserve">  Mobile air conditioning (2.F.1.b)</t>
  </si>
  <si>
    <t>Photovoltaics (2.E.3)</t>
  </si>
  <si>
    <t>Solvent use (2.D.3)</t>
  </si>
  <si>
    <t>2.E</t>
  </si>
  <si>
    <t>Electronics_industry</t>
  </si>
  <si>
    <t>Aluminium production (2.C.3)</t>
  </si>
  <si>
    <t>Adipic acid production (2.B.3)</t>
  </si>
  <si>
    <t>Glass production (2.A.3)</t>
  </si>
  <si>
    <t>2.B</t>
  </si>
  <si>
    <t>Chemical</t>
  </si>
  <si>
    <t>Garden and park waste</t>
  </si>
  <si>
    <t>4.D.2</t>
  </si>
  <si>
    <t>Industrial wastewater (4.D.2)</t>
  </si>
  <si>
    <t>Anaerobic digestion</t>
  </si>
  <si>
    <t>4.A.1</t>
  </si>
  <si>
    <t>Other managed waste disposal site(s)</t>
  </si>
  <si>
    <t>1.B.2.b.iii.1</t>
  </si>
  <si>
    <t>Exploration (1.B.2.b.iii.1)</t>
  </si>
  <si>
    <t>1.B.2.a.iii.1</t>
  </si>
  <si>
    <t>Exploration (1.B.2.a.iii.1)</t>
  </si>
  <si>
    <t>1.B.1.a.i</t>
  </si>
  <si>
    <t>1.A.1.a.iii</t>
  </si>
  <si>
    <t>Heat plants</t>
  </si>
  <si>
    <t>N2O</t>
  </si>
  <si>
    <t>C</t>
  </si>
  <si>
    <t>kt</t>
  </si>
  <si>
    <t>3AR</t>
  </si>
  <si>
    <t>IPCC Third Assessment Report (2001)</t>
  </si>
  <si>
    <t>Biodiesels</t>
  </si>
  <si>
    <t>Off</t>
  </si>
  <si>
    <t>Mobile (1.A.5.b)</t>
  </si>
  <si>
    <t>Off-road vehicles and other machinery (1.A.2.ii)</t>
  </si>
  <si>
    <t>Combined heat and power generation (1.A.1.a.ii)</t>
  </si>
  <si>
    <t>Iron and steel (1.A.2)</t>
  </si>
  <si>
    <t>Commercial</t>
  </si>
  <si>
    <r>
      <t>m</t>
    </r>
    <r>
      <rPr>
        <vertAlign val="superscript"/>
        <sz val="12"/>
        <color theme="1"/>
        <rFont val="Calibri"/>
        <family val="2"/>
        <scheme val="minor"/>
      </rPr>
      <t>2</t>
    </r>
  </si>
  <si>
    <t>vehicles</t>
  </si>
  <si>
    <t>BASIC+</t>
  </si>
  <si>
    <t>Rail</t>
  </si>
  <si>
    <t>Scope 2</t>
  </si>
  <si>
    <t>Transportation</t>
  </si>
  <si>
    <t>3.C.1.a</t>
  </si>
  <si>
    <t xml:space="preserve">  Burning in Forest land</t>
  </si>
  <si>
    <t>Food and beverages industry (2.H.2)</t>
  </si>
  <si>
    <t>SF6 and PFCs from other product uses (2.G.2)</t>
  </si>
  <si>
    <t xml:space="preserve">  Refrigeration and stationary air conditioning (2.F.1.a)</t>
  </si>
  <si>
    <t>TFT flat panel display (2.E.2)</t>
  </si>
  <si>
    <t>Paraffin wax use (2.D.2)</t>
  </si>
  <si>
    <t>2.D</t>
  </si>
  <si>
    <t>Non_energy_products_from_fuels_and_solvent_use</t>
  </si>
  <si>
    <t>Ferroalloy production (2.C.2)</t>
  </si>
  <si>
    <t>Nitric acid production (2.B.2)</t>
  </si>
  <si>
    <t>Lime production (2.A.1)</t>
  </si>
  <si>
    <t>2.A</t>
  </si>
  <si>
    <t>Mineral</t>
  </si>
  <si>
    <t>Food waste</t>
  </si>
  <si>
    <t>Municipal solid waste</t>
  </si>
  <si>
    <t>4.D.1</t>
  </si>
  <si>
    <t>Domestic wastewater (4.D.1)</t>
  </si>
  <si>
    <t>4.C.2</t>
  </si>
  <si>
    <t>Composting</t>
  </si>
  <si>
    <t>Landfill sites - First order decay</t>
  </si>
  <si>
    <t>1.B.2.b.ii</t>
  </si>
  <si>
    <t>Flaring (1.B.2.b.ii)</t>
  </si>
  <si>
    <t>1.B.2.a.ii</t>
  </si>
  <si>
    <t>Flaring (1.B.2.a.ii)</t>
  </si>
  <si>
    <t>1.B.2.b</t>
  </si>
  <si>
    <t>Natural Gas</t>
  </si>
  <si>
    <t>1.B.1.a</t>
  </si>
  <si>
    <t>1.A.1.a.ii</t>
  </si>
  <si>
    <t>Combined heat and power generation (CHP)</t>
  </si>
  <si>
    <t>CH4</t>
  </si>
  <si>
    <t>M</t>
  </si>
  <si>
    <t>NE</t>
  </si>
  <si>
    <t>GHG</t>
  </si>
  <si>
    <t>4AR</t>
  </si>
  <si>
    <t>IPCC Fourth Assessment Report (2007)</t>
  </si>
  <si>
    <t>Aviation gasoline</t>
  </si>
  <si>
    <t>On</t>
  </si>
  <si>
    <t>Stationary (1.A.5.a)</t>
  </si>
  <si>
    <t>Stationary (1.A.4.c.i)</t>
  </si>
  <si>
    <t>Electricity generation (1.A.1.a.i)</t>
  </si>
  <si>
    <t>Manufacturing industries and construction (1.A.2)</t>
  </si>
  <si>
    <t>Commercial / Institutional (I.A.4.a)</t>
  </si>
  <si>
    <t>head</t>
  </si>
  <si>
    <t>passengers</t>
  </si>
  <si>
    <t>BASIC</t>
  </si>
  <si>
    <t>Landfill</t>
  </si>
  <si>
    <t>Scope 1</t>
  </si>
  <si>
    <t>3.C.1</t>
  </si>
  <si>
    <t>Burning</t>
  </si>
  <si>
    <t>3.B</t>
  </si>
  <si>
    <t>3.A</t>
  </si>
  <si>
    <t>All livestock (3.A)</t>
  </si>
  <si>
    <t>Pulp and paper industry (2.H.1)</t>
  </si>
  <si>
    <t>Electrical equipment (2.G.1)</t>
  </si>
  <si>
    <t>Refrigeration and air conditioning (2.F.1)</t>
  </si>
  <si>
    <t>Integrated circuit or semiconductor (2.E.1)</t>
  </si>
  <si>
    <t>Lubricant use (2.D.1)</t>
  </si>
  <si>
    <t>2.D, 2.E, 2.F, 2.G, 2.H</t>
  </si>
  <si>
    <t>All product use</t>
  </si>
  <si>
    <t>Iron and steel production (2.C.1)</t>
  </si>
  <si>
    <t>Ammonia production (2.B.1)</t>
  </si>
  <si>
    <t>Cement production (2.A.1)</t>
  </si>
  <si>
    <t>2.A, 2.B, 2.C</t>
  </si>
  <si>
    <t>All industrial processes</t>
  </si>
  <si>
    <t>All organic waste</t>
  </si>
  <si>
    <t>All waste</t>
  </si>
  <si>
    <t>4.D</t>
  </si>
  <si>
    <t>All wastewater (4.D)</t>
  </si>
  <si>
    <t>4.C.1</t>
  </si>
  <si>
    <t>Landfill sites - Methane commitment</t>
  </si>
  <si>
    <t>1.B.2.b.i</t>
  </si>
  <si>
    <t>Venting (1.B.2.b.i)</t>
  </si>
  <si>
    <t>1.B.2.a.i</t>
  </si>
  <si>
    <t>Venting (1.B.2.a.i)</t>
  </si>
  <si>
    <t>1.B.2.a</t>
  </si>
  <si>
    <t>Oil</t>
  </si>
  <si>
    <t>1.B.1</t>
  </si>
  <si>
    <t>1.A.1.a.i</t>
  </si>
  <si>
    <t>Electricity generation</t>
  </si>
  <si>
    <t>CO2</t>
  </si>
  <si>
    <t>L</t>
  </si>
  <si>
    <t>IE</t>
  </si>
  <si>
    <t>g</t>
  </si>
  <si>
    <t>5AR</t>
  </si>
  <si>
    <t>IPCC Fifth Assessment Report (2013)</t>
  </si>
  <si>
    <t>Administrative</t>
  </si>
  <si>
    <t>Add</t>
  </si>
  <si>
    <t>Please select (select Sub-category first)</t>
  </si>
  <si>
    <t>NO</t>
  </si>
  <si>
    <t>Locked</t>
  </si>
  <si>
    <t xml:space="preserve"> </t>
  </si>
  <si>
    <t>EF_Fuel</t>
  </si>
  <si>
    <t>Off-Road</t>
  </si>
  <si>
    <t>Road</t>
  </si>
  <si>
    <t>Onoff</t>
  </si>
  <si>
    <t>CAT_I6</t>
  </si>
  <si>
    <t>CAT_I5</t>
  </si>
  <si>
    <t>CAT_I4</t>
  </si>
  <si>
    <t>CAT_I3</t>
  </si>
  <si>
    <t>Stationary_CI</t>
  </si>
  <si>
    <t>Rows_2</t>
  </si>
  <si>
    <t>Rows</t>
  </si>
  <si>
    <t>AFOLUUnitsAll</t>
  </si>
  <si>
    <t>TransportUnitsAll</t>
  </si>
  <si>
    <t>EnergyUnitsAll</t>
  </si>
  <si>
    <t>Sector</t>
  </si>
  <si>
    <t>Land</t>
  </si>
  <si>
    <t>IPPU_Other</t>
  </si>
  <si>
    <t>IPPU_Other_product_manufacture_and_use</t>
  </si>
  <si>
    <t>IPPU_Product_uses_as_substitutes_for_ozone_depleting_substances</t>
  </si>
  <si>
    <t>IPPU_Electronics_industry</t>
  </si>
  <si>
    <t>IPPU_Non-energy_products_from_fuels_and_solvent use</t>
  </si>
  <si>
    <t>IPPU_PU</t>
  </si>
  <si>
    <t>IPPU_IP</t>
  </si>
  <si>
    <t>Organic_Waste</t>
  </si>
  <si>
    <t>Wastewater treatment and discharge</t>
  </si>
  <si>
    <t>4.B</t>
  </si>
  <si>
    <t>Biological treatment of solid waste</t>
  </si>
  <si>
    <t>Solid waste disposal</t>
  </si>
  <si>
    <t>Stationary</t>
  </si>
  <si>
    <t>Gases</t>
  </si>
  <si>
    <t>NK</t>
  </si>
  <si>
    <t>GWP</t>
  </si>
  <si>
    <t>Emission  Factors</t>
  </si>
  <si>
    <t>User Modes</t>
  </si>
  <si>
    <t>Emission Factor for SI Conversion</t>
  </si>
  <si>
    <t>Net</t>
  </si>
  <si>
    <t>STATIONARY ENERGY SUB-CATEGORIEs</t>
  </si>
  <si>
    <t>ROWS</t>
  </si>
  <si>
    <t>ACTIVITY UNITS</t>
  </si>
  <si>
    <t>OTHER SCOPE 3</t>
  </si>
  <si>
    <t>WASTE</t>
  </si>
  <si>
    <t>TRANSPORT</t>
  </si>
  <si>
    <t>STATIONARY ENERGY</t>
  </si>
  <si>
    <t xml:space="preserve">1. Energy </t>
  </si>
  <si>
    <t>1A Fuel Combustion Activities</t>
  </si>
  <si>
    <t xml:space="preserve">1A4b Residential </t>
  </si>
  <si>
    <t>Stationary Energy</t>
  </si>
  <si>
    <t>I.1 Residential buildings</t>
  </si>
  <si>
    <t xml:space="preserve">1A4a Commercial/institutional </t>
  </si>
  <si>
    <t>I.2 Commercial and institutional buildings/facilities</t>
  </si>
  <si>
    <t>1A2 Manufacturing industries and construction</t>
  </si>
  <si>
    <t xml:space="preserve"> I.3 Manufacturing industries and construction</t>
  </si>
  <si>
    <t xml:space="preserve">1A1 Energy industries </t>
  </si>
  <si>
    <t>I.4 Energy industries</t>
  </si>
  <si>
    <t xml:space="preserve">1A4c Agriculture/forestry/fishing/fish farms </t>
  </si>
  <si>
    <t xml:space="preserve"> I.5 Agriculture, forestry, and fishing activities</t>
  </si>
  <si>
    <t xml:space="preserve">1A5a Non-specified </t>
  </si>
  <si>
    <t xml:space="preserve"> I.6 Non-specified sources</t>
  </si>
  <si>
    <t>1B Fugitive Emissions from Fuels</t>
  </si>
  <si>
    <t>1B1 Solid fuels (fugitive emissions)</t>
  </si>
  <si>
    <t xml:space="preserve"> I.7 Fugitive emissions from mining, processing, storage, and transportation of coal</t>
  </si>
  <si>
    <t xml:space="preserve">1B2 Oil and natural gas (fugitive emissions) </t>
  </si>
  <si>
    <t>I.8 Fugitive emissions from oil and natural gas systems</t>
  </si>
  <si>
    <t>1A3 Transport</t>
  </si>
  <si>
    <t>1A3b Road transportation</t>
  </si>
  <si>
    <t xml:space="preserve"> II.1 On-road transportation</t>
  </si>
  <si>
    <t>1A3c Railways</t>
  </si>
  <si>
    <t xml:space="preserve"> II.2 Railways</t>
  </si>
  <si>
    <t xml:space="preserve">1A3d Water-borne navigation </t>
  </si>
  <si>
    <t>II.3 Water transport</t>
  </si>
  <si>
    <t xml:space="preserve">1A3a Civil aviation </t>
  </si>
  <si>
    <t>II.4 Aviation</t>
  </si>
  <si>
    <t xml:space="preserve">1A3e Other transportation </t>
  </si>
  <si>
    <t>II.5 Off-road transportation</t>
  </si>
  <si>
    <t>2. Industrial Processes &amp; Product Use</t>
  </si>
  <si>
    <t>Industrial Processes</t>
  </si>
  <si>
    <t>2A Mineral industry</t>
  </si>
  <si>
    <t>IV.1 Industrial processes</t>
  </si>
  <si>
    <t>2B Chemical industry</t>
  </si>
  <si>
    <t>2C Metal industry</t>
  </si>
  <si>
    <t>2E Electronics industry</t>
  </si>
  <si>
    <t>Product Use</t>
  </si>
  <si>
    <t>2D Non-energy products from fuels and solvent use</t>
  </si>
  <si>
    <t>IV.2 Product use</t>
  </si>
  <si>
    <t>2F Product uses as substitutes for ozone depleting substances</t>
  </si>
  <si>
    <t>2G Other product manufacture and use</t>
  </si>
  <si>
    <t>2H Other</t>
  </si>
  <si>
    <t xml:space="preserve">3. Agriculture, Forestry, and other Land Use </t>
  </si>
  <si>
    <t xml:space="preserve">3A Livestock </t>
  </si>
  <si>
    <t>AFO LU</t>
  </si>
  <si>
    <t>V.1 Livestock</t>
  </si>
  <si>
    <t xml:space="preserve">3B Land </t>
  </si>
  <si>
    <t>V.2 Land</t>
  </si>
  <si>
    <t>3C Aggregate sources and non-CO2 emissions sources on land</t>
  </si>
  <si>
    <t>V.3 Aggregate sources and non-CO2 emissions sources on land</t>
  </si>
  <si>
    <t>3D Other</t>
  </si>
  <si>
    <t xml:space="preserve">4 Waste </t>
  </si>
  <si>
    <t xml:space="preserve">4A Solid waste disposal </t>
  </si>
  <si>
    <t>III.1 Solid waste disposal</t>
  </si>
  <si>
    <t xml:space="preserve">4B Biological treatment of solid waste </t>
  </si>
  <si>
    <t>III.2 Biological treatment of waste</t>
  </si>
  <si>
    <t xml:space="preserve">4C Incineration and open burning of waste </t>
  </si>
  <si>
    <t>III.3 Incineration and open burning</t>
  </si>
  <si>
    <t xml:space="preserve">4D Wastewater treatment and discharge </t>
  </si>
  <si>
    <t>III.4 Wastewater treatment and discharge</t>
  </si>
  <si>
    <t>5 Other</t>
  </si>
  <si>
    <t>From</t>
  </si>
  <si>
    <t>To</t>
  </si>
  <si>
    <t>Multiply by:</t>
  </si>
  <si>
    <t>gramme (g)</t>
  </si>
  <si>
    <t>Kilogramme (kg)</t>
  </si>
  <si>
    <t>Metric tonne (t)</t>
  </si>
  <si>
    <t>Kiloton (kt)</t>
  </si>
  <si>
    <t>Long ton (lt)</t>
  </si>
  <si>
    <t>Short ton (st)</t>
  </si>
  <si>
    <t>Pound (lb)</t>
  </si>
  <si>
    <t xml:space="preserve">Greenhouse gas </t>
  </si>
  <si>
    <t>IPCC Assessment Report</t>
  </si>
  <si>
    <t>Formula</t>
  </si>
  <si>
    <t>Name</t>
  </si>
  <si>
    <t>Carbon Dioxide</t>
  </si>
  <si>
    <t>Methane</t>
  </si>
  <si>
    <t>Nitrous Oxide</t>
  </si>
  <si>
    <t>Sulphur hexafluoride</t>
  </si>
  <si>
    <t>CF4</t>
  </si>
  <si>
    <t>Carbon tetrafluoride</t>
  </si>
  <si>
    <t>C2F6</t>
  </si>
  <si>
    <t>Hexafluoroethane</t>
  </si>
  <si>
    <t>CHF3</t>
  </si>
  <si>
    <t>HFC-23</t>
  </si>
  <si>
    <t>CH2F2</t>
  </si>
  <si>
    <t>HFC-32</t>
  </si>
  <si>
    <t>CH3F</t>
  </si>
  <si>
    <t>HFC-41</t>
  </si>
  <si>
    <t>C2HF5</t>
  </si>
  <si>
    <t>HFC-125</t>
  </si>
  <si>
    <t>C2H2F4</t>
  </si>
  <si>
    <t>HFC-134</t>
  </si>
  <si>
    <t>CH2FCF3</t>
  </si>
  <si>
    <t>HFC-134a</t>
  </si>
  <si>
    <t>C2H3F3</t>
  </si>
  <si>
    <t>HFC-143</t>
  </si>
  <si>
    <t>C2H4F3</t>
  </si>
  <si>
    <t>HFC-143a</t>
  </si>
  <si>
    <t>C2H4F2</t>
  </si>
  <si>
    <t>HFC-152a</t>
  </si>
  <si>
    <t>C3HF7</t>
  </si>
  <si>
    <t>HFC-227ea</t>
  </si>
  <si>
    <t>C3H2F6</t>
  </si>
  <si>
    <t>HFC-236fa</t>
  </si>
  <si>
    <t>C3H3F5</t>
  </si>
  <si>
    <t>HFC-245ca</t>
  </si>
  <si>
    <t>Nitrogen trifluoride</t>
  </si>
  <si>
    <t>Source: IPCC</t>
  </si>
  <si>
    <t>Residential buildings</t>
  </si>
  <si>
    <t xml:space="preserve">IPCC emission category </t>
  </si>
  <si>
    <t>GPC emission category</t>
  </si>
  <si>
    <t>Scope</t>
  </si>
  <si>
    <t>Commercial &amp; Institutional Buildings &amp; Facilities</t>
  </si>
  <si>
    <t>Manufacturing industries and construction</t>
  </si>
  <si>
    <t xml:space="preserve">Non-specified </t>
  </si>
  <si>
    <t>Solid fuels (fugitive emissions)</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</si>
  <si>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</si>
  <si>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</si>
  <si>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</si>
  <si>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</si>
  <si>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</si>
  <si>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</si>
  <si>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</si>
  <si>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</si>
  <si>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</si>
  <si>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</si>
  <si>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</si>
  <si>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</si>
  <si>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</si>
  <si>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</si>
  <si>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</si>
  <si>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</si>
  <si>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</si>
  <si>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</si>
  <si>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</si>
  <si>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</si>
  <si>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t>
  </si>
  <si>
    <t>Lambeth</t>
  </si>
  <si>
    <t>Lewisham</t>
  </si>
  <si>
    <t>Merton</t>
  </si>
  <si>
    <t>Newham</t>
  </si>
  <si>
    <t>Redbridge</t>
  </si>
  <si>
    <t>Richmond</t>
  </si>
  <si>
    <t>Southwark</t>
  </si>
  <si>
    <t>Sutton</t>
  </si>
  <si>
    <t>Tower Hamlets</t>
  </si>
  <si>
    <t>Waltham Forest</t>
  </si>
  <si>
    <t>Wandsworth</t>
  </si>
  <si>
    <t>Westminster</t>
  </si>
  <si>
    <t>Local Authority</t>
  </si>
  <si>
    <t>Sub-category</t>
  </si>
  <si>
    <t>Energy industries</t>
  </si>
  <si>
    <t>Agriculture, forestry, and fishing activities</t>
  </si>
  <si>
    <t>Non-specified sources</t>
  </si>
  <si>
    <t>Solid fuels: Fugitive emissions from mining, processing, storage, and transportation of coal</t>
  </si>
  <si>
    <t>Oil and natural gas: Fugitive emissions from oil and natural gas systems</t>
  </si>
  <si>
    <t>Inventory year</t>
  </si>
  <si>
    <t>Energy: Fugitive Emissions from Fuels</t>
  </si>
  <si>
    <t>Transport</t>
  </si>
  <si>
    <t xml:space="preserve">Agriculture, Forestry, and other Land Use </t>
  </si>
  <si>
    <t>Industrial Processes &amp; Product Use</t>
  </si>
  <si>
    <t>Stationary Energy: Fuel Combustion Activities</t>
  </si>
  <si>
    <t>Direct or indirect emissions</t>
  </si>
  <si>
    <t xml:space="preserve">Unit </t>
  </si>
  <si>
    <t>Non-weather corrected</t>
  </si>
  <si>
    <t>C3F8</t>
  </si>
  <si>
    <t>C4F8</t>
  </si>
  <si>
    <t>C4F10</t>
  </si>
  <si>
    <t>HFC-245fa</t>
  </si>
  <si>
    <t>HFC-365mfc</t>
  </si>
  <si>
    <t>HFC-43-10mee</t>
  </si>
  <si>
    <t>CO2(b)</t>
  </si>
  <si>
    <t>Notation key</t>
  </si>
  <si>
    <t>Fuel type or activity</t>
  </si>
  <si>
    <t>Unique identifier</t>
  </si>
  <si>
    <t>Type</t>
  </si>
  <si>
    <t>Year</t>
  </si>
  <si>
    <t>Source</t>
  </si>
  <si>
    <t>tCO2e</t>
  </si>
  <si>
    <t>Domestic</t>
  </si>
  <si>
    <t>Gas</t>
  </si>
  <si>
    <t>Coal</t>
  </si>
  <si>
    <t>Coal (domestic)</t>
  </si>
  <si>
    <t>Gas Oil</t>
  </si>
  <si>
    <t>Commercial and industrial</t>
  </si>
  <si>
    <t>Coal (industrial)</t>
  </si>
  <si>
    <t>Oil [Petroleum]</t>
  </si>
  <si>
    <t>Fuel Oil</t>
  </si>
  <si>
    <t>Waste and Renewables</t>
  </si>
  <si>
    <t xml:space="preserve">Data and expert knowledge were provided by Ricardo-AEA. </t>
  </si>
  <si>
    <t>Aviation Turbine Fuel</t>
  </si>
  <si>
    <t>Petrol</t>
  </si>
  <si>
    <t>Diesel</t>
  </si>
  <si>
    <t>Biomass</t>
  </si>
  <si>
    <t>Wood chips</t>
  </si>
  <si>
    <t>LPG</t>
  </si>
  <si>
    <t>g/tonnes</t>
  </si>
  <si>
    <t>MSW</t>
  </si>
  <si>
    <t>Industrial</t>
  </si>
  <si>
    <t>Sub-Sector</t>
  </si>
  <si>
    <t xml:space="preserve">Solid waste disposal </t>
  </si>
  <si>
    <t xml:space="preserve">Biological treatment of solid waste </t>
  </si>
  <si>
    <t xml:space="preserve">Incineration and open burning of waste </t>
  </si>
  <si>
    <t>EF Unit</t>
  </si>
  <si>
    <t>Local Authority level</t>
  </si>
  <si>
    <t>Table 3.3</t>
  </si>
  <si>
    <t>LA name</t>
  </si>
  <si>
    <t>LA code</t>
  </si>
  <si>
    <t>MLOSA code</t>
  </si>
  <si>
    <r>
      <t>tCO</t>
    </r>
    <r>
      <rPr>
        <b/>
        <vertAlign val="subscript"/>
        <sz val="10"/>
        <color indexed="9"/>
        <rFont val="Calibri"/>
        <family val="2"/>
      </rPr>
      <t>2</t>
    </r>
  </si>
  <si>
    <t xml:space="preserve">Road </t>
  </si>
  <si>
    <t>Aviation</t>
  </si>
  <si>
    <t>Shipping</t>
  </si>
  <si>
    <r>
      <t>(CO</t>
    </r>
    <r>
      <rPr>
        <b/>
        <vertAlign val="subscript"/>
        <sz val="10"/>
        <color indexed="9"/>
        <rFont val="Calibri"/>
        <family val="2"/>
      </rPr>
      <t>2</t>
    </r>
    <r>
      <rPr>
        <b/>
        <sz val="10"/>
        <color indexed="9"/>
        <rFont val="Calibri"/>
        <family val="2"/>
      </rPr>
      <t>)</t>
    </r>
  </si>
  <si>
    <r>
      <t>Diesel (CO</t>
    </r>
    <r>
      <rPr>
        <b/>
        <vertAlign val="subscript"/>
        <sz val="10"/>
        <color indexed="9"/>
        <rFont val="Calibri"/>
        <family val="2"/>
      </rPr>
      <t>2</t>
    </r>
    <r>
      <rPr>
        <b/>
        <sz val="10"/>
        <color indexed="9"/>
        <rFont val="Calibri"/>
        <family val="2"/>
      </rPr>
      <t>e)</t>
    </r>
  </si>
  <si>
    <r>
      <t>Electric (CO</t>
    </r>
    <r>
      <rPr>
        <b/>
        <vertAlign val="subscript"/>
        <sz val="10"/>
        <color indexed="9"/>
        <rFont val="Calibri"/>
        <family val="2"/>
      </rPr>
      <t>2</t>
    </r>
    <r>
      <rPr>
        <b/>
        <sz val="10"/>
        <color indexed="9"/>
        <rFont val="Calibri"/>
        <family val="2"/>
      </rPr>
      <t>e)</t>
    </r>
  </si>
  <si>
    <r>
      <t>(CO</t>
    </r>
    <r>
      <rPr>
        <b/>
        <vertAlign val="subscript"/>
        <sz val="10"/>
        <color indexed="9"/>
        <rFont val="Calibri"/>
        <family val="2"/>
      </rPr>
      <t>2</t>
    </r>
    <r>
      <rPr>
        <b/>
        <sz val="10"/>
        <color indexed="9"/>
        <rFont val="Calibri"/>
        <family val="2"/>
      </rPr>
      <t>e)</t>
    </r>
  </si>
  <si>
    <t>Electric</t>
  </si>
  <si>
    <t>UKI2101</t>
  </si>
  <si>
    <t>UKI2301</t>
  </si>
  <si>
    <t>UKI2102</t>
  </si>
  <si>
    <t>UKI2302</t>
  </si>
  <si>
    <t>UKI2201</t>
  </si>
  <si>
    <t>UKI1102</t>
  </si>
  <si>
    <t>UKI1101</t>
  </si>
  <si>
    <t>UKI2202</t>
  </si>
  <si>
    <t>UKI2303</t>
  </si>
  <si>
    <t>UKI2103</t>
  </si>
  <si>
    <t>UKI2104</t>
  </si>
  <si>
    <t>UKI1201</t>
  </si>
  <si>
    <t>UKI1103</t>
  </si>
  <si>
    <t>UKI1202</t>
  </si>
  <si>
    <t>UKI2304</t>
  </si>
  <si>
    <t>UKI2105</t>
  </si>
  <si>
    <t>UKI2305</t>
  </si>
  <si>
    <t>UKI2306</t>
  </si>
  <si>
    <t>UKI1203</t>
  </si>
  <si>
    <t>UKI1104</t>
  </si>
  <si>
    <t>Kingston upon Thames</t>
  </si>
  <si>
    <t>UKI2203</t>
  </si>
  <si>
    <t>UKI1204</t>
  </si>
  <si>
    <t>UKI1205</t>
  </si>
  <si>
    <t>UKI2204</t>
  </si>
  <si>
    <t>UKI1206</t>
  </si>
  <si>
    <t>UKI2106</t>
  </si>
  <si>
    <t>UKI2307</t>
  </si>
  <si>
    <t>UKI1207</t>
  </si>
  <si>
    <t>UKI2205</t>
  </si>
  <si>
    <t>UKI1208</t>
  </si>
  <si>
    <t>UKI2107</t>
  </si>
  <si>
    <t>UKI1105</t>
  </si>
  <si>
    <t>UKI1106</t>
  </si>
  <si>
    <t>Unapportioned</t>
  </si>
  <si>
    <t>TOTAL</t>
  </si>
  <si>
    <t>Table 3.3.1</t>
  </si>
  <si>
    <t>Total</t>
  </si>
  <si>
    <t>Heathrow</t>
  </si>
  <si>
    <t>City</t>
  </si>
  <si>
    <t>Battersea</t>
  </si>
  <si>
    <t>Biggin Hill</t>
  </si>
  <si>
    <t>Northolt</t>
  </si>
  <si>
    <t>Denham</t>
  </si>
  <si>
    <t>Elstree</t>
  </si>
  <si>
    <t>Stapleford</t>
  </si>
  <si>
    <t>Ground level</t>
  </si>
  <si>
    <t>Elevated level</t>
  </si>
  <si>
    <t>Airside vehicle</t>
  </si>
  <si>
    <t>Landside vehicle</t>
  </si>
  <si>
    <t>t FU_ATF</t>
  </si>
  <si>
    <t>t FU_Diesel</t>
  </si>
  <si>
    <r>
      <t xml:space="preserve">t FU_Gasoil </t>
    </r>
    <r>
      <rPr>
        <b/>
        <vertAlign val="superscript"/>
        <sz val="10"/>
        <color indexed="9"/>
        <rFont val="Calibri"/>
        <family val="2"/>
      </rPr>
      <t>1</t>
    </r>
  </si>
  <si>
    <t>t FU_LPG</t>
  </si>
  <si>
    <t>t FU_Petrol</t>
  </si>
  <si>
    <t>litres FU_Diesel</t>
  </si>
  <si>
    <t>litres FU_Petrol</t>
  </si>
  <si>
    <t>Energy_Gas kWh</t>
  </si>
  <si>
    <t>Energy_Gasoil kWh</t>
  </si>
  <si>
    <t>litres_FU_LPG</t>
  </si>
  <si>
    <t>t FU_Biomass</t>
  </si>
  <si>
    <t>t FU_Gasoil</t>
  </si>
  <si>
    <t>Energy_Gas (kWh)</t>
  </si>
  <si>
    <t>Energy_Gasoil (kWh)</t>
  </si>
  <si>
    <t>litres FU_LPG</t>
  </si>
  <si>
    <t>Notes</t>
  </si>
  <si>
    <t>1. Gasoil fuel consumption for airside vehicles uses diesel fuel emission factor</t>
  </si>
  <si>
    <t>Table 3.3.2</t>
  </si>
  <si>
    <r>
      <t>Aviation CO</t>
    </r>
    <r>
      <rPr>
        <b/>
        <vertAlign val="subscript"/>
        <sz val="16"/>
        <color indexed="8"/>
        <rFont val="Calibri"/>
        <family val="2"/>
      </rPr>
      <t>2</t>
    </r>
    <r>
      <rPr>
        <b/>
        <sz val="16"/>
        <color indexed="8"/>
        <rFont val="Calibri"/>
        <family val="2"/>
      </rPr>
      <t>e by borough, 2017 for Heathrow and City &amp; 2013 LAEI for other airports</t>
    </r>
  </si>
  <si>
    <t>London City</t>
  </si>
  <si>
    <t>Total (excl Stationary)</t>
  </si>
  <si>
    <t>Elevated Level</t>
  </si>
  <si>
    <t>Airside</t>
  </si>
  <si>
    <t>Landside</t>
  </si>
  <si>
    <t>Grand total</t>
  </si>
  <si>
    <r>
      <t>tCO</t>
    </r>
    <r>
      <rPr>
        <b/>
        <vertAlign val="subscript"/>
        <sz val="10"/>
        <color indexed="9"/>
        <rFont val="Calibri"/>
        <family val="2"/>
      </rPr>
      <t>2</t>
    </r>
    <r>
      <rPr>
        <b/>
        <sz val="10"/>
        <color indexed="9"/>
        <rFont val="Calibri"/>
        <family val="2"/>
      </rPr>
      <t>e</t>
    </r>
  </si>
  <si>
    <r>
      <t>tCO</t>
    </r>
    <r>
      <rPr>
        <b/>
        <vertAlign val="subscript"/>
        <sz val="10"/>
        <color indexed="9"/>
        <rFont val="Calibri"/>
        <family val="2"/>
      </rPr>
      <t>2</t>
    </r>
    <r>
      <rPr>
        <b/>
        <sz val="10"/>
        <color indexed="9"/>
        <rFont val="Calibri"/>
        <family val="2"/>
      </rPr>
      <t>e Diesel</t>
    </r>
  </si>
  <si>
    <r>
      <t>tCO</t>
    </r>
    <r>
      <rPr>
        <b/>
        <vertAlign val="subscript"/>
        <sz val="10"/>
        <color indexed="9"/>
        <rFont val="Calibri"/>
        <family val="2"/>
      </rPr>
      <t>2</t>
    </r>
    <r>
      <rPr>
        <b/>
        <sz val="10"/>
        <color indexed="9"/>
        <rFont val="Calibri"/>
        <family val="2"/>
      </rPr>
      <t xml:space="preserve">e Gasoil </t>
    </r>
    <r>
      <rPr>
        <b/>
        <vertAlign val="superscript"/>
        <sz val="10"/>
        <color indexed="9"/>
        <rFont val="Calibri"/>
        <family val="2"/>
      </rPr>
      <t>1</t>
    </r>
  </si>
  <si>
    <r>
      <t>tCO</t>
    </r>
    <r>
      <rPr>
        <b/>
        <vertAlign val="subscript"/>
        <sz val="10"/>
        <color indexed="9"/>
        <rFont val="Calibri"/>
        <family val="2"/>
      </rPr>
      <t>2</t>
    </r>
    <r>
      <rPr>
        <b/>
        <sz val="10"/>
        <color indexed="9"/>
        <rFont val="Calibri"/>
        <family val="2"/>
      </rPr>
      <t>e LPG</t>
    </r>
  </si>
  <si>
    <r>
      <t>tCO</t>
    </r>
    <r>
      <rPr>
        <b/>
        <vertAlign val="subscript"/>
        <sz val="10"/>
        <color indexed="9"/>
        <rFont val="Calibri"/>
        <family val="2"/>
      </rPr>
      <t>2</t>
    </r>
    <r>
      <rPr>
        <b/>
        <sz val="10"/>
        <color indexed="9"/>
        <rFont val="Calibri"/>
        <family val="2"/>
      </rPr>
      <t>e Petrol</t>
    </r>
  </si>
  <si>
    <t>Table 3.3.3</t>
  </si>
  <si>
    <t>Passenger</t>
  </si>
  <si>
    <t>Notes:</t>
  </si>
  <si>
    <t>2. CO2 emissions updated from PLA inventory only, not fuel consumption/kWh</t>
  </si>
  <si>
    <t>Table 3.3.4</t>
  </si>
  <si>
    <t>Rail (excluding London Overground)</t>
  </si>
  <si>
    <t>TfL (Electric)</t>
  </si>
  <si>
    <t>Passenger_Diesel</t>
  </si>
  <si>
    <t>Passenger_Electric</t>
  </si>
  <si>
    <t>Passenger_Total</t>
  </si>
  <si>
    <t>Freight_Diesel</t>
  </si>
  <si>
    <t>Rail_Total</t>
  </si>
  <si>
    <t>London Underground</t>
  </si>
  <si>
    <t>DLR</t>
  </si>
  <si>
    <t>London Tram</t>
  </si>
  <si>
    <t>London Overground</t>
  </si>
  <si>
    <t>Overall</t>
  </si>
  <si>
    <t>Table 3.3.5</t>
  </si>
  <si>
    <t>Vehicle type</t>
  </si>
  <si>
    <t>Motorcycle</t>
  </si>
  <si>
    <t>Taxi</t>
  </si>
  <si>
    <t>Car</t>
  </si>
  <si>
    <t>LGV</t>
  </si>
  <si>
    <t>Bus and Coach</t>
  </si>
  <si>
    <t>Rigid</t>
  </si>
  <si>
    <t>Artic</t>
  </si>
  <si>
    <r>
      <t>tCO</t>
    </r>
    <r>
      <rPr>
        <b/>
        <vertAlign val="subscript"/>
        <sz val="10"/>
        <color indexed="9"/>
        <rFont val="Calibri"/>
        <family val="2"/>
      </rPr>
      <t>2</t>
    </r>
    <r>
      <rPr>
        <sz val="10"/>
        <rFont val="Arial"/>
        <family val="2"/>
      </rPr>
      <t/>
    </r>
  </si>
  <si>
    <t>Table 3.3.6</t>
  </si>
  <si>
    <t>Motorcycle (petrol)</t>
  </si>
  <si>
    <t>Taxi (diesel)</t>
  </si>
  <si>
    <t>Car (petrol)</t>
  </si>
  <si>
    <t>Car (diesel)</t>
  </si>
  <si>
    <t>LGV (petrol)</t>
  </si>
  <si>
    <t>LGV (diesel)</t>
  </si>
  <si>
    <t>Bus (diesel)</t>
  </si>
  <si>
    <t>Coach (diesel)</t>
  </si>
  <si>
    <t>Rigid (diesel)</t>
  </si>
  <si>
    <t>Artic (diesel)</t>
  </si>
  <si>
    <t>litres</t>
  </si>
  <si>
    <t>Diesel litres</t>
  </si>
  <si>
    <t>Petrol litres</t>
  </si>
  <si>
    <t>Total litres</t>
  </si>
  <si>
    <t>Conversion factor</t>
  </si>
  <si>
    <t>kWh/litre</t>
  </si>
  <si>
    <t>GasOil (marine)</t>
  </si>
  <si>
    <t>kWh/tonne</t>
  </si>
  <si>
    <t>Gasoil</t>
  </si>
  <si>
    <t>Aviation turbine fuel</t>
  </si>
  <si>
    <t>Road Transport</t>
  </si>
  <si>
    <t>Table 3.1</t>
  </si>
  <si>
    <t>Electricity and gas consumption by borough, 2018 (kWh)</t>
  </si>
  <si>
    <t>Industrial and commercial</t>
  </si>
  <si>
    <t>Weather corrected</t>
  </si>
  <si>
    <t>Economy 7</t>
  </si>
  <si>
    <t>Standard</t>
  </si>
  <si>
    <t>Industrial and Commercial</t>
  </si>
  <si>
    <t>Barking and Dagenham (3)</t>
  </si>
  <si>
    <t>Enfield (3)</t>
  </si>
  <si>
    <t>Islington (3)</t>
  </si>
  <si>
    <t>Richmond upon Thames</t>
  </si>
  <si>
    <t>Large industrial users</t>
  </si>
  <si>
    <t>(3) This area contains at least one major power station or large industrial consumer whose consumption has not been included in the data.</t>
  </si>
  <si>
    <t>Table 3.2.1</t>
  </si>
  <si>
    <t>thousand tonnes of oil equivalent</t>
  </si>
  <si>
    <t>toe</t>
  </si>
  <si>
    <t>Table 12a, Annex 12, 2012 Guidelines to Defra/DECC's GHG Conversion Factors for Company Reporting</t>
  </si>
  <si>
    <t>thousand toe</t>
  </si>
  <si>
    <t>n/a</t>
  </si>
  <si>
    <t>Table 3.2.2</t>
  </si>
  <si>
    <t xml:space="preserve">      Thousand tonnes of oil equivalent</t>
  </si>
  <si>
    <t>Petroleum</t>
  </si>
  <si>
    <t>Manufactured Solid Fuels</t>
  </si>
  <si>
    <t>Bioenergy &amp; Wastes (4)</t>
  </si>
  <si>
    <t>All Fuels</t>
  </si>
  <si>
    <t>Public Administration</t>
  </si>
  <si>
    <t>Agriculture (2)</t>
  </si>
  <si>
    <t>Industrial &amp; Commercial (3)</t>
  </si>
  <si>
    <t>All Sources</t>
  </si>
  <si>
    <t>(1) Please note that there was a change in ONS geographies in 2010, causing some local authorities to merge. For this reason, there are fewer local authorities for 2010/11.</t>
  </si>
  <si>
    <t>(2) Excludes the consumption of propane.</t>
  </si>
  <si>
    <t>(3) Includes some coal consumption by auto-generators.</t>
  </si>
  <si>
    <t>(4) Excludes bioenergy and wastes used for electricity generation.</t>
  </si>
  <si>
    <t xml:space="preserve">Waste incineration </t>
  </si>
  <si>
    <t>Wastewater treatment</t>
  </si>
  <si>
    <t>Industrial/Clinical waste</t>
  </si>
  <si>
    <t>EfW</t>
  </si>
  <si>
    <t>AD</t>
  </si>
  <si>
    <t>Activity data (tonnes)</t>
  </si>
  <si>
    <r>
      <t>CO</t>
    </r>
    <r>
      <rPr>
        <b/>
        <vertAlign val="subscript"/>
        <sz val="10"/>
        <color theme="0"/>
        <rFont val="Arial"/>
        <family val="2"/>
      </rPr>
      <t>2</t>
    </r>
  </si>
  <si>
    <r>
      <t>CH</t>
    </r>
    <r>
      <rPr>
        <b/>
        <vertAlign val="subscript"/>
        <sz val="10"/>
        <color theme="0"/>
        <rFont val="Arial"/>
        <family val="2"/>
      </rPr>
      <t>4</t>
    </r>
  </si>
  <si>
    <r>
      <t>N</t>
    </r>
    <r>
      <rPr>
        <b/>
        <vertAlign val="subscript"/>
        <sz val="10"/>
        <color theme="0"/>
        <rFont val="Arial"/>
        <family val="2"/>
      </rPr>
      <t>2</t>
    </r>
    <r>
      <rPr>
        <b/>
        <sz val="10"/>
        <color theme="0"/>
        <rFont val="Arial"/>
        <family val="2"/>
      </rPr>
      <t>O</t>
    </r>
  </si>
  <si>
    <r>
      <t>CO</t>
    </r>
    <r>
      <rPr>
        <b/>
        <vertAlign val="subscript"/>
        <sz val="10"/>
        <color theme="0"/>
        <rFont val="Arial"/>
        <family val="2"/>
      </rPr>
      <t>2(b)</t>
    </r>
  </si>
  <si>
    <r>
      <t>Total CO</t>
    </r>
    <r>
      <rPr>
        <b/>
        <vertAlign val="subscript"/>
        <sz val="10"/>
        <color theme="0"/>
        <rFont val="Arial"/>
        <family val="2"/>
      </rPr>
      <t>2</t>
    </r>
    <r>
      <rPr>
        <b/>
        <sz val="10"/>
        <color theme="0"/>
        <rFont val="Arial"/>
        <family val="2"/>
      </rPr>
      <t xml:space="preserve">e emissions </t>
    </r>
  </si>
  <si>
    <t>Activity/Fuel Combustion</t>
  </si>
  <si>
    <t>Activity data (kWh)</t>
  </si>
  <si>
    <t>kg/kWh</t>
  </si>
  <si>
    <t>T</t>
  </si>
  <si>
    <t>Unit</t>
  </si>
  <si>
    <t>Commercial &amp; Industrial</t>
  </si>
  <si>
    <t>Miscellaneous</t>
  </si>
  <si>
    <t>AR4</t>
  </si>
  <si>
    <t xml:space="preserve">Activity/Fuel </t>
  </si>
  <si>
    <t>CO2e Emission Factors</t>
  </si>
  <si>
    <t>Symbol</t>
  </si>
  <si>
    <t>Number</t>
  </si>
  <si>
    <t>Standard form</t>
  </si>
  <si>
    <t>Abbreviation</t>
  </si>
  <si>
    <t>Kilo</t>
  </si>
  <si>
    <t>k</t>
  </si>
  <si>
    <r>
      <t xml:space="preserve">10 </t>
    </r>
    <r>
      <rPr>
        <vertAlign val="superscript"/>
        <sz val="11"/>
        <color indexed="56"/>
        <rFont val="Calibri"/>
        <family val="2"/>
      </rPr>
      <t>3</t>
    </r>
  </si>
  <si>
    <t>Mega</t>
  </si>
  <si>
    <r>
      <t xml:space="preserve">10 </t>
    </r>
    <r>
      <rPr>
        <vertAlign val="superscript"/>
        <sz val="11"/>
        <color indexed="56"/>
        <rFont val="Calibri"/>
        <family val="2"/>
      </rPr>
      <t>6</t>
    </r>
  </si>
  <si>
    <t>Giga</t>
  </si>
  <si>
    <t>G</t>
  </si>
  <si>
    <r>
      <t xml:space="preserve">10 </t>
    </r>
    <r>
      <rPr>
        <vertAlign val="superscript"/>
        <sz val="11"/>
        <color indexed="56"/>
        <rFont val="Calibri"/>
        <family val="2"/>
      </rPr>
      <t>9</t>
    </r>
  </si>
  <si>
    <t>Tera</t>
  </si>
  <si>
    <r>
      <t xml:space="preserve">10 </t>
    </r>
    <r>
      <rPr>
        <vertAlign val="superscript"/>
        <sz val="11"/>
        <color indexed="56"/>
        <rFont val="Calibri"/>
        <family val="2"/>
      </rPr>
      <t>12</t>
    </r>
  </si>
  <si>
    <t>Peta</t>
  </si>
  <si>
    <t>P</t>
  </si>
  <si>
    <r>
      <t xml:space="preserve">10 </t>
    </r>
    <r>
      <rPr>
        <vertAlign val="superscript"/>
        <sz val="11"/>
        <color indexed="56"/>
        <rFont val="Calibri"/>
        <family val="2"/>
      </rPr>
      <t>15</t>
    </r>
  </si>
  <si>
    <t>therm</t>
  </si>
  <si>
    <t>kcal</t>
  </si>
  <si>
    <t>Gigajoule, GJ</t>
  </si>
  <si>
    <t>Kilowatt-hour, kWh</t>
  </si>
  <si>
    <t>Tonne oil equivalent, toe</t>
  </si>
  <si>
    <t>Kilocalorie, kcal</t>
  </si>
  <si>
    <r>
      <t>m</t>
    </r>
    <r>
      <rPr>
        <b/>
        <vertAlign val="superscript"/>
        <sz val="11"/>
        <color indexed="56"/>
        <rFont val="Calibri"/>
        <family val="2"/>
      </rPr>
      <t>3</t>
    </r>
  </si>
  <si>
    <t>cu ft</t>
  </si>
  <si>
    <t>Imp. gallon</t>
  </si>
  <si>
    <t>US gallon</t>
  </si>
  <si>
    <t>Bbl (US,P)</t>
  </si>
  <si>
    <t>Volume</t>
  </si>
  <si>
    <t>Litres, L</t>
  </si>
  <si>
    <r>
      <t>Cubic metres, m</t>
    </r>
    <r>
      <rPr>
        <b/>
        <vertAlign val="superscript"/>
        <sz val="11"/>
        <color indexed="56"/>
        <rFont val="Calibri"/>
        <family val="2"/>
      </rPr>
      <t>3</t>
    </r>
  </si>
  <si>
    <t>Cubic feet, cu ft</t>
  </si>
  <si>
    <t>Imperial gallon</t>
  </si>
  <si>
    <t>Barrel (US, petroleum), bbl</t>
  </si>
  <si>
    <t>ton (UK)</t>
  </si>
  <si>
    <t>ton (US)</t>
  </si>
  <si>
    <t>Weight/mass</t>
  </si>
  <si>
    <t>Kilogram, kg</t>
  </si>
  <si>
    <t>tonne, t (metric ton)</t>
  </si>
  <si>
    <t>ton (UK, long ton)</t>
  </si>
  <si>
    <t>ton (US, short ton)</t>
  </si>
  <si>
    <t>Pound, lb</t>
  </si>
  <si>
    <t>m</t>
  </si>
  <si>
    <t>ft</t>
  </si>
  <si>
    <t>mi</t>
  </si>
  <si>
    <t>nmi</t>
  </si>
  <si>
    <t>Length / distance</t>
  </si>
  <si>
    <t>Metre, m</t>
  </si>
  <si>
    <t>Feet, ft</t>
  </si>
  <si>
    <t>Miles, mi</t>
  </si>
  <si>
    <t>Kilometres, km</t>
  </si>
  <si>
    <t>Nautical miles, nmi or NM</t>
  </si>
  <si>
    <r>
      <t>Transport energy consumption and CO</t>
    </r>
    <r>
      <rPr>
        <b/>
        <vertAlign val="subscript"/>
        <sz val="16"/>
        <rFont val="Calibri"/>
        <family val="2"/>
      </rPr>
      <t>2</t>
    </r>
    <r>
      <rPr>
        <b/>
        <sz val="16"/>
        <rFont val="Calibri"/>
        <family val="2"/>
      </rPr>
      <t>/ CO</t>
    </r>
    <r>
      <rPr>
        <b/>
        <vertAlign val="subscript"/>
        <sz val="16"/>
        <rFont val="Calibri"/>
        <family val="2"/>
      </rPr>
      <t>2</t>
    </r>
    <r>
      <rPr>
        <b/>
        <sz val="16"/>
        <rFont val="Calibri"/>
        <family val="2"/>
      </rPr>
      <t xml:space="preserve">e emissions by borough, 2018 </t>
    </r>
    <r>
      <rPr>
        <b/>
        <sz val="16"/>
        <color indexed="10"/>
        <rFont val="Calibri"/>
        <family val="2"/>
      </rPr>
      <t>(see exceptions in subheadings)</t>
    </r>
  </si>
  <si>
    <t>Aviation fuel use by borough, LAEI 2016 scaled to 2018 (CAA Growth 2016/18) for Heathrow and City - No change (LAEI 2013) for small airports</t>
  </si>
  <si>
    <t>Shipping energy use and CO2 emissions, LAEI 2016 (from PLA emissions inventory) scaled to 2018 using Passenger and Commercial Growth (2016/18) from PLA</t>
  </si>
  <si>
    <t>Rail energy use and CO2e emissions, 2018 estimates for LU, DLR and tram only (National Rail as in LEGGI 2017)</t>
  </si>
  <si>
    <r>
      <t>Road CO</t>
    </r>
    <r>
      <rPr>
        <b/>
        <vertAlign val="subscript"/>
        <sz val="16"/>
        <rFont val="Calibri"/>
        <family val="2"/>
      </rPr>
      <t>2</t>
    </r>
    <r>
      <rPr>
        <b/>
        <sz val="16"/>
        <rFont val="Calibri"/>
        <family val="2"/>
      </rPr>
      <t xml:space="preserve"> emissions by borough, LAEI 2016 scaled to 2018 using Traffic Growth 2016/18 for Central / Inner / Outer London and Emissions Factors Toolkit</t>
    </r>
  </si>
  <si>
    <t>Road energy use by borough, LAEI 2016 scaled to 2018 using Traffic Growth 2016/18 for Central / Inner / Outer London</t>
  </si>
  <si>
    <t>https://www.gov.uk/government/publications/greenhouse-gas-reporting-conversion-factors-2020</t>
  </si>
  <si>
    <t xml:space="preserve">Petrol </t>
  </si>
  <si>
    <t>Freight</t>
  </si>
  <si>
    <t>Underground</t>
  </si>
  <si>
    <t>Overground</t>
  </si>
  <si>
    <t>Tram</t>
  </si>
  <si>
    <t>Freight Rail</t>
  </si>
  <si>
    <t>Passenger Rail</t>
  </si>
  <si>
    <t>Passanger shipping</t>
  </si>
  <si>
    <t>Commercial shipping</t>
  </si>
  <si>
    <r>
      <t>CO</t>
    </r>
    <r>
      <rPr>
        <b/>
        <vertAlign val="subscript"/>
        <sz val="10"/>
        <color theme="0"/>
        <rFont val="Arial"/>
        <family val="2"/>
      </rPr>
      <t>2</t>
    </r>
    <r>
      <rPr>
        <b/>
        <sz val="10"/>
        <color theme="0"/>
        <rFont val="Arial"/>
        <family val="2"/>
      </rPr>
      <t>e Emissions (tonnes)</t>
    </r>
  </si>
  <si>
    <t>Activity</t>
  </si>
  <si>
    <t>Fuel</t>
  </si>
  <si>
    <r>
      <t>kg CO</t>
    </r>
    <r>
      <rPr>
        <vertAlign val="subscript"/>
        <sz val="11"/>
        <color indexed="56"/>
        <rFont val="Calibri"/>
        <family val="2"/>
      </rPr>
      <t>2</t>
    </r>
    <r>
      <rPr>
        <sz val="11"/>
        <color indexed="56"/>
        <rFont val="Calibri"/>
        <family val="2"/>
      </rPr>
      <t>e</t>
    </r>
  </si>
  <si>
    <r>
      <t>kg CO</t>
    </r>
    <r>
      <rPr>
        <vertAlign val="subscript"/>
        <sz val="11"/>
        <color indexed="56"/>
        <rFont val="Calibri"/>
        <family val="2"/>
      </rPr>
      <t>2</t>
    </r>
  </si>
  <si>
    <r>
      <t>kg CH</t>
    </r>
    <r>
      <rPr>
        <vertAlign val="subscript"/>
        <sz val="11"/>
        <color indexed="56"/>
        <rFont val="Calibri"/>
        <family val="2"/>
      </rPr>
      <t>4</t>
    </r>
  </si>
  <si>
    <r>
      <t>kg N</t>
    </r>
    <r>
      <rPr>
        <vertAlign val="subscript"/>
        <sz val="11"/>
        <color indexed="56"/>
        <rFont val="Calibri"/>
        <family val="2"/>
      </rPr>
      <t>2</t>
    </r>
    <r>
      <rPr>
        <sz val="11"/>
        <color indexed="56"/>
        <rFont val="Calibri"/>
        <family val="2"/>
      </rPr>
      <t>O</t>
    </r>
  </si>
  <si>
    <t>tonnes</t>
  </si>
  <si>
    <t>kWh (Net CV)</t>
  </si>
  <si>
    <t>kWh (Gross CV)</t>
  </si>
  <si>
    <t>cubic metres</t>
  </si>
  <si>
    <t>CNG</t>
  </si>
  <si>
    <t>LNG</t>
  </si>
  <si>
    <t>Natural gas (100% mineral blend)</t>
  </si>
  <si>
    <t>Other petroleum gas</t>
  </si>
  <si>
    <t>Gaseous fuels</t>
  </si>
  <si>
    <t xml:space="preserve">Fuels conversion factors should be used for primary fuel sources combusted </t>
  </si>
  <si>
    <t>Liquid fuels</t>
  </si>
  <si>
    <t>Aviation spirit</t>
  </si>
  <si>
    <t>Burning oil</t>
  </si>
  <si>
    <t>Diesel (average biofuel blend)</t>
  </si>
  <si>
    <t>Diesel (100% mineral diesel)</t>
  </si>
  <si>
    <t>Fuel oil</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</si>
  <si>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</si>
  <si>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</si>
  <si>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</si>
  <si>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</si>
  <si>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</si>
  <si>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</si>
  <si>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</si>
  <si>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</si>
  <si>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</si>
  <si>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</si>
  <si>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Coal (electricity generation - home produced coal only)</t>
  </si>
  <si>
    <t>Country</t>
  </si>
  <si>
    <t>Electricity generated</t>
  </si>
  <si>
    <t>Electricity: UK</t>
  </si>
  <si>
    <t>T&amp;D- UK electricity</t>
  </si>
  <si>
    <t>Wood logs</t>
  </si>
  <si>
    <t>Wood pellets</t>
  </si>
  <si>
    <t>Grass/straw</t>
  </si>
  <si>
    <r>
      <t>T</t>
    </r>
    <r>
      <rPr>
        <b/>
        <sz val="7"/>
        <color rgb="FF000000"/>
        <rFont val="Times New Roman"/>
        <family val="1"/>
      </rPr>
      <t xml:space="preserve">ABLE </t>
    </r>
    <r>
      <rPr>
        <b/>
        <sz val="9"/>
        <color rgb="FF000000"/>
        <rFont val="Times New Roman"/>
        <family val="1"/>
      </rPr>
      <t>5.6</t>
    </r>
    <r>
      <rPr>
        <b/>
        <sz val="7"/>
        <color rgb="FF000000"/>
        <rFont val="Times New Roman"/>
        <family val="1"/>
      </rPr>
      <t xml:space="preserve"> </t>
    </r>
    <r>
      <rPr>
        <b/>
        <sz val="9"/>
        <color rgb="FF000000"/>
        <rFont val="Times New Roman"/>
        <family val="1"/>
      </rPr>
      <t xml:space="preserve"> </t>
    </r>
  </si>
  <si>
    <r>
      <t>D</t>
    </r>
    <r>
      <rPr>
        <b/>
        <sz val="7"/>
        <color rgb="FF000000"/>
        <rFont val="Times New Roman"/>
        <family val="1"/>
      </rPr>
      <t xml:space="preserve">EFAULT </t>
    </r>
    <r>
      <rPr>
        <b/>
        <sz val="9"/>
        <color rgb="FF000000"/>
        <rFont val="Times New Roman"/>
        <family val="1"/>
      </rPr>
      <t>N</t>
    </r>
    <r>
      <rPr>
        <b/>
        <vertAlign val="subscript"/>
        <sz val="9"/>
        <color rgb="FF000000"/>
        <rFont val="Times New Roman"/>
        <family val="1"/>
      </rPr>
      <t>2</t>
    </r>
    <r>
      <rPr>
        <b/>
        <sz val="9"/>
        <color rgb="FF000000"/>
        <rFont val="Times New Roman"/>
        <family val="1"/>
      </rPr>
      <t>O</t>
    </r>
    <r>
      <rPr>
        <b/>
        <sz val="7"/>
        <color rgb="FF000000"/>
        <rFont val="Times New Roman"/>
        <family val="1"/>
      </rPr>
      <t xml:space="preserve"> EMISSION FACTORS FOR DIFFERENT TYPES OF WASTE AND MANAGEMENT PRACTICES</t>
    </r>
    <r>
      <rPr>
        <b/>
        <sz val="9"/>
        <color rgb="FF000000"/>
        <rFont val="Times New Roman"/>
        <family val="1"/>
      </rPr>
      <t xml:space="preserve"> </t>
    </r>
  </si>
  <si>
    <t xml:space="preserve">Type of waste </t>
  </si>
  <si>
    <t xml:space="preserve">Technology / Management practice </t>
  </si>
  <si>
    <t xml:space="preserve">Emission factor  </t>
  </si>
  <si>
    <r>
      <t>(g N</t>
    </r>
    <r>
      <rPr>
        <b/>
        <vertAlign val="subscript"/>
        <sz val="9"/>
        <color rgb="FF000000"/>
        <rFont val="Times New Roman"/>
        <family val="1"/>
      </rPr>
      <t>2</t>
    </r>
    <r>
      <rPr>
        <b/>
        <sz val="9"/>
        <color rgb="FF000000"/>
        <rFont val="Times New Roman"/>
        <family val="1"/>
      </rPr>
      <t xml:space="preserve">O / t waste) </t>
    </r>
  </si>
  <si>
    <t xml:space="preserve">weight basis </t>
  </si>
  <si>
    <t xml:space="preserve">MSW </t>
  </si>
  <si>
    <t xml:space="preserve">continuous and semi-continuous incinerators </t>
  </si>
  <si>
    <t xml:space="preserve">wet weight </t>
  </si>
  <si>
    <t xml:space="preserve">batch-type incinerators </t>
  </si>
  <si>
    <t xml:space="preserve">open burning </t>
  </si>
  <si>
    <t xml:space="preserve">dry weight </t>
  </si>
  <si>
    <t xml:space="preserve">Industrial waste </t>
  </si>
  <si>
    <t xml:space="preserve">all types of incineration </t>
  </si>
  <si>
    <t xml:space="preserve">Sludge (except sewage sludge) </t>
  </si>
  <si>
    <t xml:space="preserve">Sewage sludge </t>
  </si>
  <si>
    <t xml:space="preserve">incineration </t>
  </si>
  <si>
    <t xml:space="preserve">wet weight  </t>
  </si>
  <si>
    <r>
      <t xml:space="preserve">Source: Expert judgement by lead authors of this chapter of </t>
    </r>
    <r>
      <rPr>
        <i/>
        <sz val="8"/>
        <color rgb="FF000000"/>
        <rFont val="Times New Roman"/>
        <family val="1"/>
      </rPr>
      <t>2006 Guidelines</t>
    </r>
    <r>
      <rPr>
        <sz val="8"/>
        <color rgb="FF000000"/>
        <rFont val="Times New Roman"/>
        <family val="1"/>
      </rPr>
      <t xml:space="preserve">  </t>
    </r>
  </si>
  <si>
    <r>
      <t>T</t>
    </r>
    <r>
      <rPr>
        <b/>
        <sz val="7"/>
        <color rgb="FF000000"/>
        <rFont val="Times New Roman"/>
        <family val="1"/>
      </rPr>
      <t xml:space="preserve">ABLE </t>
    </r>
    <r>
      <rPr>
        <b/>
        <sz val="9"/>
        <color rgb="FF000000"/>
        <rFont val="Times New Roman"/>
        <family val="1"/>
      </rPr>
      <t>5.3</t>
    </r>
    <r>
      <rPr>
        <b/>
        <sz val="7"/>
        <color rgb="FF000000"/>
        <rFont val="Times New Roman"/>
        <family val="1"/>
      </rPr>
      <t xml:space="preserve"> </t>
    </r>
    <r>
      <rPr>
        <b/>
        <sz val="9"/>
        <color rgb="FF000000"/>
        <rFont val="Times New Roman"/>
        <family val="1"/>
      </rPr>
      <t xml:space="preserve"> </t>
    </r>
  </si>
  <si>
    <r>
      <t>CH</t>
    </r>
    <r>
      <rPr>
        <b/>
        <vertAlign val="subscript"/>
        <sz val="9"/>
        <color rgb="FF000000"/>
        <rFont val="Times New Roman"/>
        <family val="1"/>
      </rPr>
      <t>4</t>
    </r>
    <r>
      <rPr>
        <b/>
        <sz val="7"/>
        <color rgb="FF000000"/>
        <rFont val="Times New Roman"/>
        <family val="1"/>
      </rPr>
      <t xml:space="preserve"> EMISSION FACTORS FOR INCINERATION OF </t>
    </r>
    <r>
      <rPr>
        <b/>
        <sz val="9"/>
        <color rgb="FF000000"/>
        <rFont val="Times New Roman"/>
        <family val="1"/>
      </rPr>
      <t xml:space="preserve">MSW </t>
    </r>
  </si>
  <si>
    <r>
      <t>CH</t>
    </r>
    <r>
      <rPr>
        <b/>
        <vertAlign val="subscript"/>
        <sz val="9"/>
        <color rgb="FF000000"/>
        <rFont val="Times New Roman"/>
        <family val="1"/>
      </rPr>
      <t>4</t>
    </r>
    <r>
      <rPr>
        <b/>
        <sz val="9"/>
        <color rgb="FF000000"/>
        <rFont val="Times New Roman"/>
        <family val="1"/>
      </rPr>
      <t xml:space="preserve"> Emission Factors </t>
    </r>
  </si>
  <si>
    <t xml:space="preserve">Type of incineration/technology </t>
  </si>
  <si>
    <t xml:space="preserve">(kg/Gg waste incinerated on a wet weight basis) </t>
  </si>
  <si>
    <t xml:space="preserve">Continuous incineration </t>
  </si>
  <si>
    <t xml:space="preserve">stoker </t>
  </si>
  <si>
    <r>
      <t xml:space="preserve">fluidised bed </t>
    </r>
    <r>
      <rPr>
        <vertAlign val="superscript"/>
        <sz val="9"/>
        <color rgb="FF000000"/>
        <rFont val="Times New Roman"/>
        <family val="1"/>
      </rPr>
      <t>Note1</t>
    </r>
    <r>
      <rPr>
        <sz val="9"/>
        <color rgb="FF000000"/>
        <rFont val="Times New Roman"/>
        <family val="1"/>
      </rPr>
      <t xml:space="preserve"> </t>
    </r>
  </si>
  <si>
    <t xml:space="preserve">Semi-continuous incineration </t>
  </si>
  <si>
    <t xml:space="preserve">fluidised bed </t>
  </si>
  <si>
    <t xml:space="preserve">Batch type incineration </t>
  </si>
  <si>
    <r>
      <t>Note 1: In the study cited for this emission factor, the measured CH</t>
    </r>
    <r>
      <rPr>
        <vertAlign val="subscript"/>
        <sz val="8"/>
        <color rgb="FF000000"/>
        <rFont val="Times New Roman"/>
        <family val="1"/>
      </rPr>
      <t>4</t>
    </r>
    <r>
      <rPr>
        <sz val="8"/>
        <color rgb="FF000000"/>
        <rFont val="Times New Roman"/>
        <family val="1"/>
      </rPr>
      <t xml:space="preserve"> concentration in the exhaust air was lower than the concentration in ambient air. </t>
    </r>
  </si>
  <si>
    <t xml:space="preserve">Source: Greenhouse Gas Inventory Office of Japan, GIO 2004. </t>
  </si>
  <si>
    <r>
      <t>T</t>
    </r>
    <r>
      <rPr>
        <b/>
        <sz val="7"/>
        <color rgb="FF000000"/>
        <rFont val="Times New Roman"/>
        <family val="1"/>
      </rPr>
      <t xml:space="preserve">ABLE </t>
    </r>
    <r>
      <rPr>
        <b/>
        <sz val="9"/>
        <color rgb="FF000000"/>
        <rFont val="Times New Roman"/>
        <family val="1"/>
      </rPr>
      <t xml:space="preserve">5.2 </t>
    </r>
  </si>
  <si>
    <r>
      <t>D</t>
    </r>
    <r>
      <rPr>
        <b/>
        <sz val="7"/>
        <color rgb="FF000000"/>
        <rFont val="Times New Roman"/>
        <family val="1"/>
      </rPr>
      <t xml:space="preserve">EFAULT DATA FOR </t>
    </r>
    <r>
      <rPr>
        <b/>
        <sz val="9"/>
        <color rgb="FF000000"/>
        <rFont val="Times New Roman"/>
        <family val="1"/>
      </rPr>
      <t>CO</t>
    </r>
    <r>
      <rPr>
        <b/>
        <vertAlign val="subscript"/>
        <sz val="9"/>
        <color rgb="FF000000"/>
        <rFont val="Times New Roman"/>
        <family val="1"/>
      </rPr>
      <t>2</t>
    </r>
    <r>
      <rPr>
        <b/>
        <sz val="7"/>
        <color rgb="FF000000"/>
        <rFont val="Times New Roman"/>
        <family val="1"/>
      </rPr>
      <t xml:space="preserve"> EMISSION FACTORS FOR INCINERATION AND OPEN BURNING OF WASTE</t>
    </r>
    <r>
      <rPr>
        <b/>
        <sz val="9"/>
        <color rgb="FF000000"/>
        <rFont val="Times New Roman"/>
        <family val="1"/>
      </rPr>
      <t xml:space="preserve"> </t>
    </r>
  </si>
  <si>
    <t xml:space="preserve">Parameters </t>
  </si>
  <si>
    <t xml:space="preserve">Management practice </t>
  </si>
  <si>
    <t xml:space="preserve">Industrial Waste (%) </t>
  </si>
  <si>
    <t xml:space="preserve">Clinical </t>
  </si>
  <si>
    <t xml:space="preserve">Waste (%) </t>
  </si>
  <si>
    <t xml:space="preserve">Sewage Sludge (%) </t>
  </si>
  <si>
    <t>Note 4</t>
  </si>
  <si>
    <t xml:space="preserve">Fossil liquid waste (%) </t>
  </si>
  <si>
    <t>Note 5</t>
  </si>
  <si>
    <t xml:space="preserve">Dry matter content in % of wet weight </t>
  </si>
  <si>
    <t xml:space="preserve">see Note 1 </t>
  </si>
  <si>
    <t xml:space="preserve">NA  </t>
  </si>
  <si>
    <t xml:space="preserve">NA </t>
  </si>
  <si>
    <t xml:space="preserve">Total carbon content in % of dry weight </t>
  </si>
  <si>
    <r>
      <t xml:space="preserve">40 </t>
    </r>
    <r>
      <rPr>
        <sz val="9"/>
        <color rgb="FF000000"/>
        <rFont val="Segoe UI Symbol"/>
        <family val="2"/>
      </rPr>
      <t>−</t>
    </r>
    <r>
      <rPr>
        <sz val="9"/>
        <color rgb="FF000000"/>
        <rFont val="Times New Roman"/>
        <family val="1"/>
      </rPr>
      <t xml:space="preserve"> 50 </t>
    </r>
  </si>
  <si>
    <t xml:space="preserve">Fossil carbon fraction in % of total carbon content </t>
  </si>
  <si>
    <t xml:space="preserve">see Note 2 </t>
  </si>
  <si>
    <t xml:space="preserve">Oxidation factor in % of carbon input </t>
  </si>
  <si>
    <t xml:space="preserve">Open- burning (see Note 3) </t>
  </si>
  <si>
    <t xml:space="preserve">NO </t>
  </si>
  <si>
    <t xml:space="preserve">NA: Not Available, NO: Not Occurring </t>
  </si>
  <si>
    <t xml:space="preserve">Note 1:  Use default data from Table 2.4 in Section 2.3 Waste composition and equation 5.8 (for dry matter), Equation 5.9 (for carbon content) and Equation 5.10 (for fossil carbon fraction). </t>
  </si>
  <si>
    <t xml:space="preserve">Note 2:   Default data by industry type is given in Table 2.5 in Section 2.3 Waste composition. For estimation of emissions, use equations mentioned in Note 1.  </t>
  </si>
  <si>
    <t xml:space="preserve">Note 3:  When waste is open-burned, refuse weight is reduced by approximately 49 to 67 percent (US-EPA, 1997, p.79). A default value of 58 percent is suggested. </t>
  </si>
  <si>
    <t xml:space="preserve">Note 4:  See Section 2.3.2 Sludge in Chapter 2.  </t>
  </si>
  <si>
    <t xml:space="preserve">Note 5:  The total carbon content of fossil liquid waste is provided in percent of wet weight and not in percent of dry weight (GIO, 2005). </t>
  </si>
  <si>
    <r>
      <t xml:space="preserve">References: </t>
    </r>
    <r>
      <rPr>
        <i/>
        <sz val="8"/>
        <color rgb="FF000000"/>
        <rFont val="Times New Roman"/>
        <family val="1"/>
      </rPr>
      <t>GPG2000</t>
    </r>
    <r>
      <rPr>
        <sz val="8"/>
        <color rgb="FF000000"/>
        <rFont val="Times New Roman"/>
        <family val="1"/>
      </rPr>
      <t xml:space="preserve"> (IPCC, 2000), Lead Authors of the </t>
    </r>
    <r>
      <rPr>
        <i/>
        <sz val="8"/>
        <color rgb="FF000000"/>
        <rFont val="Times New Roman"/>
        <family val="1"/>
      </rPr>
      <t>2006 Guidelines</t>
    </r>
    <r>
      <rPr>
        <sz val="8"/>
        <color rgb="FF000000"/>
        <rFont val="Times New Roman"/>
        <family val="1"/>
      </rPr>
      <t xml:space="preserve">, Expert judgement. </t>
    </r>
  </si>
  <si>
    <t xml:space="preserve">Source: Chapter 5: Incineration and Open Burning of Waste   </t>
  </si>
  <si>
    <r>
      <t>T</t>
    </r>
    <r>
      <rPr>
        <b/>
        <sz val="7"/>
        <color rgb="FF000000"/>
        <rFont val="Times New Roman"/>
        <family val="1"/>
      </rPr>
      <t xml:space="preserve">ABLE </t>
    </r>
    <r>
      <rPr>
        <b/>
        <sz val="9"/>
        <color rgb="FF000000"/>
        <rFont val="Times New Roman"/>
        <family val="1"/>
      </rPr>
      <t xml:space="preserve">4.1 </t>
    </r>
  </si>
  <si>
    <r>
      <t>D</t>
    </r>
    <r>
      <rPr>
        <b/>
        <sz val="7"/>
        <color rgb="FF000000"/>
        <rFont val="Times New Roman"/>
        <family val="1"/>
      </rPr>
      <t xml:space="preserve">EFAULT EMISSION FACTORS FOR </t>
    </r>
    <r>
      <rPr>
        <b/>
        <sz val="9"/>
        <color rgb="FF000000"/>
        <rFont val="Times New Roman"/>
        <family val="1"/>
      </rPr>
      <t>CH</t>
    </r>
    <r>
      <rPr>
        <b/>
        <sz val="6"/>
        <color rgb="FF000000"/>
        <rFont val="Times New Roman"/>
        <family val="1"/>
      </rPr>
      <t>4</t>
    </r>
    <r>
      <rPr>
        <b/>
        <sz val="7"/>
        <color rgb="FF000000"/>
        <rFont val="Times New Roman"/>
        <family val="1"/>
      </rPr>
      <t xml:space="preserve"> AND </t>
    </r>
    <r>
      <rPr>
        <b/>
        <sz val="9"/>
        <color rgb="FF000000"/>
        <rFont val="Times New Roman"/>
        <family val="1"/>
      </rPr>
      <t>N</t>
    </r>
    <r>
      <rPr>
        <b/>
        <sz val="6"/>
        <color rgb="FF000000"/>
        <rFont val="Times New Roman"/>
        <family val="1"/>
      </rPr>
      <t>2</t>
    </r>
    <r>
      <rPr>
        <b/>
        <sz val="9"/>
        <color rgb="FF000000"/>
        <rFont val="Times New Roman"/>
        <family val="1"/>
      </rPr>
      <t>O</t>
    </r>
    <r>
      <rPr>
        <b/>
        <sz val="7"/>
        <color rgb="FF000000"/>
        <rFont val="Times New Roman"/>
        <family val="1"/>
      </rPr>
      <t xml:space="preserve"> EMISSIONS FROM BIOLOGICAL TREATMENT OF WASTE</t>
    </r>
    <r>
      <rPr>
        <b/>
        <sz val="9"/>
        <color rgb="FF000000"/>
        <rFont val="Times New Roman"/>
        <family val="1"/>
      </rPr>
      <t xml:space="preserve"> </t>
    </r>
  </si>
  <si>
    <t xml:space="preserve">Type of biological treatment </t>
  </si>
  <si>
    <r>
      <t>CH</t>
    </r>
    <r>
      <rPr>
        <b/>
        <vertAlign val="subscript"/>
        <sz val="9"/>
        <color rgb="FF000000"/>
        <rFont val="Times New Roman"/>
        <family val="1"/>
      </rPr>
      <t>4</t>
    </r>
    <r>
      <rPr>
        <b/>
        <sz val="9"/>
        <color rgb="FF000000"/>
        <rFont val="Times New Roman"/>
        <family val="1"/>
      </rPr>
      <t xml:space="preserve"> Emission Factors (g CH</t>
    </r>
    <r>
      <rPr>
        <b/>
        <vertAlign val="subscript"/>
        <sz val="9"/>
        <color rgb="FF000000"/>
        <rFont val="Times New Roman"/>
        <family val="1"/>
      </rPr>
      <t>4</t>
    </r>
    <r>
      <rPr>
        <b/>
        <sz val="9"/>
        <color rgb="FF000000"/>
        <rFont val="Times New Roman"/>
        <family val="1"/>
      </rPr>
      <t xml:space="preserve">/kg waste treated) </t>
    </r>
  </si>
  <si>
    <r>
      <t>N</t>
    </r>
    <r>
      <rPr>
        <b/>
        <vertAlign val="subscript"/>
        <sz val="9"/>
        <color rgb="FF000000"/>
        <rFont val="Times New Roman"/>
        <family val="1"/>
      </rPr>
      <t>2</t>
    </r>
    <r>
      <rPr>
        <b/>
        <sz val="9"/>
        <color rgb="FF000000"/>
        <rFont val="Times New Roman"/>
        <family val="1"/>
      </rPr>
      <t>O Emission Factors (g N</t>
    </r>
    <r>
      <rPr>
        <b/>
        <vertAlign val="subscript"/>
        <sz val="9"/>
        <color rgb="FF000000"/>
        <rFont val="Times New Roman"/>
        <family val="1"/>
      </rPr>
      <t>2</t>
    </r>
    <r>
      <rPr>
        <b/>
        <sz val="9"/>
        <color rgb="FF000000"/>
        <rFont val="Times New Roman"/>
        <family val="1"/>
      </rPr>
      <t xml:space="preserve">O/kg waste treated) </t>
    </r>
  </si>
  <si>
    <t xml:space="preserve">Remarks </t>
  </si>
  <si>
    <t xml:space="preserve">on a  </t>
  </si>
  <si>
    <t xml:space="preserve">dry weight  basis </t>
  </si>
  <si>
    <t xml:space="preserve">wet weight  basis </t>
  </si>
  <si>
    <t xml:space="preserve">Composting </t>
  </si>
  <si>
    <t xml:space="preserve">(0.08 - 20) </t>
  </si>
  <si>
    <t xml:space="preserve">(0.03 - 8) </t>
  </si>
  <si>
    <t xml:space="preserve">(0.2 - 1.6) </t>
  </si>
  <si>
    <t xml:space="preserve">(0.06 - 0.6) </t>
  </si>
  <si>
    <t xml:space="preserve">Assumptions on the waste treated:  </t>
  </si>
  <si>
    <t xml:space="preserve">25-50% DOC in dry matter, </t>
  </si>
  <si>
    <t xml:space="preserve">The emission factors for dry waste are estimated from those for wet waste assuming a moisture content of 60% in wet waste. </t>
  </si>
  <si>
    <t xml:space="preserve">(0 - 20) </t>
  </si>
  <si>
    <t xml:space="preserve">(0 - 8) </t>
  </si>
  <si>
    <t xml:space="preserve">Assumed </t>
  </si>
  <si>
    <t xml:space="preserve">negligible </t>
  </si>
  <si>
    <r>
      <t xml:space="preserve">Sources: Arnold, M.(2005) Personal communication; Beck-Friis (2002); Detzel </t>
    </r>
    <r>
      <rPr>
        <i/>
        <sz val="8"/>
        <color rgb="FF000000"/>
        <rFont val="Times New Roman"/>
        <family val="1"/>
      </rPr>
      <t>et al</t>
    </r>
    <r>
      <rPr>
        <sz val="8"/>
        <color rgb="FF000000"/>
        <rFont val="Times New Roman"/>
        <family val="1"/>
      </rPr>
      <t xml:space="preserve">. (2003); Petersen </t>
    </r>
    <r>
      <rPr>
        <i/>
        <sz val="8"/>
        <color rgb="FF000000"/>
        <rFont val="Times New Roman"/>
        <family val="1"/>
      </rPr>
      <t>et al</t>
    </r>
    <r>
      <rPr>
        <sz val="8"/>
        <color rgb="FF000000"/>
        <rFont val="Times New Roman"/>
        <family val="1"/>
      </rPr>
      <t xml:space="preserve">. 1998; Hellebrand 1998; Hogg, D. (2002); Vesterinen (1996). </t>
    </r>
  </si>
  <si>
    <r>
      <t>Note: Default emission factors for CH</t>
    </r>
    <r>
      <rPr>
        <vertAlign val="subscript"/>
        <sz val="8"/>
        <color rgb="FF000000"/>
        <rFont val="Times New Roman"/>
        <family val="1"/>
      </rPr>
      <t>4</t>
    </r>
    <r>
      <rPr>
        <sz val="8"/>
        <color rgb="FF000000"/>
        <rFont val="Times New Roman"/>
        <family val="1"/>
      </rPr>
      <t xml:space="preserve"> for anaerobic digestion already account for CH</t>
    </r>
    <r>
      <rPr>
        <vertAlign val="subscript"/>
        <sz val="8"/>
        <color rgb="FF000000"/>
        <rFont val="Times New Roman"/>
        <family val="1"/>
      </rPr>
      <t>4</t>
    </r>
    <r>
      <rPr>
        <sz val="8"/>
        <color rgb="FF000000"/>
        <rFont val="Times New Roman"/>
        <family val="1"/>
      </rPr>
      <t xml:space="preserve"> recovery. </t>
    </r>
  </si>
  <si>
    <t xml:space="preserve">Assumed negligible </t>
  </si>
  <si>
    <t xml:space="preserve">Assumptions on the waste treated:  
25-50% DOC in dry matter, 
2% N in dry matter, moisture content 60%. 
The emission factors for dry waste are estimated from those for wet waste assuming a moisture content of 60% in wet waste. 
</t>
  </si>
  <si>
    <t>Source: Chapter 4: Biological treatment of solid waste</t>
  </si>
  <si>
    <t xml:space="preserve">Anaerobic digestion at biogas facilities </t>
  </si>
  <si>
    <t xml:space="preserve">on a  dry weight  basis </t>
  </si>
  <si>
    <t xml:space="preserve">on a  wet weight  basis </t>
  </si>
  <si>
    <t>Source: https://www.gov.uk/government/collections/government-conversion-factors-for-company-reporting</t>
  </si>
  <si>
    <t xml:space="preserve">Estimated </t>
  </si>
  <si>
    <t>The fuel properties can be used to determine the typical calorific values/densities of most common fuels.</t>
  </si>
  <si>
    <t>Net CV</t>
  </si>
  <si>
    <t>Gross CV</t>
  </si>
  <si>
    <t>Density</t>
  </si>
  <si>
    <t>Density*</t>
  </si>
  <si>
    <t>GJ/tonne</t>
  </si>
  <si>
    <r>
      <t>kg/m</t>
    </r>
    <r>
      <rPr>
        <vertAlign val="superscript"/>
        <sz val="11"/>
        <color indexed="56"/>
        <rFont val="Calibri"/>
        <family val="2"/>
      </rPr>
      <t>3</t>
    </r>
  </si>
  <si>
    <t>litres/tonne</t>
  </si>
  <si>
    <t>kWh/kg</t>
  </si>
  <si>
    <t>Commonly Used Fossil Fuels</t>
  </si>
  <si>
    <t>Aviation Spirit</t>
  </si>
  <si>
    <t>Burning Oil</t>
  </si>
  <si>
    <t>Coking Coal</t>
  </si>
  <si>
    <t>Natural Gas (100% mineral blend)</t>
  </si>
  <si>
    <r>
      <t>kg/m</t>
    </r>
    <r>
      <rPr>
        <b/>
        <vertAlign val="superscript"/>
        <sz val="11"/>
        <color indexed="56"/>
        <rFont val="Calibri"/>
        <family val="2"/>
      </rPr>
      <t>3</t>
    </r>
  </si>
  <si>
    <t>Other fuels</t>
  </si>
  <si>
    <t>Biodiesel (ME)</t>
  </si>
  <si>
    <t>Biodiesel (BtL or HVO)</t>
  </si>
  <si>
    <t>Bioethanol</t>
  </si>
  <si>
    <t>BioETBE</t>
  </si>
  <si>
    <t>Biogas</t>
  </si>
  <si>
    <t xml:space="preserve">Biomethane </t>
  </si>
  <si>
    <t>Grasses/Straw</t>
  </si>
  <si>
    <t>Landfill Gas</t>
  </si>
  <si>
    <t>Wood Chips</t>
  </si>
  <si>
    <t>Wood Logs</t>
  </si>
  <si>
    <t>Wood Pellets</t>
  </si>
  <si>
    <r>
      <t>Methane (CH</t>
    </r>
    <r>
      <rPr>
        <vertAlign val="subscript"/>
        <sz val="11"/>
        <color indexed="56"/>
        <rFont val="Arial"/>
        <family val="2"/>
      </rPr>
      <t>4</t>
    </r>
    <r>
      <rPr>
        <sz val="11"/>
        <color indexed="56"/>
        <rFont val="Arial"/>
        <family val="2"/>
      </rPr>
      <t>)</t>
    </r>
  </si>
  <si>
    <r>
      <t>Carbon Dioxide (CO</t>
    </r>
    <r>
      <rPr>
        <vertAlign val="subscript"/>
        <sz val="11"/>
        <color indexed="56"/>
        <rFont val="Arial"/>
        <family val="2"/>
      </rPr>
      <t>2</t>
    </r>
    <r>
      <rPr>
        <sz val="11"/>
        <color indexed="56"/>
        <rFont val="Arial"/>
        <family val="2"/>
      </rPr>
      <t>)</t>
    </r>
  </si>
  <si>
    <t>Fuel properties</t>
  </si>
  <si>
    <t>Agriculture, Forestry and Other Land Use</t>
  </si>
  <si>
    <t>Livestock</t>
  </si>
  <si>
    <t>Forest Land</t>
  </si>
  <si>
    <t>Wetlands remaining Wetlands</t>
  </si>
  <si>
    <t>4B1</t>
  </si>
  <si>
    <t>4B2</t>
  </si>
  <si>
    <t>4B</t>
  </si>
  <si>
    <r>
      <t xml:space="preserve">A. City Information     </t>
    </r>
    <r>
      <rPr>
        <b/>
        <vertAlign val="superscript"/>
        <sz val="12.5"/>
        <color rgb="FF000000"/>
        <rFont val="Calibri"/>
        <family val="2"/>
        <scheme val="minor"/>
      </rPr>
      <t xml:space="preserve"> </t>
    </r>
  </si>
  <si>
    <t xml:space="preserve">Data source </t>
  </si>
  <si>
    <t xml:space="preserve">Official name of local government </t>
  </si>
  <si>
    <t xml:space="preserve">  </t>
  </si>
  <si>
    <t xml:space="preserve">N/A </t>
  </si>
  <si>
    <t xml:space="preserve">Country </t>
  </si>
  <si>
    <t xml:space="preserve">Region </t>
  </si>
  <si>
    <t xml:space="preserve">Inventory year (specify months covered) </t>
  </si>
  <si>
    <t xml:space="preserve">Description of boundary and map </t>
  </si>
  <si>
    <t xml:space="preserve">Resident population </t>
  </si>
  <si>
    <t xml:space="preserve">Heating / cooling degree days </t>
  </si>
  <si>
    <t xml:space="preserve">GWP (IPCC AR version used) </t>
  </si>
  <si>
    <t xml:space="preserve">Types of emissions factors (IPCC or LCA) </t>
  </si>
  <si>
    <r>
      <t>B. Inventory Setup</t>
    </r>
    <r>
      <rPr>
        <b/>
        <vertAlign val="subscript"/>
        <sz val="12.5"/>
        <color rgb="FF000000"/>
        <rFont val="Calibri"/>
        <family val="2"/>
        <scheme val="minor"/>
      </rPr>
      <t xml:space="preserve"> </t>
    </r>
  </si>
  <si>
    <t xml:space="preserve">Emission factors  </t>
  </si>
  <si>
    <t xml:space="preserve">Emissions </t>
  </si>
  <si>
    <t xml:space="preserve">(Disaggregated by gases or as total tCO2e) </t>
  </si>
  <si>
    <t xml:space="preserve">Amount </t>
  </si>
  <si>
    <t xml:space="preserve">Residential </t>
  </si>
  <si>
    <t xml:space="preserve">C. Emission Sources and Emissions </t>
  </si>
  <si>
    <t xml:space="preserve">Waste </t>
  </si>
  <si>
    <t xml:space="preserve">AFOLU </t>
  </si>
  <si>
    <t xml:space="preserve">Livestock </t>
  </si>
  <si>
    <t xml:space="preserve">Category </t>
  </si>
  <si>
    <t xml:space="preserve">Subcategory </t>
  </si>
  <si>
    <t xml:space="preserve">Description of activity </t>
  </si>
  <si>
    <t xml:space="preserve">Activity data </t>
  </si>
  <si>
    <t xml:space="preserve">Sold or purchased </t>
  </si>
  <si>
    <t xml:space="preserve">Total tC2Oe or Notation </t>
  </si>
  <si>
    <t xml:space="preserve">Key </t>
  </si>
  <si>
    <t xml:space="preserve">Allocation to sector </t>
  </si>
  <si>
    <t xml:space="preserve">Date of sale/ purchase </t>
  </si>
  <si>
    <t>A</t>
  </si>
  <si>
    <t>ctivity data</t>
  </si>
  <si>
    <t xml:space="preserve">Offset credits generated in the city </t>
  </si>
  <si>
    <t xml:space="preserve">Sold </t>
  </si>
  <si>
    <t xml:space="preserve">Credits purchased from outside </t>
  </si>
  <si>
    <t xml:space="preserve">Purchased </t>
  </si>
  <si>
    <t xml:space="preserve">Purchase of certified green electricity </t>
  </si>
  <si>
    <t>Greater London Authority</t>
  </si>
  <si>
    <t xml:space="preserve">United Kingdom </t>
  </si>
  <si>
    <t xml:space="preserve">Greater London </t>
  </si>
  <si>
    <t>IPCC, national EF</t>
  </si>
  <si>
    <t>GHG Emissions Source (By Sector)</t>
  </si>
  <si>
    <t>Total GHGs (metric tonnes CO2e)</t>
  </si>
  <si>
    <t>BASIC+ S3</t>
  </si>
  <si>
    <t>Energy use (all emissions except I.4.4)</t>
  </si>
  <si>
    <t>Energy generation supplied to the grid (I.4.4)</t>
  </si>
  <si>
    <t>TRANSPORTATION</t>
  </si>
  <si>
    <t>(all II emissions)</t>
  </si>
  <si>
    <t>Waste generated in the city (III.X.1 and III.X.2)</t>
  </si>
  <si>
    <t>Waste generated outside city (III.X.3)</t>
  </si>
  <si>
    <t>(all IV emissions)</t>
  </si>
  <si>
    <t>(all V emissions)</t>
  </si>
  <si>
    <t>(all VI emissions)</t>
  </si>
  <si>
    <t>GPC ref No.</t>
  </si>
  <si>
    <t>GHG Emissions Source (By Sector and Sub-sector)</t>
  </si>
  <si>
    <r>
      <t>Total GHGs (metric tonnes CO</t>
    </r>
    <r>
      <rPr>
        <b/>
        <vertAlign val="subscript"/>
        <sz val="12"/>
        <color rgb="FFFFFFFF"/>
        <rFont val="Calibri"/>
        <family val="2"/>
      </rPr>
      <t>2</t>
    </r>
    <r>
      <rPr>
        <b/>
        <sz val="12"/>
        <color rgb="FFFFFFFF"/>
        <rFont val="Calibri"/>
        <family val="2"/>
      </rPr>
      <t>e)</t>
    </r>
  </si>
  <si>
    <t>I</t>
  </si>
  <si>
    <t xml:space="preserve">STATIONARY ENERGY </t>
  </si>
  <si>
    <t>I.1</t>
  </si>
  <si>
    <t>I.2</t>
  </si>
  <si>
    <t>Commercial and institutional buildings and facilities</t>
  </si>
  <si>
    <t>I.3</t>
  </si>
  <si>
    <t>I.4.1/2/3</t>
  </si>
  <si>
    <t>I.4.4</t>
  </si>
  <si>
    <t>Energy generation supplied to the grid</t>
  </si>
  <si>
    <t>I.5</t>
  </si>
  <si>
    <t>Agriculture, forestry and fishing activities</t>
  </si>
  <si>
    <t>I.6</t>
  </si>
  <si>
    <t>I.7</t>
  </si>
  <si>
    <t>Fugitive emissions from mining, processing, storage, and transportation of coal</t>
  </si>
  <si>
    <t>I.8</t>
  </si>
  <si>
    <t>Fugitive emissions from oil and natural gas systems</t>
  </si>
  <si>
    <t>SUB-TOTAL</t>
  </si>
  <si>
    <t>(city induced framework only)</t>
  </si>
  <si>
    <t>II</t>
  </si>
  <si>
    <t>II.1</t>
  </si>
  <si>
    <t>On-road transportation</t>
  </si>
  <si>
    <t>II.2</t>
  </si>
  <si>
    <t>Railways</t>
  </si>
  <si>
    <t>II.3</t>
  </si>
  <si>
    <t>Waterborne navigation</t>
  </si>
  <si>
    <t>II.4</t>
  </si>
  <si>
    <t>II.5</t>
  </si>
  <si>
    <t>Off-road transportation</t>
  </si>
  <si>
    <t>III</t>
  </si>
  <si>
    <t xml:space="preserve">WASTE </t>
  </si>
  <si>
    <t>III.1.1/2</t>
  </si>
  <si>
    <t>Solid waste generated in the city</t>
  </si>
  <si>
    <t>III.2.1/2</t>
  </si>
  <si>
    <t>Biological waste generated in the city</t>
  </si>
  <si>
    <t>III.3.1/2</t>
  </si>
  <si>
    <t>Incinerated and burned waste generated in the city</t>
  </si>
  <si>
    <t>III.4.1/2</t>
  </si>
  <si>
    <t xml:space="preserve">Wastewater generated in the city </t>
  </si>
  <si>
    <t>III.1.3</t>
  </si>
  <si>
    <t>Solid waste generated outside the city</t>
  </si>
  <si>
    <t>III.2.3</t>
  </si>
  <si>
    <t>Biological waste generated outside the city</t>
  </si>
  <si>
    <t>III.3.3</t>
  </si>
  <si>
    <t xml:space="preserve">Incinerated and burned waste generated outside city  </t>
  </si>
  <si>
    <t>III.4.3</t>
  </si>
  <si>
    <t>Wastewater generated outside the city</t>
  </si>
  <si>
    <t>IV</t>
  </si>
  <si>
    <t>INDUSTRIAL PROCESSES and PRODUCT USES</t>
  </si>
  <si>
    <t>IV.1</t>
  </si>
  <si>
    <t>Emissions from industrial processes occurring in the city boundary</t>
  </si>
  <si>
    <t>IV.2</t>
  </si>
  <si>
    <t>Emissions from product use occurring within the city boundary</t>
  </si>
  <si>
    <t>V</t>
  </si>
  <si>
    <t>AGRICULTURE, FORESTRY and OTHER LAND USE</t>
  </si>
  <si>
    <t>V.1</t>
  </si>
  <si>
    <t>Emissions from livestock</t>
  </si>
  <si>
    <t>V.2</t>
  </si>
  <si>
    <t>Emissions from land</t>
  </si>
  <si>
    <t>V.3</t>
  </si>
  <si>
    <t>Emissions from aggregate sources and non-CO2 emission sources on land</t>
  </si>
  <si>
    <t>VI</t>
  </si>
  <si>
    <t>VI.1</t>
  </si>
  <si>
    <t>Other Scope 3</t>
  </si>
  <si>
    <t>TfL (Diesel)</t>
  </si>
  <si>
    <t>IPCC_Sector</t>
  </si>
  <si>
    <t>IPCC_Subsector</t>
  </si>
  <si>
    <t>IPCC_category</t>
  </si>
  <si>
    <t>GPC_sector</t>
  </si>
  <si>
    <t>GPC_category</t>
  </si>
  <si>
    <t>IPCC_subcategory - 1st order</t>
  </si>
  <si>
    <t>IPCC_Category</t>
  </si>
  <si>
    <t>IPCC_subcategory - 2nd order</t>
  </si>
  <si>
    <t xml:space="preserve">1A4b </t>
  </si>
  <si>
    <t xml:space="preserve">1A4a </t>
  </si>
  <si>
    <t xml:space="preserve">1A2 </t>
  </si>
  <si>
    <t xml:space="preserve">1A1 </t>
  </si>
  <si>
    <t>1A4c</t>
  </si>
  <si>
    <t xml:space="preserve">1A5a </t>
  </si>
  <si>
    <t xml:space="preserve">1B1 </t>
  </si>
  <si>
    <t>1B2</t>
  </si>
  <si>
    <t xml:space="preserve">1A3b </t>
  </si>
  <si>
    <t xml:space="preserve">1A3d </t>
  </si>
  <si>
    <t>1A3c</t>
  </si>
  <si>
    <t>1A3a</t>
  </si>
  <si>
    <t xml:space="preserve">1A3e </t>
  </si>
  <si>
    <t xml:space="preserve">2A </t>
  </si>
  <si>
    <t xml:space="preserve">2B </t>
  </si>
  <si>
    <t xml:space="preserve">2C </t>
  </si>
  <si>
    <t xml:space="preserve">2E </t>
  </si>
  <si>
    <t xml:space="preserve">2D </t>
  </si>
  <si>
    <t xml:space="preserve">2F </t>
  </si>
  <si>
    <t>2G</t>
  </si>
  <si>
    <t xml:space="preserve">2H </t>
  </si>
  <si>
    <t xml:space="preserve">3A </t>
  </si>
  <si>
    <t>3B</t>
  </si>
  <si>
    <t xml:space="preserve">3C </t>
  </si>
  <si>
    <t>3D</t>
  </si>
  <si>
    <t xml:space="preserve">4A </t>
  </si>
  <si>
    <t xml:space="preserve">4B </t>
  </si>
  <si>
    <t xml:space="preserve">4C </t>
  </si>
  <si>
    <t>4D</t>
  </si>
  <si>
    <t>IPCC_Code_subcategory - 2nd order</t>
  </si>
  <si>
    <t xml:space="preserve">Commercial/institutional </t>
  </si>
  <si>
    <t xml:space="preserve">Energy industries </t>
  </si>
  <si>
    <t xml:space="preserve">Agriculture/forestry/fishing/fish farms </t>
  </si>
  <si>
    <t xml:space="preserve">Oil and natural gas (fugitive emissions) </t>
  </si>
  <si>
    <t>Road transportation</t>
  </si>
  <si>
    <t xml:space="preserve">Water-borne navigation </t>
  </si>
  <si>
    <t xml:space="preserve">Civil aviation </t>
  </si>
  <si>
    <t xml:space="preserve">Other transportation </t>
  </si>
  <si>
    <t>Mineral industry</t>
  </si>
  <si>
    <t>Chemical industry</t>
  </si>
  <si>
    <t>Metal industry</t>
  </si>
  <si>
    <t>Electronics industry</t>
  </si>
  <si>
    <t>Non-energy products from fuels and solvent use</t>
  </si>
  <si>
    <t>Product uses as substitutes for ozone depleting substances</t>
  </si>
  <si>
    <t>Other product manufacture and use</t>
  </si>
  <si>
    <t>Other</t>
  </si>
  <si>
    <t xml:space="preserve">Land </t>
  </si>
  <si>
    <t>Aggregate sources and non-CO2 emissions sources on land</t>
  </si>
  <si>
    <t xml:space="preserve">Wastewater treatment and discharge </t>
  </si>
  <si>
    <t>GPC_code_category</t>
  </si>
  <si>
    <t>GPC_Sub-category</t>
  </si>
  <si>
    <t xml:space="preserve">I.2 </t>
  </si>
  <si>
    <t xml:space="preserve"> I.3 </t>
  </si>
  <si>
    <t>I.4</t>
  </si>
  <si>
    <t xml:space="preserve"> I.5 </t>
  </si>
  <si>
    <t xml:space="preserve"> I.6 </t>
  </si>
  <si>
    <t xml:space="preserve"> I.7 </t>
  </si>
  <si>
    <t xml:space="preserve"> II.2 </t>
  </si>
  <si>
    <t xml:space="preserve">II.3 </t>
  </si>
  <si>
    <t xml:space="preserve">IV.1 </t>
  </si>
  <si>
    <t xml:space="preserve">IV.2 </t>
  </si>
  <si>
    <t xml:space="preserve">V.1 </t>
  </si>
  <si>
    <t xml:space="preserve">I.8 </t>
  </si>
  <si>
    <t xml:space="preserve"> II.1</t>
  </si>
  <si>
    <t xml:space="preserve"> On-road transportation</t>
  </si>
  <si>
    <t>Water transport</t>
  </si>
  <si>
    <t xml:space="preserve">II.4 </t>
  </si>
  <si>
    <t xml:space="preserve">II.5 </t>
  </si>
  <si>
    <t>Industrial processes</t>
  </si>
  <si>
    <t>Product use</t>
  </si>
  <si>
    <t xml:space="preserve">V.2 </t>
  </si>
  <si>
    <t xml:space="preserve">V.3 </t>
  </si>
  <si>
    <t xml:space="preserve">III.1 </t>
  </si>
  <si>
    <t xml:space="preserve">III.2 </t>
  </si>
  <si>
    <t>Biological treatment of waste</t>
  </si>
  <si>
    <t xml:space="preserve">III.3 </t>
  </si>
  <si>
    <t>Incineration and open burning</t>
  </si>
  <si>
    <t xml:space="preserve">III.4 </t>
  </si>
  <si>
    <t>IPCC code &amp; categories</t>
  </si>
  <si>
    <t>GPC code &amp; categories</t>
  </si>
  <si>
    <t>Global Warming Potential</t>
  </si>
  <si>
    <t>Stationary_Fuel</t>
  </si>
  <si>
    <t>GWP: IPCC Assessment Report</t>
  </si>
  <si>
    <t>reserved for future changes</t>
  </si>
  <si>
    <t>Grid electricity</t>
  </si>
  <si>
    <t xml:space="preserve">Fuel </t>
  </si>
  <si>
    <t>1A Fuel Combustion Activities: Residential buildings</t>
  </si>
  <si>
    <t xml:space="preserve">IPCC emission code </t>
  </si>
  <si>
    <t>IPCC Sector</t>
  </si>
  <si>
    <t>1A Fuel Combustion Activities: Commercial &amp; Institutional Buildings &amp; Facilities</t>
  </si>
  <si>
    <t>1A Fuel Combustion Activities: Manufacturing industries and construction</t>
  </si>
  <si>
    <t>1A Fuel Combustion Activities: Energy industries</t>
  </si>
  <si>
    <t xml:space="preserve">1A Fuel Combustion Activities: Agriculture, forestry, fishing &amp; fish farms </t>
  </si>
  <si>
    <t xml:space="preserve">1A Fuel Combustion Activities: Non-specified </t>
  </si>
  <si>
    <t>Sub-category - 2nd order</t>
  </si>
  <si>
    <t xml:space="preserve">Sub-category </t>
  </si>
  <si>
    <t xml:space="preserve">Energy </t>
  </si>
  <si>
    <t>Sub-category - code</t>
  </si>
  <si>
    <t>Energy Stationary: sub-categories</t>
  </si>
  <si>
    <t xml:space="preserve">Commercial / Institutional </t>
  </si>
  <si>
    <t>Sub-category code 2nd order</t>
  </si>
  <si>
    <t xml:space="preserve">Manufacturing industries and construction </t>
  </si>
  <si>
    <t>1.A.2</t>
  </si>
  <si>
    <t xml:space="preserve">Iron and steel </t>
  </si>
  <si>
    <t xml:space="preserve">Non-ferrous metals </t>
  </si>
  <si>
    <t>1.A.2.b</t>
  </si>
  <si>
    <t>Chemicals</t>
  </si>
  <si>
    <t xml:space="preserve"> 1.A.2.c</t>
  </si>
  <si>
    <t xml:space="preserve">Pulp, paper and print </t>
  </si>
  <si>
    <t>1.A.2.d</t>
  </si>
  <si>
    <t>Food processing, beverages and tobacco</t>
  </si>
  <si>
    <t xml:space="preserve"> 1.A.2.e</t>
  </si>
  <si>
    <t xml:space="preserve">Non-metallic minerals </t>
  </si>
  <si>
    <t>1.A.2.f</t>
  </si>
  <si>
    <t xml:space="preserve">Transport equipment </t>
  </si>
  <si>
    <t>1.A.2.g</t>
  </si>
  <si>
    <t xml:space="preserve">Machinery </t>
  </si>
  <si>
    <t>1.A.2.h</t>
  </si>
  <si>
    <t xml:space="preserve">Mining (excl. fuels) and quarrying </t>
  </si>
  <si>
    <t>1.A.2.i</t>
  </si>
  <si>
    <t xml:space="preserve">Wood and wood products </t>
  </si>
  <si>
    <t>1.A.2.j</t>
  </si>
  <si>
    <t xml:space="preserve">Construction </t>
  </si>
  <si>
    <t>1.A.2.k</t>
  </si>
  <si>
    <t xml:space="preserve">Textile and leather </t>
  </si>
  <si>
    <t>1.A.2.l</t>
  </si>
  <si>
    <t xml:space="preserve">Non-specified industry </t>
  </si>
  <si>
    <t>1.A.2.m</t>
  </si>
  <si>
    <t xml:space="preserve">Electricity generation </t>
  </si>
  <si>
    <t xml:space="preserve">Combined heat and power generation </t>
  </si>
  <si>
    <t xml:space="preserve">Heat plants </t>
  </si>
  <si>
    <t xml:space="preserve">Petroleum refining </t>
  </si>
  <si>
    <t>1.A.1.b</t>
  </si>
  <si>
    <t xml:space="preserve">Manufacture of solid fuels </t>
  </si>
  <si>
    <t>1.A.1.c.i</t>
  </si>
  <si>
    <t xml:space="preserve">Other energy industries </t>
  </si>
  <si>
    <t>1.A.1.c.ii</t>
  </si>
  <si>
    <t xml:space="preserve">Stationary </t>
  </si>
  <si>
    <t>1.A.4.c.i</t>
  </si>
  <si>
    <t>Off-road vehicles and other machinery</t>
  </si>
  <si>
    <t xml:space="preserve"> 1.A.2.ii</t>
  </si>
  <si>
    <t xml:space="preserve">Fishing (mobile combustion) </t>
  </si>
  <si>
    <t>1.A.4.c.iii</t>
  </si>
  <si>
    <t>1.A.5.a</t>
  </si>
  <si>
    <t>Mobile</t>
  </si>
  <si>
    <t xml:space="preserve"> 1.A.5.b</t>
  </si>
  <si>
    <t>Energy Industries Sub-category - 2nd order</t>
  </si>
  <si>
    <t>Energy Industries Sub-category code 2nd order</t>
  </si>
  <si>
    <t xml:space="preserve">Energy Industries </t>
  </si>
  <si>
    <t>Fugitive Coal</t>
  </si>
  <si>
    <t>Fugitive Coal Sub-category code 2nd order</t>
  </si>
  <si>
    <t>Fugitive Coal Sub-category - 2nd order</t>
  </si>
  <si>
    <t>Fugitive Oil Gas</t>
  </si>
  <si>
    <t xml:space="preserve">All activities </t>
  </si>
  <si>
    <t xml:space="preserve">Coal mining and handling </t>
  </si>
  <si>
    <t xml:space="preserve">  Underground mines </t>
  </si>
  <si>
    <t xml:space="preserve">    Mining </t>
  </si>
  <si>
    <t xml:space="preserve">    Post-mining seam gas emissions </t>
  </si>
  <si>
    <t xml:space="preserve">    Abandoned underground mines </t>
  </si>
  <si>
    <t xml:space="preserve">    Flaring of drained CH4 or conversion of CH4 to CO2</t>
  </si>
  <si>
    <t xml:space="preserve">  Surface mines </t>
  </si>
  <si>
    <t xml:space="preserve">Uncontrolled combustion and burning coal dumps </t>
  </si>
  <si>
    <t>Solid fuel transformation</t>
  </si>
  <si>
    <t>Fugitive Oil Gas Sub-category code 2nd order</t>
  </si>
  <si>
    <t>Fugitive Oil Gas Sub-category - 2nd order</t>
  </si>
  <si>
    <t>Fugitive Oil</t>
  </si>
  <si>
    <t>Fugitive Gas</t>
  </si>
  <si>
    <t>Fugitive Oil Sub-category code 2nd order</t>
  </si>
  <si>
    <t>Fugitive Oil  Sub-category - 2nd order</t>
  </si>
  <si>
    <t>Fugitive GasSub-category code 2nd order</t>
  </si>
  <si>
    <t>Fugitive Gas Sub-category - 2nd order</t>
  </si>
  <si>
    <t xml:space="preserve">Fuel: Stationary Energy </t>
  </si>
  <si>
    <t>1B Fugitive Emissions from Fuels - Solid fuels</t>
  </si>
  <si>
    <t>1A3 Transport: Road Transport</t>
  </si>
  <si>
    <t>Road Transport Sub-category code 2nd order</t>
  </si>
  <si>
    <t>Road Transport Sub-category - 2nd order</t>
  </si>
  <si>
    <t xml:space="preserve">1A3a </t>
  </si>
  <si>
    <t>Domestic aviation</t>
  </si>
  <si>
    <t xml:space="preserve">1A3bi </t>
  </si>
  <si>
    <t>Cars</t>
  </si>
  <si>
    <t xml:space="preserve">1A3bii </t>
  </si>
  <si>
    <t>Light duty trucks</t>
  </si>
  <si>
    <t xml:space="preserve">1A3biii </t>
  </si>
  <si>
    <t xml:space="preserve">1A3biv </t>
  </si>
  <si>
    <t>Motorcycles</t>
  </si>
  <si>
    <t xml:space="preserve">1A3bv </t>
  </si>
  <si>
    <t xml:space="preserve">1A3c </t>
  </si>
  <si>
    <t>Domestic navigation</t>
  </si>
  <si>
    <t xml:space="preserve">1A3eii </t>
  </si>
  <si>
    <t>Other Transportation</t>
  </si>
  <si>
    <t>Transport: Road Transport</t>
  </si>
  <si>
    <t>Rail Sub-category code 2nd order</t>
  </si>
  <si>
    <t>Rail Sub-category - 2nd order</t>
  </si>
  <si>
    <t>Transport: Rail</t>
  </si>
  <si>
    <t>Shipping Sub-category code 2nd order</t>
  </si>
  <si>
    <t>Shipping Sub-category - 2nd order</t>
  </si>
  <si>
    <t>Aviation Sub-category code 2nd order</t>
  </si>
  <si>
    <t>Aviation Sub-category - 2nd order</t>
  </si>
  <si>
    <t>Transport Fuel</t>
  </si>
  <si>
    <t>Fuel Transport</t>
  </si>
  <si>
    <t xml:space="preserve">1A3 </t>
  </si>
  <si>
    <t>1A3 Transport: Rail</t>
  </si>
  <si>
    <t>1A3 Transport: Aviation</t>
  </si>
  <si>
    <t>1A3 Transport: Water-borne navigation</t>
  </si>
  <si>
    <t>1A3 Transport: Off-road</t>
  </si>
  <si>
    <t>Off-Road Transport</t>
  </si>
  <si>
    <t>Livestock Sub-category code 2nd order</t>
  </si>
  <si>
    <t>Livestock Sub-category - 2nd order</t>
  </si>
  <si>
    <t>Land Sub-category - 2nd order</t>
  </si>
  <si>
    <t>Aggregate sources Sub-category - 2nd order</t>
  </si>
  <si>
    <t>Aggregate sources Sub-category code 2nd order</t>
  </si>
  <si>
    <t>Land Sub-category code 2nd order</t>
  </si>
  <si>
    <t>All land</t>
  </si>
  <si>
    <t>Forest land</t>
  </si>
  <si>
    <t>3.B.1</t>
  </si>
  <si>
    <t>3.B.1.a</t>
  </si>
  <si>
    <t xml:space="preserve">  Crop land converted to Forest land</t>
  </si>
  <si>
    <t>3.B.1.b.i</t>
  </si>
  <si>
    <t xml:space="preserve">  Grassland converted to Forest land</t>
  </si>
  <si>
    <t>3.B.1.b.ii</t>
  </si>
  <si>
    <t xml:space="preserve">  Settlements converted to Forest land</t>
  </si>
  <si>
    <t>3.B.1.b.iv</t>
  </si>
  <si>
    <t xml:space="preserve">  Wetlands converted to Forest land</t>
  </si>
  <si>
    <t>3.B.1.b.iii</t>
  </si>
  <si>
    <t xml:space="preserve">  Other land converted to Forest land</t>
  </si>
  <si>
    <t>3.B.1.b.v</t>
  </si>
  <si>
    <t>Crop land</t>
  </si>
  <si>
    <t>3.B.2</t>
  </si>
  <si>
    <t xml:space="preserve">  Crop land remaining Crop land</t>
  </si>
  <si>
    <t>3.B.2.a</t>
  </si>
  <si>
    <t xml:space="preserve">  Forest land converted to Crop land</t>
  </si>
  <si>
    <t>3.B.2.b.i</t>
  </si>
  <si>
    <t xml:space="preserve">  Grassland converted to Crop land</t>
  </si>
  <si>
    <t>3.B.2.b.ii</t>
  </si>
  <si>
    <t xml:space="preserve">  Settlements converted to Crop land</t>
  </si>
  <si>
    <t>3.B.2.b.iv</t>
  </si>
  <si>
    <t xml:space="preserve">  Wetlands converted to Crop land</t>
  </si>
  <si>
    <t>3.B.2.b.iii</t>
  </si>
  <si>
    <t xml:space="preserve">  Other land converted to Crop land</t>
  </si>
  <si>
    <t>3.B.2.b.v</t>
  </si>
  <si>
    <t>Grassland</t>
  </si>
  <si>
    <t>3.B.3</t>
  </si>
  <si>
    <t xml:space="preserve">  Grassland remaining Grassland</t>
  </si>
  <si>
    <t>3.B.3.a</t>
  </si>
  <si>
    <t xml:space="preserve">  Forest land converted to Grassland</t>
  </si>
  <si>
    <t>3.B.3.b.i</t>
  </si>
  <si>
    <t xml:space="preserve">  Crop land converted to Grassland</t>
  </si>
  <si>
    <t>3.B.3.b.ii</t>
  </si>
  <si>
    <t xml:space="preserve">  Wetlands converted to Grassland</t>
  </si>
  <si>
    <t>3.B.3.b.iii</t>
  </si>
  <si>
    <t xml:space="preserve">  Settlements converted to Grassland</t>
  </si>
  <si>
    <t>3.B.3.b.iv</t>
  </si>
  <si>
    <t xml:space="preserve">  Other land converted to Grassland</t>
  </si>
  <si>
    <t>3.B.3.b.v</t>
  </si>
  <si>
    <t>Wetlands</t>
  </si>
  <si>
    <t>3.B.4</t>
  </si>
  <si>
    <t xml:space="preserve">  Wetlands remaining Wetlands</t>
  </si>
  <si>
    <t>3.B.4.a</t>
  </si>
  <si>
    <t xml:space="preserve">  Forest land converted to Wetlands</t>
  </si>
  <si>
    <t>3.B.4.b</t>
  </si>
  <si>
    <t xml:space="preserve">  Crop land converted to Wetlands</t>
  </si>
  <si>
    <t xml:space="preserve">  Grassland converted to Wetlands</t>
  </si>
  <si>
    <t xml:space="preserve">  Settlements converted to Wetlands</t>
  </si>
  <si>
    <t xml:space="preserve">  Other land converted to Wetlands</t>
  </si>
  <si>
    <t>Settlements</t>
  </si>
  <si>
    <t>3.B.5</t>
  </si>
  <si>
    <t xml:space="preserve">  Settlements remaining Settlements</t>
  </si>
  <si>
    <t>3.B.5.a</t>
  </si>
  <si>
    <t xml:space="preserve">  Forest land converted to Settlements</t>
  </si>
  <si>
    <t>3.B.5.b.i</t>
  </si>
  <si>
    <t xml:space="preserve">  Crop land converted to Settlements</t>
  </si>
  <si>
    <t>3.B.5.b.ii</t>
  </si>
  <si>
    <t xml:space="preserve">  Grassland converted to Settlements</t>
  </si>
  <si>
    <t>3.B.5.b.iii</t>
  </si>
  <si>
    <t xml:space="preserve">  Wetlands converted to Settlements</t>
  </si>
  <si>
    <t>3.B.5.b.iv</t>
  </si>
  <si>
    <t xml:space="preserve">  Other land converted to Settlements</t>
  </si>
  <si>
    <t>3.B.5.b.v</t>
  </si>
  <si>
    <t>Other land</t>
  </si>
  <si>
    <t>3.B.6</t>
  </si>
  <si>
    <t xml:space="preserve">  Other land remaining Other land</t>
  </si>
  <si>
    <t>3.B.6.a</t>
  </si>
  <si>
    <t xml:space="preserve">  Forest land converted to Other land</t>
  </si>
  <si>
    <t>3.B.6.b.i</t>
  </si>
  <si>
    <t xml:space="preserve">  Crop land converted to Other land</t>
  </si>
  <si>
    <t>3.B.6.b.ii</t>
  </si>
  <si>
    <t xml:space="preserve">  Grassland converted to Other land</t>
  </si>
  <si>
    <t>3.B.6.b.iii</t>
  </si>
  <si>
    <t xml:space="preserve">  Wetlands converted to Other land</t>
  </si>
  <si>
    <t>3.B.6.b.iv</t>
  </si>
  <si>
    <t xml:space="preserve">  Settlements converted to Other land</t>
  </si>
  <si>
    <t>3.B.6.b.v</t>
  </si>
  <si>
    <t>3A Agriculture, Forestry and Other Land Use: Livestock</t>
  </si>
  <si>
    <t>Enteric Fermentation</t>
  </si>
  <si>
    <t>3B Agriculture, Forestry and Other Land Use: Land</t>
  </si>
  <si>
    <t xml:space="preserve"> Crop land remaining Crop land</t>
  </si>
  <si>
    <t>Forest land remaining Forest land</t>
  </si>
  <si>
    <t>Drainage of histosols</t>
  </si>
  <si>
    <t>Cropland management soils</t>
  </si>
  <si>
    <t>Cropland management biomass</t>
  </si>
  <si>
    <t>Non-forest biomass</t>
  </si>
  <si>
    <t>Deforestation to Cropland</t>
  </si>
  <si>
    <t>Grassland management biomass</t>
  </si>
  <si>
    <t>Deforestation to Grassland</t>
  </si>
  <si>
    <t>Deforestation to Settlement</t>
  </si>
  <si>
    <t>Soil</t>
  </si>
  <si>
    <t>3C Agriculture, Forestry and Other Land Use: Aggregate sources</t>
  </si>
  <si>
    <t>4 Waste</t>
  </si>
  <si>
    <t>Disposal route/Type of waste</t>
  </si>
  <si>
    <t>Non-electricity</t>
  </si>
  <si>
    <t xml:space="preserve"> Electronics and shoes</t>
  </si>
  <si>
    <t>Commercial refrigeration</t>
  </si>
  <si>
    <t xml:space="preserve"> Industrial refrigeration</t>
  </si>
  <si>
    <t xml:space="preserve"> Transport refrigeration</t>
  </si>
  <si>
    <t xml:space="preserve"> Mobile air conditioning</t>
  </si>
  <si>
    <t xml:space="preserve"> Stationary air conditioning</t>
  </si>
  <si>
    <t xml:space="preserve"> Other Applications:Contained-Refrigerant containers</t>
  </si>
  <si>
    <t xml:space="preserve"> Other Applications:Contained-Refrigerant Processing</t>
  </si>
  <si>
    <t xml:space="preserve"> Domestic refrigeration</t>
  </si>
  <si>
    <t xml:space="preserve"> Closed foam blowing agents</t>
  </si>
  <si>
    <t xml:space="preserve"> Open foam blowing agents</t>
  </si>
  <si>
    <t xml:space="preserve"> Metered dose inhalers</t>
  </si>
  <si>
    <t xml:space="preserve"> Aerosols:Other</t>
  </si>
  <si>
    <t xml:space="preserve"> Electrical equipment</t>
  </si>
  <si>
    <t xml:space="preserve"> Military applications</t>
  </si>
  <si>
    <t xml:space="preserve"> Particle accelerators</t>
  </si>
  <si>
    <t xml:space="preserve"> Tracer gas</t>
  </si>
  <si>
    <t xml:space="preserve">Pulp and paper industry </t>
  </si>
  <si>
    <t>2.H.1</t>
  </si>
  <si>
    <t xml:space="preserve">Food and beverages industry </t>
  </si>
  <si>
    <t>2.H.2</t>
  </si>
  <si>
    <t>Other  (please specify)</t>
  </si>
  <si>
    <t>2.H.3</t>
  </si>
  <si>
    <t xml:space="preserve">Electrical equipment </t>
  </si>
  <si>
    <t>2.G.1</t>
  </si>
  <si>
    <t>2.B.2</t>
  </si>
  <si>
    <t xml:space="preserve">SF6 and PFCs from other product uses </t>
  </si>
  <si>
    <t>2.G.2</t>
  </si>
  <si>
    <t xml:space="preserve">N2O from product uses </t>
  </si>
  <si>
    <t>2.G.3</t>
  </si>
  <si>
    <t xml:space="preserve"> 2.G.4</t>
  </si>
  <si>
    <t>Refrigeration and air conditioning</t>
  </si>
  <si>
    <t>2.F.1</t>
  </si>
  <si>
    <t xml:space="preserve">  Refrigeration and stationary air conditioning </t>
  </si>
  <si>
    <t>2.F.1.a</t>
  </si>
  <si>
    <t xml:space="preserve">  Mobile air conditioning </t>
  </si>
  <si>
    <t>2.F.1.b</t>
  </si>
  <si>
    <t xml:space="preserve">Foam blowing agents </t>
  </si>
  <si>
    <t>2.F.2</t>
  </si>
  <si>
    <t xml:space="preserve">Fire protection </t>
  </si>
  <si>
    <t>2.F.3</t>
  </si>
  <si>
    <t xml:space="preserve">Aerosols </t>
  </si>
  <si>
    <t>2.F.4</t>
  </si>
  <si>
    <t>2.C.4</t>
  </si>
  <si>
    <t xml:space="preserve">Solvents </t>
  </si>
  <si>
    <t>2.F.5</t>
  </si>
  <si>
    <t>2.F.6</t>
  </si>
  <si>
    <t>Integrated circuit or semiconductor</t>
  </si>
  <si>
    <t xml:space="preserve"> 2.E.1</t>
  </si>
  <si>
    <t>TFT flat panel display</t>
  </si>
  <si>
    <t xml:space="preserve"> 2.E.2</t>
  </si>
  <si>
    <t xml:space="preserve">Photovoltaics </t>
  </si>
  <si>
    <t>2.E.3</t>
  </si>
  <si>
    <t xml:space="preserve">Heat transfer fluid </t>
  </si>
  <si>
    <t>2.E.4</t>
  </si>
  <si>
    <t xml:space="preserve"> 2.E.5</t>
  </si>
  <si>
    <t xml:space="preserve">Lubricant use </t>
  </si>
  <si>
    <t>2.D.1</t>
  </si>
  <si>
    <t xml:space="preserve">Paraffin wax use </t>
  </si>
  <si>
    <t>2.D.2</t>
  </si>
  <si>
    <t xml:space="preserve">Solvent use </t>
  </si>
  <si>
    <t>2.D.3</t>
  </si>
  <si>
    <t>2.D.4</t>
  </si>
  <si>
    <t xml:space="preserve">Cement production </t>
  </si>
  <si>
    <t>2.A.1</t>
  </si>
  <si>
    <t xml:space="preserve">Lime production </t>
  </si>
  <si>
    <t>2.B.1</t>
  </si>
  <si>
    <t>2.C.1</t>
  </si>
  <si>
    <t xml:space="preserve">Glass production </t>
  </si>
  <si>
    <t>2.A.3</t>
  </si>
  <si>
    <t>Other Process Uses of Carbonates</t>
  </si>
  <si>
    <t xml:space="preserve"> 2.A.4</t>
  </si>
  <si>
    <t>2.A.5</t>
  </si>
  <si>
    <t xml:space="preserve">Ammonia production </t>
  </si>
  <si>
    <t xml:space="preserve">Nitric acid production </t>
  </si>
  <si>
    <t xml:space="preserve">Adipic acid production </t>
  </si>
  <si>
    <t>2.B.3</t>
  </si>
  <si>
    <t xml:space="preserve">Caprolactam production </t>
  </si>
  <si>
    <t>2.B.4</t>
  </si>
  <si>
    <t>Carbide production</t>
  </si>
  <si>
    <t xml:space="preserve"> 2.B.5</t>
  </si>
  <si>
    <t xml:space="preserve">Titanium dioxide production </t>
  </si>
  <si>
    <t>2.B.6</t>
  </si>
  <si>
    <t xml:space="preserve">Soda ash production </t>
  </si>
  <si>
    <t>2.B.7</t>
  </si>
  <si>
    <t>Petrochemical and black carbon production</t>
  </si>
  <si>
    <t>2.B.8</t>
  </si>
  <si>
    <t xml:space="preserve">Fluorochemical production </t>
  </si>
  <si>
    <t>2.B.9</t>
  </si>
  <si>
    <t>2.B.10</t>
  </si>
  <si>
    <t xml:space="preserve">Iron and steel production </t>
  </si>
  <si>
    <t xml:space="preserve">Ferroalloy production </t>
  </si>
  <si>
    <t>2.C.2</t>
  </si>
  <si>
    <t xml:space="preserve">Aluminium production </t>
  </si>
  <si>
    <t>2.C.3</t>
  </si>
  <si>
    <t xml:space="preserve">Magnesium production </t>
  </si>
  <si>
    <t xml:space="preserve">Lead production </t>
  </si>
  <si>
    <t>2.C.5</t>
  </si>
  <si>
    <t xml:space="preserve">Zinc production </t>
  </si>
  <si>
    <t>2.C.6</t>
  </si>
  <si>
    <t>2.C.7</t>
  </si>
  <si>
    <t>2.A.2</t>
  </si>
  <si>
    <t>2G2e</t>
  </si>
  <si>
    <t>2. Industrial Processes</t>
  </si>
  <si>
    <t>2. Product Use</t>
  </si>
  <si>
    <t>Total HFCs</t>
  </si>
  <si>
    <t>Total PFCs</t>
  </si>
  <si>
    <t>Version no.</t>
  </si>
  <si>
    <t>1. Interim</t>
  </si>
  <si>
    <t xml:space="preserve">Publication date: </t>
  </si>
  <si>
    <t>Key</t>
  </si>
  <si>
    <r>
      <t xml:space="preserve">C  </t>
    </r>
    <r>
      <rPr>
        <sz val="10"/>
        <rFont val="Calibri"/>
        <family val="2"/>
      </rPr>
      <t>Confirmed figures</t>
    </r>
  </si>
  <si>
    <r>
      <t xml:space="preserve">I  </t>
    </r>
    <r>
      <rPr>
        <sz val="10"/>
        <rFont val="Calibri"/>
        <family val="2"/>
      </rPr>
      <t>Interim figures, to be confirmed in next version when final data is published</t>
    </r>
  </si>
  <si>
    <r>
      <t xml:space="preserve">E  </t>
    </r>
    <r>
      <rPr>
        <sz val="10"/>
        <rFont val="Calibri"/>
        <family val="2"/>
      </rPr>
      <t>Estimated figure</t>
    </r>
  </si>
  <si>
    <t>Table 0.1</t>
  </si>
  <si>
    <t>Historical overview, MtCO2 (pre 2010) and MtCO2e (post 2010)</t>
  </si>
  <si>
    <t>CO2 Emissions (MtCO2)</t>
  </si>
  <si>
    <r>
      <t xml:space="preserve">GHG Emissions (MtCO2e) </t>
    </r>
    <r>
      <rPr>
        <b/>
        <vertAlign val="superscript"/>
        <sz val="10"/>
        <color indexed="9"/>
        <rFont val="Calibri"/>
        <family val="2"/>
      </rPr>
      <t>1</t>
    </r>
  </si>
  <si>
    <r>
      <t>Weather corrected and CO</t>
    </r>
    <r>
      <rPr>
        <b/>
        <sz val="10"/>
        <color indexed="8"/>
        <rFont val="Calibri"/>
        <family val="2"/>
      </rPr>
      <t>2</t>
    </r>
  </si>
  <si>
    <r>
      <t>Non-weather corrected and CO</t>
    </r>
    <r>
      <rPr>
        <b/>
        <sz val="10"/>
        <rFont val="Calibri"/>
        <family val="2"/>
      </rPr>
      <t>2e</t>
    </r>
  </si>
  <si>
    <t>DOMESTIC</t>
  </si>
  <si>
    <t>E</t>
  </si>
  <si>
    <t>Reduction from 2000</t>
  </si>
  <si>
    <t>INDUSTRIAL AND COMMERCIAL</t>
  </si>
  <si>
    <t>Large industrial</t>
  </si>
  <si>
    <t xml:space="preserve">I </t>
  </si>
  <si>
    <t>Rail_diesel</t>
  </si>
  <si>
    <t>Rail_electric</t>
  </si>
  <si>
    <t>Reduction from 1990</t>
  </si>
  <si>
    <t>Population</t>
  </si>
  <si>
    <r>
      <t>tCO</t>
    </r>
    <r>
      <rPr>
        <vertAlign val="subscript"/>
        <sz val="10"/>
        <rFont val="Calibri"/>
        <family val="2"/>
      </rPr>
      <t>2</t>
    </r>
    <r>
      <rPr>
        <sz val="10"/>
        <rFont val="Calibri"/>
        <family val="2"/>
      </rPr>
      <t xml:space="preserve"> per capita_all</t>
    </r>
  </si>
  <si>
    <r>
      <t>tCO</t>
    </r>
    <r>
      <rPr>
        <vertAlign val="subscript"/>
        <sz val="10"/>
        <rFont val="Calibri"/>
        <family val="2"/>
      </rPr>
      <t>2</t>
    </r>
    <r>
      <rPr>
        <sz val="10"/>
        <rFont val="Calibri"/>
        <family val="2"/>
      </rPr>
      <t xml:space="preserve"> per capita_excl. workplaces</t>
    </r>
  </si>
  <si>
    <r>
      <t>1. Data is reported as CO</t>
    </r>
    <r>
      <rPr>
        <vertAlign val="subscript"/>
        <sz val="10"/>
        <rFont val="Calibri"/>
        <family val="2"/>
      </rPr>
      <t>2</t>
    </r>
    <r>
      <rPr>
        <sz val="10"/>
        <rFont val="Calibri"/>
        <family val="2"/>
      </rPr>
      <t xml:space="preserve"> equivalent (CO</t>
    </r>
    <r>
      <rPr>
        <vertAlign val="subscript"/>
        <sz val="10"/>
        <rFont val="Calibri"/>
        <family val="2"/>
      </rPr>
      <t>2</t>
    </r>
    <r>
      <rPr>
        <sz val="10"/>
        <rFont val="Calibri"/>
        <family val="2"/>
      </rPr>
      <t>e) where available. The data worksheets indicate where it is not available by stating 'CO</t>
    </r>
    <r>
      <rPr>
        <vertAlign val="subscript"/>
        <sz val="10"/>
        <rFont val="Calibri"/>
        <family val="2"/>
      </rPr>
      <t>2</t>
    </r>
    <r>
      <rPr>
        <sz val="10"/>
        <rFont val="Calibri"/>
        <family val="2"/>
      </rPr>
      <t>' in the data headings.</t>
    </r>
  </si>
  <si>
    <t>Table 0.2</t>
  </si>
  <si>
    <t>Historical overview, GWh</t>
  </si>
  <si>
    <t>TABLE 2: ENERGY USE</t>
  </si>
  <si>
    <t>Energy Use (GWh)</t>
  </si>
  <si>
    <t>Weather-corrected</t>
  </si>
  <si>
    <t>Non weather-corrected</t>
  </si>
  <si>
    <t>Domestic Aviation</t>
  </si>
  <si>
    <t>Domestic Shipping</t>
  </si>
  <si>
    <t>Table 1.1</t>
  </si>
  <si>
    <t>Total Energy Consumption</t>
  </si>
  <si>
    <t>Grand Total</t>
  </si>
  <si>
    <t>Electricity w/o rail</t>
  </si>
  <si>
    <t>Railways_Diesel</t>
  </si>
  <si>
    <t>Railways_Electric</t>
  </si>
  <si>
    <t>Grand Total (kWh)</t>
  </si>
  <si>
    <t>Grand Total (GWh)</t>
  </si>
  <si>
    <t>Table 2.0</t>
  </si>
  <si>
    <r>
      <t>Total CO</t>
    </r>
    <r>
      <rPr>
        <b/>
        <vertAlign val="subscript"/>
        <sz val="10"/>
        <color indexed="9"/>
        <rFont val="Calibri"/>
        <family val="2"/>
      </rPr>
      <t>2</t>
    </r>
    <r>
      <rPr>
        <b/>
        <sz val="10"/>
        <color indexed="9"/>
        <rFont val="Calibri"/>
        <family val="2"/>
      </rPr>
      <t>/ CO</t>
    </r>
    <r>
      <rPr>
        <b/>
        <vertAlign val="subscript"/>
        <sz val="10"/>
        <color indexed="9"/>
        <rFont val="Calibri"/>
        <family val="2"/>
      </rPr>
      <t>2</t>
    </r>
    <r>
      <rPr>
        <b/>
        <sz val="10"/>
        <color indexed="9"/>
        <rFont val="Calibri"/>
        <family val="2"/>
      </rPr>
      <t>e emissions (kt)</t>
    </r>
  </si>
  <si>
    <r>
      <t>Domestic (CO</t>
    </r>
    <r>
      <rPr>
        <b/>
        <vertAlign val="subscript"/>
        <sz val="10"/>
        <color indexed="9"/>
        <rFont val="Calibri"/>
        <family val="2"/>
      </rPr>
      <t>2</t>
    </r>
    <r>
      <rPr>
        <b/>
        <sz val="10"/>
        <color indexed="9"/>
        <rFont val="Calibri"/>
        <family val="2"/>
      </rPr>
      <t>e)</t>
    </r>
  </si>
  <si>
    <r>
      <t>Industrial and Commercial (CO</t>
    </r>
    <r>
      <rPr>
        <b/>
        <vertAlign val="subscript"/>
        <sz val="10"/>
        <color indexed="9"/>
        <rFont val="Calibri"/>
        <family val="2"/>
      </rPr>
      <t>2</t>
    </r>
    <r>
      <rPr>
        <b/>
        <sz val="10"/>
        <color indexed="9"/>
        <rFont val="Calibri"/>
        <family val="2"/>
      </rPr>
      <t>e)</t>
    </r>
  </si>
  <si>
    <r>
      <t>Transport (CO</t>
    </r>
    <r>
      <rPr>
        <b/>
        <vertAlign val="subscript"/>
        <sz val="10"/>
        <color indexed="9"/>
        <rFont val="Calibri"/>
        <family val="2"/>
      </rPr>
      <t>2</t>
    </r>
    <r>
      <rPr>
        <b/>
        <sz val="10"/>
        <color indexed="9"/>
        <rFont val="Calibri"/>
        <family val="2"/>
      </rPr>
      <t>e or CO</t>
    </r>
    <r>
      <rPr>
        <b/>
        <vertAlign val="subscript"/>
        <sz val="10"/>
        <color indexed="9"/>
        <rFont val="Calibri"/>
        <family val="2"/>
      </rPr>
      <t>2</t>
    </r>
    <r>
      <rPr>
        <b/>
        <sz val="10"/>
        <color indexed="9"/>
        <rFont val="Calibri"/>
        <family val="2"/>
      </rPr>
      <t>)</t>
    </r>
  </si>
  <si>
    <t>Railways_ diesel</t>
  </si>
  <si>
    <t>Railways_ electric</t>
  </si>
  <si>
    <t>Grand Total (kt)</t>
  </si>
  <si>
    <t>Grand Total (mt)</t>
  </si>
  <si>
    <t xml:space="preserve">Table 2.3: </t>
  </si>
  <si>
    <t>CO2 data from DECC kWh data &amp; TfL CO2 data</t>
  </si>
  <si>
    <r>
      <t>Total CO</t>
    </r>
    <r>
      <rPr>
        <b/>
        <vertAlign val="subscript"/>
        <sz val="10"/>
        <color indexed="9"/>
        <rFont val="Calibri"/>
        <family val="2"/>
      </rPr>
      <t>2</t>
    </r>
    <r>
      <rPr>
        <b/>
        <sz val="10"/>
        <color indexed="9"/>
        <rFont val="Calibri"/>
        <family val="2"/>
      </rPr>
      <t xml:space="preserve"> emissions (kt)</t>
    </r>
  </si>
  <si>
    <t>(excl. LUCLUF)</t>
  </si>
  <si>
    <t>1A3e</t>
  </si>
  <si>
    <t>1A3evi</t>
  </si>
  <si>
    <t>1A3evii</t>
  </si>
  <si>
    <t xml:space="preserve">Manufacturing Industries </t>
  </si>
  <si>
    <t>Activity/Fuel</t>
  </si>
  <si>
    <t>NRMM Exhaust emissions</t>
  </si>
  <si>
    <t>Other road transport: taxis</t>
  </si>
  <si>
    <t>liters (converted to kWh)</t>
  </si>
  <si>
    <t>Activity data</t>
  </si>
  <si>
    <t xml:space="preserve">Sub-national electricity sales and numbers of customers </t>
  </si>
  <si>
    <t>Dataset</t>
  </si>
  <si>
    <t xml:space="preserve">Sub-national weather uncorrected gas consumption statistics  </t>
  </si>
  <si>
    <t>Sub-national residual fuel consumption in the United Kingdom</t>
  </si>
  <si>
    <t>Heavy duty trucks: Rigid</t>
  </si>
  <si>
    <t>Heavy duty trucks: Artic</t>
  </si>
  <si>
    <t>Buses (TfL)</t>
  </si>
  <si>
    <t>Buses &amp; Coaches</t>
  </si>
  <si>
    <t xml:space="preserve">Clinical Waste Incinerator </t>
  </si>
  <si>
    <t>Activity/fuel data (tonnes)</t>
  </si>
  <si>
    <t>Activity data/fuel (tonnes)</t>
  </si>
  <si>
    <r>
      <t>N</t>
    </r>
    <r>
      <rPr>
        <b/>
        <vertAlign val="subscript"/>
        <sz val="10"/>
        <color theme="0"/>
        <rFont val="Arial"/>
        <family val="2"/>
      </rPr>
      <t>2</t>
    </r>
    <r>
      <rPr>
        <b/>
        <sz val="10"/>
        <color theme="0"/>
        <rFont val="Arial"/>
        <family val="2"/>
      </rPr>
      <t>0</t>
    </r>
  </si>
  <si>
    <r>
      <t>C</t>
    </r>
    <r>
      <rPr>
        <b/>
        <vertAlign val="subscript"/>
        <sz val="11"/>
        <color theme="0"/>
        <rFont val="Calibri"/>
        <family val="2"/>
        <scheme val="minor"/>
      </rPr>
      <t>2</t>
    </r>
    <r>
      <rPr>
        <b/>
        <sz val="11"/>
        <color theme="0"/>
        <rFont val="Calibri"/>
        <family val="2"/>
        <scheme val="minor"/>
      </rPr>
      <t>F</t>
    </r>
    <r>
      <rPr>
        <b/>
        <vertAlign val="subscript"/>
        <sz val="11"/>
        <color theme="0"/>
        <rFont val="Calibri"/>
        <family val="2"/>
        <scheme val="minor"/>
      </rPr>
      <t>6</t>
    </r>
  </si>
  <si>
    <r>
      <t>C</t>
    </r>
    <r>
      <rPr>
        <b/>
        <vertAlign val="subscript"/>
        <sz val="11"/>
        <color theme="0"/>
        <rFont val="Calibri"/>
        <family val="2"/>
        <scheme val="minor"/>
      </rPr>
      <t>3</t>
    </r>
    <r>
      <rPr>
        <b/>
        <sz val="11"/>
        <color theme="0"/>
        <rFont val="Calibri"/>
        <family val="2"/>
        <scheme val="minor"/>
      </rPr>
      <t>F</t>
    </r>
    <r>
      <rPr>
        <b/>
        <vertAlign val="subscript"/>
        <sz val="11"/>
        <color theme="0"/>
        <rFont val="Calibri"/>
        <family val="2"/>
        <scheme val="minor"/>
      </rPr>
      <t>8</t>
    </r>
  </si>
  <si>
    <r>
      <t>C</t>
    </r>
    <r>
      <rPr>
        <b/>
        <vertAlign val="subscript"/>
        <sz val="11"/>
        <color theme="0"/>
        <rFont val="Calibri"/>
        <family val="2"/>
        <scheme val="minor"/>
      </rPr>
      <t>4</t>
    </r>
    <r>
      <rPr>
        <b/>
        <sz val="11"/>
        <color theme="0"/>
        <rFont val="Calibri"/>
        <family val="2"/>
        <scheme val="minor"/>
      </rPr>
      <t>F</t>
    </r>
    <r>
      <rPr>
        <b/>
        <vertAlign val="subscript"/>
        <sz val="11"/>
        <color theme="0"/>
        <rFont val="Calibri"/>
        <family val="2"/>
        <scheme val="minor"/>
      </rPr>
      <t>8</t>
    </r>
  </si>
  <si>
    <r>
      <t>CF</t>
    </r>
    <r>
      <rPr>
        <b/>
        <vertAlign val="subscript"/>
        <sz val="11"/>
        <color theme="0"/>
        <rFont val="Calibri"/>
        <family val="2"/>
        <scheme val="minor"/>
      </rPr>
      <t>4</t>
    </r>
  </si>
  <si>
    <r>
      <t>C</t>
    </r>
    <r>
      <rPr>
        <b/>
        <vertAlign val="subscript"/>
        <sz val="11"/>
        <color theme="0"/>
        <rFont val="Calibri"/>
        <family val="2"/>
        <scheme val="minor"/>
      </rPr>
      <t>4</t>
    </r>
    <r>
      <rPr>
        <b/>
        <sz val="11"/>
        <color theme="0"/>
        <rFont val="Calibri"/>
        <family val="2"/>
        <scheme val="minor"/>
      </rPr>
      <t>F</t>
    </r>
    <r>
      <rPr>
        <b/>
        <vertAlign val="subscript"/>
        <sz val="11"/>
        <color theme="0"/>
        <rFont val="Calibri"/>
        <family val="2"/>
        <scheme val="minor"/>
      </rPr>
      <t>10</t>
    </r>
  </si>
  <si>
    <r>
      <t>SF</t>
    </r>
    <r>
      <rPr>
        <b/>
        <vertAlign val="subscript"/>
        <sz val="11"/>
        <color theme="0"/>
        <rFont val="Calibri"/>
        <family val="2"/>
        <scheme val="minor"/>
      </rPr>
      <t>6</t>
    </r>
  </si>
  <si>
    <r>
      <t>NF</t>
    </r>
    <r>
      <rPr>
        <b/>
        <vertAlign val="subscript"/>
        <sz val="11"/>
        <color theme="0"/>
        <rFont val="Calibri"/>
        <family val="2"/>
        <scheme val="minor"/>
      </rPr>
      <t>3</t>
    </r>
  </si>
  <si>
    <t>Solid waste disposal Sub-category - 2nd order</t>
  </si>
  <si>
    <t/>
  </si>
  <si>
    <t>Wastewater treatment and discharge Sub-category - 2nd order</t>
  </si>
  <si>
    <t>Wastewater treatment and discharge Sub-code - 2nd order</t>
  </si>
  <si>
    <t>Advanced Wastewater Treatment Plants</t>
  </si>
  <si>
    <t>Incineration and open burning of waste Sub-code - 2nd order</t>
  </si>
  <si>
    <t>Incineration and open burning of waste Sub-category - 2nd order</t>
  </si>
  <si>
    <t xml:space="preserve">Open burning of waste </t>
  </si>
  <si>
    <t xml:space="preserve">Clinical Waste </t>
  </si>
  <si>
    <t>Organic waste</t>
  </si>
  <si>
    <t>2.F.1.c</t>
  </si>
  <si>
    <t>2.F.1.d</t>
  </si>
  <si>
    <t>2.F.1.e</t>
  </si>
  <si>
    <t>2.F.1.f</t>
  </si>
  <si>
    <t>2.F.4a</t>
  </si>
  <si>
    <t>2.F.4b</t>
  </si>
  <si>
    <t>2.F.2a</t>
  </si>
  <si>
    <t>2.F.2b</t>
  </si>
  <si>
    <t>London Energy and Greenhouse Gas Inventory (LEGGI), 2018</t>
  </si>
  <si>
    <t>2013 and 2018</t>
  </si>
  <si>
    <t>Greenhouse gas emissions by borough, 2018</t>
  </si>
  <si>
    <t>Please note that there was a change in methodology to calculate CO2 emissions from transport between the period 2010-2012 and 2013. The most significant change was to road transport (change from a 'Defra Company Reporting' approach to a methodology in line with the National Atmospheric Emissions Inventory). Direct comparison of CO2 emissions between these years is therefore not advised.</t>
  </si>
  <si>
    <t>Manure Management</t>
  </si>
  <si>
    <t>Soil (all other non manure management sources)</t>
  </si>
  <si>
    <t xml:space="preserve">London Energy and Greenhouse Gas Inventory (LEGGI) </t>
  </si>
  <si>
    <t>Geography</t>
  </si>
  <si>
    <t>Ground activities - aviation</t>
  </si>
  <si>
    <t>1A3eviii</t>
  </si>
  <si>
    <t>1A2eviiv</t>
  </si>
  <si>
    <t>NRMM</t>
  </si>
  <si>
    <t xml:space="preserve"> Construction</t>
  </si>
  <si>
    <t>Sheep</t>
  </si>
  <si>
    <t>Pigs</t>
  </si>
  <si>
    <t>Poultry</t>
  </si>
  <si>
    <t>3.A.1.ai</t>
  </si>
  <si>
    <t>3.A.1.a</t>
  </si>
  <si>
    <t>3.A.1.aii</t>
  </si>
  <si>
    <t xml:space="preserve">Cattle </t>
  </si>
  <si>
    <t>Dairy Cows</t>
  </si>
  <si>
    <t>Other Cattle</t>
  </si>
  <si>
    <t>3.A.1.b</t>
  </si>
  <si>
    <t>Buffalo</t>
  </si>
  <si>
    <t>3.A.1.c</t>
  </si>
  <si>
    <t>3.A.1.d</t>
  </si>
  <si>
    <t>Goats</t>
  </si>
  <si>
    <t>3.A.1.e</t>
  </si>
  <si>
    <t>Camel</t>
  </si>
  <si>
    <t>3.A.1.f</t>
  </si>
  <si>
    <t>Horses</t>
  </si>
  <si>
    <t>3.A.1.g</t>
  </si>
  <si>
    <t xml:space="preserve">Mules and Asses </t>
  </si>
  <si>
    <t>3.A.1.h</t>
  </si>
  <si>
    <t>Swine</t>
  </si>
  <si>
    <t>3.A.1.j</t>
  </si>
  <si>
    <t>3.A.2</t>
  </si>
  <si>
    <t>3.A.2.a</t>
  </si>
  <si>
    <t>3.A.2.ai</t>
  </si>
  <si>
    <t>3.A.2.aii</t>
  </si>
  <si>
    <t>3.A.2.b</t>
  </si>
  <si>
    <t>3.A.2.c</t>
  </si>
  <si>
    <t>3.A.2.d</t>
  </si>
  <si>
    <t>3.A.2.e</t>
  </si>
  <si>
    <t>3.A.2.f</t>
  </si>
  <si>
    <t>3.A.2.g</t>
  </si>
  <si>
    <t>3.A.2.h</t>
  </si>
  <si>
    <t>3.A.2.j</t>
  </si>
  <si>
    <t>Other: Minor livestock (Horses, goats &amp; deer)</t>
  </si>
  <si>
    <t>Field Burning</t>
  </si>
  <si>
    <t>calendar year</t>
  </si>
  <si>
    <t>Provided in About LEGGI tab</t>
  </si>
  <si>
    <t>Emission factors are derived from emissions modelling or emissions measurements and are usually reported in terms of the amount of pollutant emitted per quantity of fuel consumed or per distance travelled. The level of detail chosen for the definition of a source depends on the amount of detail available in the activity data and emission factors.</t>
  </si>
  <si>
    <t xml:space="preserve">Emission Factors </t>
  </si>
  <si>
    <t>Emission Sectors</t>
  </si>
  <si>
    <t>Pollutants</t>
  </si>
  <si>
    <t xml:space="preserve">
</t>
  </si>
  <si>
    <t>3D Agriculture, Forestry and Other Land Use: Others</t>
  </si>
  <si>
    <t>Other sources Sub-category code 2nd order</t>
  </si>
  <si>
    <t>Other sources Sub-category - 2nd order</t>
  </si>
  <si>
    <t>3.D.2.ai</t>
  </si>
  <si>
    <t>3.D.2.aii</t>
  </si>
  <si>
    <t>3.D.2.c</t>
  </si>
  <si>
    <t>3.D.2.h</t>
  </si>
  <si>
    <t>3.D.2.i</t>
  </si>
  <si>
    <t>3.D.2.j</t>
  </si>
  <si>
    <t>Minor Livestock</t>
  </si>
  <si>
    <t>3.D.2</t>
  </si>
  <si>
    <t>Non-livestock sources (inc. fertiliser)</t>
  </si>
  <si>
    <t>Land Converted to Forest Land</t>
  </si>
  <si>
    <t>3.B.2.b</t>
  </si>
  <si>
    <t>Land Converted to Cropland</t>
  </si>
  <si>
    <t>3.B1.b</t>
  </si>
  <si>
    <t>3.B.3.b</t>
  </si>
  <si>
    <t>Land Converted to Grassland</t>
  </si>
  <si>
    <t>Land Converted to Wetlands</t>
  </si>
  <si>
    <t>3.B.5.b</t>
  </si>
  <si>
    <t>Land Converted to Settlements</t>
  </si>
  <si>
    <t>3.B.6.b</t>
  </si>
  <si>
    <t>Land Converted to Other Land</t>
  </si>
  <si>
    <t>Aggregate Sources and Non-CO2 Emissions Sources on Land</t>
  </si>
  <si>
    <r>
      <t>CO</t>
    </r>
    <r>
      <rPr>
        <b/>
        <vertAlign val="subscript"/>
        <sz val="10"/>
        <color theme="0"/>
        <rFont val="Arial"/>
        <family val="2"/>
      </rPr>
      <t>2</t>
    </r>
    <r>
      <rPr>
        <b/>
        <sz val="10"/>
        <color theme="0"/>
        <rFont val="Arial"/>
        <family val="2"/>
      </rPr>
      <t>e Emissions &amp; Removals (tonnes)</t>
    </r>
  </si>
  <si>
    <t>IV. WASTE</t>
  </si>
  <si>
    <t>III. AGRICULTURE</t>
  </si>
  <si>
    <t xml:space="preserve">II. INDUSTRIAL PROCESSES &amp; PRODUCT USE </t>
  </si>
  <si>
    <t>IA. ENERGY DOMESTIC</t>
  </si>
  <si>
    <t>IA. ENERGY INDUSTRIAL AND COMMERCIAL</t>
  </si>
  <si>
    <t>IB. ENERGY TRANSPORT</t>
  </si>
  <si>
    <t>Direct and Indirect emissions</t>
  </si>
  <si>
    <t>Sectors and Sub-Sectors</t>
  </si>
  <si>
    <t>Direct Emissions (tCO2e)</t>
  </si>
  <si>
    <t>Indirect emissions from the use of grid-supplied electricity, heat, steam and/or cooling</t>
  </si>
  <si>
    <t xml:space="preserve">Emissions occurring outside the city boundary as a result of in-city activities </t>
  </si>
  <si>
    <t>Please explain any excluded sources, identify any emissions covered under an ETS and provide any other comments </t>
  </si>
  <si>
    <t>Emissions in tCO2e</t>
  </si>
  <si>
    <t>Notation key (if needed)</t>
  </si>
  <si>
    <t>Notation Key (if needed)</t>
  </si>
  <si>
    <t>Stationary energy &gt; Residential buildings</t>
  </si>
  <si>
    <t>Stationary energy &gt; Commercial buildings &amp; facilities</t>
  </si>
  <si>
    <t>Stationary energy &gt; Institutional buildings &amp; facilities</t>
  </si>
  <si>
    <t>Stationary energy &gt; Industrial buildings &amp; facilities</t>
  </si>
  <si>
    <t>Stationary energy &gt; Agriculture</t>
  </si>
  <si>
    <t>Stationary energy &gt; Fugitive emissions</t>
  </si>
  <si>
    <t>Total Stationary Energy</t>
  </si>
  <si>
    <t>Transportation &gt; On-road</t>
  </si>
  <si>
    <t>Transportation &gt; Rail</t>
  </si>
  <si>
    <t>Transportation &gt; Waterborne navigation</t>
  </si>
  <si>
    <t>Transportation &gt; Aviation</t>
  </si>
  <si>
    <t>Transportation &gt; Off-road</t>
  </si>
  <si>
    <t>Total Transport</t>
  </si>
  <si>
    <t>Waste &gt; Solid waste disposal</t>
  </si>
  <si>
    <t>Waste &gt; Biological treatment</t>
  </si>
  <si>
    <t>Waste &gt; Incineration and open burning</t>
  </si>
  <si>
    <t>Waste &gt; Wastewater</t>
  </si>
  <si>
    <t>Total Waste</t>
  </si>
  <si>
    <t>IPPU &gt; Industrial process</t>
  </si>
  <si>
    <t>IPPU &gt; Produce Use</t>
  </si>
  <si>
    <t>Total IPPU</t>
  </si>
  <si>
    <t>AFOLU &gt; Livestock</t>
  </si>
  <si>
    <t>AFOLU &gt; Land use</t>
  </si>
  <si>
    <t>AFOLU &gt; Other AFOLU</t>
  </si>
  <si>
    <t>Total AFOLU</t>
  </si>
  <si>
    <t>Generation of grid-supplied energy &gt; Electricity-only generation</t>
  </si>
  <si>
    <t>Generation of grid-supplied energy &gt; CHP generation</t>
  </si>
  <si>
    <t>Generation of grid-supplied energy &gt; Heat/cold generation</t>
  </si>
  <si>
    <t>Generation of grid-supplied energy &gt; Local renewable generation</t>
  </si>
  <si>
    <t>Total Generation of grid-supplied energy</t>
  </si>
  <si>
    <t>Total Emissions (excluding generation of grid-supplied energy)</t>
  </si>
  <si>
    <r>
      <t>CO</t>
    </r>
    <r>
      <rPr>
        <b/>
        <vertAlign val="subscript"/>
        <sz val="10"/>
        <color theme="0"/>
        <rFont val="Arial"/>
        <family val="2"/>
      </rPr>
      <t>2®</t>
    </r>
  </si>
  <si>
    <r>
      <t>Land CO</t>
    </r>
    <r>
      <rPr>
        <b/>
        <vertAlign val="subscript"/>
        <sz val="10"/>
        <rFont val="Calibri"/>
        <family val="2"/>
        <scheme val="minor"/>
      </rPr>
      <t>2</t>
    </r>
    <r>
      <rPr>
        <b/>
        <sz val="10"/>
        <rFont val="Calibri"/>
        <family val="2"/>
        <scheme val="minor"/>
      </rPr>
      <t xml:space="preserve"> removals</t>
    </r>
  </si>
  <si>
    <t xml:space="preserve">Sub-national residual fuel consumption in the United Kingdom
</t>
  </si>
  <si>
    <t>London Atmospheric Emissions Inventory</t>
  </si>
  <si>
    <t>Fossil fuels</t>
  </si>
  <si>
    <t>Supporting datasets</t>
  </si>
  <si>
    <t>g/kWh</t>
  </si>
  <si>
    <t xml:space="preserve">Figure 1: </t>
  </si>
  <si>
    <t>Biogenic CO2</t>
  </si>
  <si>
    <t>tCO2</t>
  </si>
  <si>
    <r>
      <t>Rail</t>
    </r>
    <r>
      <rPr>
        <sz val="10"/>
        <color theme="0"/>
        <rFont val="Calibri"/>
        <family val="2"/>
        <scheme val="minor"/>
      </rPr>
      <t>_</t>
    </r>
    <r>
      <rPr>
        <sz val="10"/>
        <rFont val="Calibri"/>
        <family val="2"/>
        <scheme val="minor"/>
      </rPr>
      <t>diesel</t>
    </r>
  </si>
  <si>
    <r>
      <t>Rail</t>
    </r>
    <r>
      <rPr>
        <sz val="10"/>
        <color theme="0"/>
        <rFont val="Calibri"/>
        <family val="2"/>
        <scheme val="minor"/>
      </rPr>
      <t>_</t>
    </r>
    <r>
      <rPr>
        <sz val="10"/>
        <rFont val="Calibri"/>
        <family val="2"/>
        <scheme val="minor"/>
      </rPr>
      <t>electric</t>
    </r>
  </si>
  <si>
    <t xml:space="preserve">
</t>
  </si>
  <si>
    <t>Not occuring</t>
  </si>
  <si>
    <t>Road Transport - electric</t>
  </si>
  <si>
    <t>Electricity w/o rail &amp;RT</t>
  </si>
  <si>
    <t>Emission estimates were carried out for field burning sub-category</t>
  </si>
  <si>
    <t>Industrial &amp; Commercial</t>
  </si>
  <si>
    <t>Emission sector</t>
  </si>
  <si>
    <r>
      <t>CO</t>
    </r>
    <r>
      <rPr>
        <b/>
        <vertAlign val="subscript"/>
        <sz val="10"/>
        <rFont val="Calibri"/>
        <family val="2"/>
        <scheme val="minor"/>
      </rPr>
      <t>2</t>
    </r>
    <r>
      <rPr>
        <b/>
        <sz val="10"/>
        <rFont val="Calibri"/>
        <family val="2"/>
        <scheme val="minor"/>
      </rPr>
      <t>e emissions by sector in 2018</t>
    </r>
  </si>
  <si>
    <r>
      <t>Figure 2: CO</t>
    </r>
    <r>
      <rPr>
        <b/>
        <vertAlign val="subscript"/>
        <sz val="10"/>
        <rFont val="Calibri"/>
        <family val="2"/>
        <scheme val="minor"/>
      </rPr>
      <t>2</t>
    </r>
    <r>
      <rPr>
        <b/>
        <sz val="10"/>
        <rFont val="Calibri"/>
        <family val="2"/>
        <scheme val="minor"/>
      </rPr>
      <t>e emissions for Domestic sector split by fuel in 2018</t>
    </r>
  </si>
  <si>
    <r>
      <t>CO</t>
    </r>
    <r>
      <rPr>
        <b/>
        <vertAlign val="subscript"/>
        <sz val="10"/>
        <rFont val="Calibri"/>
        <family val="2"/>
        <scheme val="minor"/>
      </rPr>
      <t>2</t>
    </r>
    <r>
      <rPr>
        <b/>
        <sz val="10"/>
        <rFont val="Calibri"/>
        <family val="2"/>
        <scheme val="minor"/>
      </rPr>
      <t>e emissions for Industrial &amp; Commercial sector split by fuel in 2018</t>
    </r>
  </si>
  <si>
    <t>Figure 3:</t>
  </si>
  <si>
    <t>Figure 4:</t>
  </si>
  <si>
    <r>
      <t>CO</t>
    </r>
    <r>
      <rPr>
        <b/>
        <vertAlign val="subscript"/>
        <sz val="10"/>
        <rFont val="Calibri"/>
        <family val="2"/>
        <scheme val="minor"/>
      </rPr>
      <t>2</t>
    </r>
    <r>
      <rPr>
        <b/>
        <sz val="10"/>
        <rFont val="Calibri"/>
        <family val="2"/>
        <scheme val="minor"/>
      </rPr>
      <t>e emissions for Transport sector in 2018</t>
    </r>
  </si>
  <si>
    <t>Figure 5:</t>
  </si>
  <si>
    <r>
      <t>CO</t>
    </r>
    <r>
      <rPr>
        <b/>
        <vertAlign val="subscript"/>
        <sz val="10"/>
        <rFont val="Calibri"/>
        <family val="2"/>
        <scheme val="minor"/>
      </rPr>
      <t>2</t>
    </r>
    <r>
      <rPr>
        <b/>
        <sz val="10"/>
        <rFont val="Calibri"/>
        <family val="2"/>
        <scheme val="minor"/>
      </rPr>
      <t>e emissions for Industrial Processes &amp; Product Use sector in 2018</t>
    </r>
  </si>
  <si>
    <t>Figure 6:</t>
  </si>
  <si>
    <r>
      <t>CO</t>
    </r>
    <r>
      <rPr>
        <b/>
        <vertAlign val="subscript"/>
        <sz val="10"/>
        <rFont val="Calibri"/>
        <family val="2"/>
        <scheme val="minor"/>
      </rPr>
      <t>2</t>
    </r>
    <r>
      <rPr>
        <b/>
        <sz val="10"/>
        <rFont val="Calibri"/>
        <family val="2"/>
        <scheme val="minor"/>
      </rPr>
      <t>e emissions for Agriculture sector in 2018</t>
    </r>
  </si>
  <si>
    <t xml:space="preserve">Figure 7: </t>
  </si>
  <si>
    <r>
      <t>CO</t>
    </r>
    <r>
      <rPr>
        <b/>
        <vertAlign val="subscript"/>
        <sz val="10"/>
        <rFont val="Calibri"/>
        <family val="2"/>
        <scheme val="minor"/>
      </rPr>
      <t>2</t>
    </r>
    <r>
      <rPr>
        <b/>
        <sz val="10"/>
        <rFont val="Calibri"/>
        <family val="2"/>
        <scheme val="minor"/>
      </rPr>
      <t>e emissions for Waste sector in 2018</t>
    </r>
  </si>
  <si>
    <t>Figure 8:</t>
  </si>
  <si>
    <r>
      <t>Long term trends in CO</t>
    </r>
    <r>
      <rPr>
        <b/>
        <vertAlign val="subscript"/>
        <sz val="10"/>
        <rFont val="Calibri"/>
        <family val="2"/>
        <scheme val="minor"/>
      </rPr>
      <t>2</t>
    </r>
    <r>
      <rPr>
        <b/>
        <sz val="10"/>
        <rFont val="Calibri"/>
        <family val="2"/>
        <scheme val="minor"/>
      </rPr>
      <t>e emissions by sector, 1990 &amp; 2000-2018</t>
    </r>
  </si>
  <si>
    <t>Figure 9:</t>
  </si>
  <si>
    <r>
      <t>Long term trends in CO</t>
    </r>
    <r>
      <rPr>
        <b/>
        <vertAlign val="subscript"/>
        <sz val="10"/>
        <rFont val="Calibri"/>
        <family val="2"/>
        <scheme val="minor"/>
      </rPr>
      <t>2</t>
    </r>
    <r>
      <rPr>
        <b/>
        <sz val="10"/>
        <rFont val="Calibri"/>
        <family val="2"/>
        <scheme val="minor"/>
      </rPr>
      <t>e emissions Domestic sector split by fuel, 1990 &amp; 2000-2018</t>
    </r>
  </si>
  <si>
    <t>Figure 10:</t>
  </si>
  <si>
    <r>
      <t>Long term trends in CO</t>
    </r>
    <r>
      <rPr>
        <b/>
        <vertAlign val="subscript"/>
        <sz val="10"/>
        <rFont val="Calibri"/>
        <family val="2"/>
        <scheme val="minor"/>
      </rPr>
      <t>2</t>
    </r>
    <r>
      <rPr>
        <b/>
        <sz val="10"/>
        <rFont val="Calibri"/>
        <family val="2"/>
        <scheme val="minor"/>
      </rPr>
      <t>e emissions from Industrial &amp; Commercial sector split by fuel, 1990 &amp; 2000-2018</t>
    </r>
  </si>
  <si>
    <t>Figure 11:</t>
  </si>
  <si>
    <r>
      <t>Long term trends in CO</t>
    </r>
    <r>
      <rPr>
        <b/>
        <vertAlign val="subscript"/>
        <sz val="10"/>
        <rFont val="Calibri"/>
        <family val="2"/>
        <scheme val="minor"/>
      </rPr>
      <t>2</t>
    </r>
    <r>
      <rPr>
        <b/>
        <sz val="10"/>
        <rFont val="Calibri"/>
        <family val="2"/>
        <scheme val="minor"/>
      </rPr>
      <t>e emissions from Transport sector , 1990 &amp; 2000-2018</t>
    </r>
  </si>
  <si>
    <t>Figure 12:</t>
  </si>
  <si>
    <r>
      <t>Long term trends in CO</t>
    </r>
    <r>
      <rPr>
        <b/>
        <vertAlign val="subscript"/>
        <sz val="10"/>
        <rFont val="Calibri"/>
        <family val="2"/>
        <scheme val="minor"/>
      </rPr>
      <t>2</t>
    </r>
    <r>
      <rPr>
        <b/>
        <sz val="10"/>
        <rFont val="Calibri"/>
        <family val="2"/>
        <scheme val="minor"/>
      </rPr>
      <t>e emissions from Industrial Processes &amp; Product Use sector, 1990 &amp; 2000-2018</t>
    </r>
  </si>
  <si>
    <t>Figure 13:</t>
  </si>
  <si>
    <r>
      <t>Long term trends in CO</t>
    </r>
    <r>
      <rPr>
        <b/>
        <vertAlign val="subscript"/>
        <sz val="10"/>
        <rFont val="Calibri"/>
        <family val="2"/>
        <scheme val="minor"/>
      </rPr>
      <t>2</t>
    </r>
    <r>
      <rPr>
        <b/>
        <sz val="10"/>
        <rFont val="Calibri"/>
        <family val="2"/>
        <scheme val="minor"/>
      </rPr>
      <t>e emissions from Agriculture sector, 1990 &amp; 2000-2018</t>
    </r>
  </si>
  <si>
    <t>Figure 14:</t>
  </si>
  <si>
    <r>
      <t>Long term trends in CO</t>
    </r>
    <r>
      <rPr>
        <b/>
        <vertAlign val="subscript"/>
        <sz val="10"/>
        <color theme="1"/>
        <rFont val="Calibri"/>
        <family val="2"/>
        <scheme val="minor"/>
      </rPr>
      <t>2</t>
    </r>
    <r>
      <rPr>
        <b/>
        <sz val="10"/>
        <color theme="1"/>
        <rFont val="Calibri"/>
        <family val="2"/>
        <scheme val="minor"/>
      </rPr>
      <t>e emissions from Waste sector</t>
    </r>
  </si>
  <si>
    <r>
      <t>Table 14: Long term trends in CO</t>
    </r>
    <r>
      <rPr>
        <b/>
        <vertAlign val="subscript"/>
        <sz val="10"/>
        <rFont val="Calibri"/>
        <family val="2"/>
        <scheme val="minor"/>
      </rPr>
      <t>2</t>
    </r>
    <r>
      <rPr>
        <b/>
        <sz val="10"/>
        <rFont val="Calibri"/>
        <family val="2"/>
        <scheme val="minor"/>
      </rPr>
      <t>e emissions from Waste sector</t>
    </r>
  </si>
  <si>
    <r>
      <t>Table 13: Long term trends in CO</t>
    </r>
    <r>
      <rPr>
        <b/>
        <vertAlign val="subscript"/>
        <sz val="10"/>
        <rFont val="Calibri"/>
        <family val="2"/>
        <scheme val="minor"/>
      </rPr>
      <t>2</t>
    </r>
    <r>
      <rPr>
        <b/>
        <sz val="10"/>
        <rFont val="Calibri"/>
        <family val="2"/>
        <scheme val="minor"/>
      </rPr>
      <t>e emissions from Agriculture sector, 1990 &amp; 2000-2018</t>
    </r>
  </si>
  <si>
    <r>
      <t>Table 12: Long term trends in CO</t>
    </r>
    <r>
      <rPr>
        <b/>
        <vertAlign val="subscript"/>
        <sz val="10"/>
        <rFont val="Calibri"/>
        <family val="2"/>
        <scheme val="minor"/>
      </rPr>
      <t>2</t>
    </r>
    <r>
      <rPr>
        <b/>
        <sz val="10"/>
        <rFont val="Calibri"/>
        <family val="2"/>
        <scheme val="minor"/>
      </rPr>
      <t>e emissions from Industrial Processes &amp; Product Use sector, 1990 &amp; 2000-2018</t>
    </r>
  </si>
  <si>
    <r>
      <t>Table 11: Long term trends in CO</t>
    </r>
    <r>
      <rPr>
        <b/>
        <vertAlign val="subscript"/>
        <sz val="10"/>
        <rFont val="Calibri"/>
        <family val="2"/>
        <scheme val="minor"/>
      </rPr>
      <t>2</t>
    </r>
    <r>
      <rPr>
        <b/>
        <sz val="10"/>
        <rFont val="Calibri"/>
        <family val="2"/>
        <scheme val="minor"/>
      </rPr>
      <t>e emissions from Transport sector, 1990 &amp; 2000-2018</t>
    </r>
  </si>
  <si>
    <r>
      <t>Table 10: Long term trends in CO</t>
    </r>
    <r>
      <rPr>
        <b/>
        <vertAlign val="subscript"/>
        <sz val="10"/>
        <rFont val="Calibri"/>
        <family val="2"/>
        <scheme val="minor"/>
      </rPr>
      <t>2</t>
    </r>
    <r>
      <rPr>
        <b/>
        <sz val="10"/>
        <rFont val="Calibri"/>
        <family val="2"/>
        <scheme val="minor"/>
      </rPr>
      <t>e emissions from Industrial &amp; Commercial sector split by fuel, 1990 &amp; 2000-2018</t>
    </r>
  </si>
  <si>
    <r>
      <t>Table 9: Long term trends in CO</t>
    </r>
    <r>
      <rPr>
        <b/>
        <vertAlign val="subscript"/>
        <sz val="10"/>
        <rFont val="Calibri"/>
        <family val="2"/>
        <scheme val="minor"/>
      </rPr>
      <t>2</t>
    </r>
    <r>
      <rPr>
        <b/>
        <sz val="10"/>
        <rFont val="Calibri"/>
        <family val="2"/>
        <scheme val="minor"/>
      </rPr>
      <t>e emissions Domestic sector split by fuel, 1990 &amp; 2000-2018</t>
    </r>
  </si>
  <si>
    <r>
      <t>Table 8: Long term trends in CO</t>
    </r>
    <r>
      <rPr>
        <b/>
        <vertAlign val="subscript"/>
        <sz val="10"/>
        <rFont val="Calibri"/>
        <family val="2"/>
        <scheme val="minor"/>
      </rPr>
      <t>2</t>
    </r>
    <r>
      <rPr>
        <b/>
        <sz val="10"/>
        <rFont val="Calibri"/>
        <family val="2"/>
        <scheme val="minor"/>
      </rPr>
      <t>e emissions by sector, 1990 &amp; 2000-2018</t>
    </r>
  </si>
  <si>
    <r>
      <t>Table 7: CO</t>
    </r>
    <r>
      <rPr>
        <b/>
        <vertAlign val="subscript"/>
        <sz val="10"/>
        <rFont val="Calibri"/>
        <family val="2"/>
        <scheme val="minor"/>
      </rPr>
      <t>2</t>
    </r>
    <r>
      <rPr>
        <b/>
        <sz val="10"/>
        <rFont val="Calibri"/>
        <family val="2"/>
        <scheme val="minor"/>
      </rPr>
      <t>e emissions for Waste sector in 2018</t>
    </r>
  </si>
  <si>
    <r>
      <t>Table 6: CO</t>
    </r>
    <r>
      <rPr>
        <b/>
        <vertAlign val="subscript"/>
        <sz val="10"/>
        <rFont val="Calibri"/>
        <family val="2"/>
        <scheme val="minor"/>
      </rPr>
      <t>2</t>
    </r>
    <r>
      <rPr>
        <b/>
        <sz val="10"/>
        <rFont val="Calibri"/>
        <family val="2"/>
        <scheme val="minor"/>
      </rPr>
      <t>e emissions for Agriculture sector in 2018</t>
    </r>
  </si>
  <si>
    <r>
      <t>Table 5: CO</t>
    </r>
    <r>
      <rPr>
        <b/>
        <vertAlign val="subscript"/>
        <sz val="10"/>
        <rFont val="Calibri"/>
        <family val="2"/>
        <scheme val="minor"/>
      </rPr>
      <t>2</t>
    </r>
    <r>
      <rPr>
        <b/>
        <sz val="10"/>
        <rFont val="Calibri"/>
        <family val="2"/>
        <scheme val="minor"/>
      </rPr>
      <t>e emissions for Industrial Processes &amp; Product Use sector in 2018</t>
    </r>
  </si>
  <si>
    <r>
      <t>Table 4: CO</t>
    </r>
    <r>
      <rPr>
        <b/>
        <vertAlign val="subscript"/>
        <sz val="10"/>
        <rFont val="Calibri"/>
        <family val="2"/>
        <scheme val="minor"/>
      </rPr>
      <t>2</t>
    </r>
    <r>
      <rPr>
        <b/>
        <sz val="10"/>
        <rFont val="Calibri"/>
        <family val="2"/>
        <scheme val="minor"/>
      </rPr>
      <t>e emissions for Transport sector in 2018</t>
    </r>
  </si>
  <si>
    <r>
      <t>Table 3: CO</t>
    </r>
    <r>
      <rPr>
        <b/>
        <vertAlign val="subscript"/>
        <sz val="10"/>
        <rFont val="Calibri"/>
        <family val="2"/>
        <scheme val="minor"/>
      </rPr>
      <t>2</t>
    </r>
    <r>
      <rPr>
        <b/>
        <sz val="10"/>
        <rFont val="Calibri"/>
        <family val="2"/>
        <scheme val="minor"/>
      </rPr>
      <t>e emissions for Industrial &amp; Commercial sector split by fuel in 2018</t>
    </r>
  </si>
  <si>
    <r>
      <t>Table 2: CO</t>
    </r>
    <r>
      <rPr>
        <b/>
        <vertAlign val="subscript"/>
        <sz val="10"/>
        <rFont val="Calibri"/>
        <family val="2"/>
        <scheme val="minor"/>
      </rPr>
      <t>2</t>
    </r>
    <r>
      <rPr>
        <b/>
        <sz val="10"/>
        <rFont val="Calibri"/>
        <family val="2"/>
        <scheme val="minor"/>
      </rPr>
      <t>e emissions for Domestic sector split by fuel in 2018</t>
    </r>
  </si>
  <si>
    <r>
      <t>Table 1: CO</t>
    </r>
    <r>
      <rPr>
        <b/>
        <vertAlign val="subscript"/>
        <sz val="10"/>
        <rFont val="Calibri"/>
        <family val="2"/>
        <scheme val="minor"/>
      </rPr>
      <t>2</t>
    </r>
    <r>
      <rPr>
        <b/>
        <sz val="10"/>
        <rFont val="Calibri"/>
        <family val="2"/>
        <scheme val="minor"/>
      </rPr>
      <t>e emissions by sector in 2018</t>
    </r>
  </si>
  <si>
    <r>
      <t>Mt CO</t>
    </r>
    <r>
      <rPr>
        <b/>
        <vertAlign val="subscript"/>
        <sz val="12"/>
        <rFont val="Calibri"/>
        <family val="2"/>
        <scheme val="minor"/>
      </rPr>
      <t>2</t>
    </r>
    <r>
      <rPr>
        <b/>
        <sz val="12"/>
        <rFont val="Calibri"/>
        <family val="2"/>
        <scheme val="minor"/>
      </rPr>
      <t>e</t>
    </r>
  </si>
  <si>
    <r>
      <t>Mt CO</t>
    </r>
    <r>
      <rPr>
        <b/>
        <vertAlign val="subscript"/>
        <sz val="10"/>
        <rFont val="Calibri"/>
        <family val="2"/>
        <scheme val="minor"/>
      </rPr>
      <t>2</t>
    </r>
    <r>
      <rPr>
        <b/>
        <sz val="10"/>
        <rFont val="Calibri"/>
        <family val="2"/>
        <scheme val="minor"/>
      </rPr>
      <t>e</t>
    </r>
  </si>
  <si>
    <t xml:space="preserve">Emission estimates for CO2 &amp; CH4 were provided by the Environment Agency - Pollution Inventory 2018. Emission estimates for N2O were derived using the IPCC Tier 1 Methodology. </t>
  </si>
  <si>
    <t>The LULUCF Sector differs from other sectors in the London Greenhouse Gas Inventory in that it contains both sources and sinks of greenhouse gases. The sources, or emissions to the atmosphere, are given as positive values; the sinks, or removals from the atmosphere, are given as negative values.
CEH prepared LULUCF estimates, which are made using dynamic models of changes in stored carbon, driven by land use change data. For forestry, the model deals with plant carbon, dead organic matter, soil and harvested wood products and is driven by the area of land newly afforested each year, management practices and harvesting. Changes in soil carbon are driven by estimated time series of land use transitions between semi-natural grassland, improved pasture, cropland, forest land and settlement land uses. 
Mapping Carbon Emissions &amp; Removals for the Land Use, Land-Use Change &amp; Forestry Sector, Hannah Clilverd, Gwen Buys, Amanda Thomson, Heath Malcolm, Paul Henshall &amp; Robert Matthews (2020), https://assets.publishing.service.gov.uk/government/uploads/system/uploads/attachment_data/file/812153/LULUCF_Local_Authority_mapping_report_2017.pdf</t>
  </si>
  <si>
    <t>Net CO2</t>
  </si>
  <si>
    <t>Road Transport - fossil fuels</t>
  </si>
  <si>
    <r>
      <t>NRMM (CO</t>
    </r>
    <r>
      <rPr>
        <b/>
        <vertAlign val="subscript"/>
        <sz val="10"/>
        <color indexed="9"/>
        <rFont val="Calibri"/>
        <family val="2"/>
      </rPr>
      <t>2</t>
    </r>
    <r>
      <rPr>
        <b/>
        <sz val="10"/>
        <color indexed="9"/>
        <rFont val="Calibri"/>
        <family val="2"/>
      </rPr>
      <t>e)</t>
    </r>
  </si>
  <si>
    <r>
      <t>IPPU (CO</t>
    </r>
    <r>
      <rPr>
        <b/>
        <vertAlign val="subscript"/>
        <sz val="10"/>
        <color indexed="9"/>
        <rFont val="Calibri"/>
        <family val="2"/>
      </rPr>
      <t>2</t>
    </r>
    <r>
      <rPr>
        <b/>
        <sz val="10"/>
        <color indexed="9"/>
        <rFont val="Calibri"/>
        <family val="2"/>
      </rPr>
      <t>e)</t>
    </r>
  </si>
  <si>
    <r>
      <t>Waste (CO</t>
    </r>
    <r>
      <rPr>
        <b/>
        <vertAlign val="subscript"/>
        <sz val="10"/>
        <color indexed="9"/>
        <rFont val="Calibri"/>
        <family val="2"/>
      </rPr>
      <t>2</t>
    </r>
    <r>
      <rPr>
        <b/>
        <sz val="10"/>
        <color indexed="9"/>
        <rFont val="Calibri"/>
        <family val="2"/>
      </rPr>
      <t>e)</t>
    </r>
  </si>
  <si>
    <r>
      <t>Agriculture (CO</t>
    </r>
    <r>
      <rPr>
        <b/>
        <vertAlign val="subscript"/>
        <sz val="10"/>
        <color indexed="9"/>
        <rFont val="Calibri"/>
        <family val="2"/>
      </rPr>
      <t>2</t>
    </r>
    <r>
      <rPr>
        <b/>
        <sz val="10"/>
        <color indexed="9"/>
        <rFont val="Calibri"/>
        <family val="2"/>
      </rPr>
      <t>e)</t>
    </r>
  </si>
  <si>
    <t>Stationary - agriculture</t>
  </si>
  <si>
    <t>1.A.4.c.ii</t>
  </si>
  <si>
    <t>Stationary - forestry</t>
  </si>
  <si>
    <t>1.A.5.ai</t>
  </si>
  <si>
    <t>1.A.5.aii</t>
  </si>
  <si>
    <t>Unallocated</t>
  </si>
  <si>
    <t>N/A</t>
  </si>
  <si>
    <t>1.A.2.a</t>
  </si>
  <si>
    <t>EfW (Incineration and open burning)</t>
  </si>
  <si>
    <t xml:space="preserve">LEGGI provides estimates for sector specific greenhouse gases:
I. Energy:
    a. Stationary energy
    b. Transport energy
II.  Industrial processes and product use (IPPU)
III. Agriculture, forestry, and other land use (AFOLU)
IV. Waste
V. Other
</t>
  </si>
  <si>
    <r>
      <t>LEGGI estimates the quantity of emitted greenhouse gases (GHGs) to the atmosphere, these are:
- Carbon Dioxide (CO</t>
    </r>
    <r>
      <rPr>
        <vertAlign val="subscript"/>
        <sz val="11"/>
        <color theme="1"/>
        <rFont val="Calibri"/>
        <family val="2"/>
        <scheme val="minor"/>
      </rPr>
      <t>2</t>
    </r>
    <r>
      <rPr>
        <sz val="11"/>
        <color theme="1"/>
        <rFont val="Calibri"/>
        <family val="2"/>
        <scheme val="minor"/>
      </rPr>
      <t>), 
- Methane (CH</t>
    </r>
    <r>
      <rPr>
        <vertAlign val="subscript"/>
        <sz val="11"/>
        <color theme="1"/>
        <rFont val="Calibri"/>
        <family val="2"/>
        <scheme val="minor"/>
      </rPr>
      <t>4</t>
    </r>
    <r>
      <rPr>
        <sz val="11"/>
        <color theme="1"/>
        <rFont val="Calibri"/>
        <family val="2"/>
        <scheme val="minor"/>
      </rPr>
      <t>),
- Nitrous Oxide (N</t>
    </r>
    <r>
      <rPr>
        <vertAlign val="subscript"/>
        <sz val="11"/>
        <color theme="1"/>
        <rFont val="Calibri"/>
        <family val="2"/>
        <scheme val="minor"/>
      </rPr>
      <t>2</t>
    </r>
    <r>
      <rPr>
        <sz val="11"/>
        <color theme="1"/>
        <rFont val="Calibri"/>
        <family val="2"/>
        <scheme val="minor"/>
      </rPr>
      <t>O), 
- Hydrofluorocarbons (HFCs), 
- Perfluorocarbons (PFCs), 
- Nitrogen Trifluoride (NF</t>
    </r>
    <r>
      <rPr>
        <vertAlign val="subscript"/>
        <sz val="11"/>
        <color theme="1"/>
        <rFont val="Calibri"/>
        <family val="2"/>
        <scheme val="minor"/>
      </rPr>
      <t>3</t>
    </r>
    <r>
      <rPr>
        <sz val="11"/>
        <color theme="1"/>
        <rFont val="Calibri"/>
        <family val="2"/>
        <scheme val="minor"/>
      </rPr>
      <t>), 
- Sulphur Hexafluoride (SF</t>
    </r>
    <r>
      <rPr>
        <vertAlign val="subscript"/>
        <sz val="11"/>
        <color theme="1"/>
        <rFont val="Calibri"/>
        <family val="2"/>
        <scheme val="minor"/>
      </rPr>
      <t>6</t>
    </r>
    <r>
      <rPr>
        <sz val="11"/>
        <color theme="1"/>
        <rFont val="Calibri"/>
        <family val="2"/>
        <scheme val="minor"/>
      </rPr>
      <t xml:space="preserve">).
</t>
    </r>
  </si>
  <si>
    <t>Energy - Transport combustion</t>
  </si>
  <si>
    <t>The EU Emissions Trading Registry is governed by European Commission Regulation 389/2013 which deems that all holdings are deemed confidential and sales and purchases of credits are confidential for 3 years.</t>
  </si>
  <si>
    <t>Permit ID</t>
  </si>
  <si>
    <t>Operator Name</t>
  </si>
  <si>
    <t>Installation Name</t>
  </si>
  <si>
    <t>Annex I Activity</t>
  </si>
  <si>
    <t>Status</t>
  </si>
  <si>
    <t>Installation Category</t>
  </si>
  <si>
    <t>Emitter Type</t>
  </si>
  <si>
    <t>Report Year</t>
  </si>
  <si>
    <t>UK-E-IN-11711</t>
  </si>
  <si>
    <t>Heathrow Airport Limited</t>
  </si>
  <si>
    <t>Heathrow Airport Fixed Combustion Assets</t>
  </si>
  <si>
    <t>Combustion</t>
  </si>
  <si>
    <t>Live</t>
  </si>
  <si>
    <t>UK-E-IN-11895</t>
  </si>
  <si>
    <t>Barking, Havering and Redbridge Hospitals NHS Trust</t>
  </si>
  <si>
    <t>PFI Hospital</t>
  </si>
  <si>
    <t>UK-E-IN-11898</t>
  </si>
  <si>
    <t>Skanska Rashleigh Weatherfoil Limited</t>
  </si>
  <si>
    <t>Royal London Hospital, Whitechapel</t>
  </si>
  <si>
    <t>Hospital Opt Out</t>
  </si>
  <si>
    <t>UK-E-IN-11788</t>
  </si>
  <si>
    <t>British Airways plc</t>
  </si>
  <si>
    <t>BRITISH AIRWAYS HEATHROW MAINTENANCE BASE</t>
  </si>
  <si>
    <t>UK-E-IN-11836</t>
  </si>
  <si>
    <t>Royal Free London NHS Foundation Trust</t>
  </si>
  <si>
    <t>Royal Free Hospital</t>
  </si>
  <si>
    <t>UK-E-IN-11596</t>
  </si>
  <si>
    <t>Bloomsbury Heat &amp; Power Limited</t>
  </si>
  <si>
    <t>Bloomsbury Heat &amp; Power</t>
  </si>
  <si>
    <t>Small Emitter Opt Out</t>
  </si>
  <si>
    <t>UK-E-IN-11613</t>
  </si>
  <si>
    <t>Thames Water Utilities Limited</t>
  </si>
  <si>
    <t>Incineration &amp; Generation Facilities - Crossness</t>
  </si>
  <si>
    <t>UK-E-IN-11611</t>
  </si>
  <si>
    <t>Generation &amp; Sludge Heating Facilities - Mogden</t>
  </si>
  <si>
    <t>UK-E-IN-12010</t>
  </si>
  <si>
    <t>East London Energy Limited</t>
  </si>
  <si>
    <t>Kings Yard CCHP Energy Centre</t>
  </si>
  <si>
    <t>UK-E-IN-11827</t>
  </si>
  <si>
    <t>Chelsea &amp; Westminster Hospital NHS Foundation Trust</t>
  </si>
  <si>
    <t>Chelsea &amp; Westminster Hospital</t>
  </si>
  <si>
    <t>UK-E-IN-11860</t>
  </si>
  <si>
    <t>Kingston Hospital NHS Foundation Trust</t>
  </si>
  <si>
    <t>Kingston Hospital Engineering Services</t>
  </si>
  <si>
    <t>UK-E-IN-11980</t>
  </si>
  <si>
    <t>Imperial College Healthcare NHS Trust</t>
  </si>
  <si>
    <t>Hammersmith Hospital Energy Centre</t>
  </si>
  <si>
    <t>UK-E-IN-11944</t>
  </si>
  <si>
    <t>Barclays Services Limited</t>
  </si>
  <si>
    <t>Barclays Capital - Northolt</t>
  </si>
  <si>
    <t>UK-E-IN-11969</t>
  </si>
  <si>
    <t>Whitetower Energy Limited</t>
  </si>
  <si>
    <t>Croydon Energy</t>
  </si>
  <si>
    <t>UK-E-IN-11979</t>
  </si>
  <si>
    <t>Charing Cross Boilerhouse</t>
  </si>
  <si>
    <t>UK-E-IN-11894</t>
  </si>
  <si>
    <t>CityWest Homes Limited</t>
  </si>
  <si>
    <t>PDHU PUMP HOUSE</t>
  </si>
  <si>
    <t>Transferred</t>
  </si>
  <si>
    <t>UK-E-IN-11771</t>
  </si>
  <si>
    <t>Guys and St Thomas'  Hospital NHS Trust</t>
  </si>
  <si>
    <t>Guys Hospital</t>
  </si>
  <si>
    <t>UK-E-IN-11943</t>
  </si>
  <si>
    <t>Barclays Capital - 5 North Colonnade</t>
  </si>
  <si>
    <t>UK-E-IN-11612</t>
  </si>
  <si>
    <t>Generation &amp; Sludge Heating Facilities - Deephams</t>
  </si>
  <si>
    <t>UK-E-IN-11398</t>
  </si>
  <si>
    <t>Epsom &amp; St Helier University Hospitals NHS Trust</t>
  </si>
  <si>
    <t>St. Helier Hospital Engineering Installations</t>
  </si>
  <si>
    <t>Awaiting Surrender</t>
  </si>
  <si>
    <t>UK-E-IN-11877</t>
  </si>
  <si>
    <t>Barclays Bank PLC</t>
  </si>
  <si>
    <t>Barclays Head Office</t>
  </si>
  <si>
    <t>UK-E-IN-11779</t>
  </si>
  <si>
    <t>Archer Daniels Midland Erith Ltd</t>
  </si>
  <si>
    <t>B</t>
  </si>
  <si>
    <t>UK-E-IN-11910</t>
  </si>
  <si>
    <t>British Telecommunications PLC</t>
  </si>
  <si>
    <t>BT Tower, London</t>
  </si>
  <si>
    <t>UK-E-IN-12045</t>
  </si>
  <si>
    <t>CANARY WHARF GROUP PLC</t>
  </si>
  <si>
    <t>HQ3 Boilers and Generators</t>
  </si>
  <si>
    <t>UK-E-IN-11814</t>
  </si>
  <si>
    <t>King George Hospital</t>
  </si>
  <si>
    <t>Surrendered</t>
  </si>
  <si>
    <t>UK-E-IN-12011</t>
  </si>
  <si>
    <t>Stratford CCHP Energy Centre</t>
  </si>
  <si>
    <t>UK-E-IN-11770</t>
  </si>
  <si>
    <t>St. Thomas' Hospital</t>
  </si>
  <si>
    <t>UK-E-IN-11989</t>
  </si>
  <si>
    <t>Generation and Heating Facilities - Beckton</t>
  </si>
  <si>
    <t>UK-E-IN-11647</t>
  </si>
  <si>
    <t>SSE Generation Limited</t>
  </si>
  <si>
    <t>Bromley Princess Royal Hospital Energy Centre</t>
  </si>
  <si>
    <t>UK-E-IN-11787</t>
  </si>
  <si>
    <t>Great Ormond Street Hospital for Children NHS Trust</t>
  </si>
  <si>
    <t>UK-E-IN-12036</t>
  </si>
  <si>
    <t>T&amp;L Sugars Limited</t>
  </si>
  <si>
    <t>Tate and Lyle Sugars</t>
  </si>
  <si>
    <t>UK-E-IN-11730</t>
  </si>
  <si>
    <t>The Natural History Museum</t>
  </si>
  <si>
    <t>Central Boilerhouse - District Heating</t>
  </si>
  <si>
    <t>UK-E-IN-11766</t>
  </si>
  <si>
    <t>Ford Motor Company Limited</t>
  </si>
  <si>
    <t>Main Boiler House - Dagenham</t>
  </si>
  <si>
    <t>UK-E-IN-11951</t>
  </si>
  <si>
    <t>Allen &amp; Overy LLP</t>
  </si>
  <si>
    <t>UK-E-IN-12037</t>
  </si>
  <si>
    <t>University College London</t>
  </si>
  <si>
    <t>Gower Street Heat &amp; Power</t>
  </si>
  <si>
    <t>UK-E-IN-11854</t>
  </si>
  <si>
    <t>St George's University Hospitals NHS Foundation Trust</t>
  </si>
  <si>
    <t>St Georges Hospital</t>
  </si>
  <si>
    <t>UK-E-IN-12005</t>
  </si>
  <si>
    <t>Veolia Energy &amp; Utility Services UK PLC</t>
  </si>
  <si>
    <t>Kings College Hospital</t>
  </si>
  <si>
    <t>Hospital Provider Opt Out</t>
  </si>
  <si>
    <t>UK-E-IN-11833</t>
  </si>
  <si>
    <t>Harmondsworth Computer Centre</t>
  </si>
  <si>
    <t>UK-E-IN-12067</t>
  </si>
  <si>
    <t>Generation and Sludge Heating Facilities - Riverside</t>
  </si>
  <si>
    <t>UK-E-IN-12574</t>
  </si>
  <si>
    <t>Barclays Capital  - 10 South Colonnade</t>
  </si>
  <si>
    <t>0.000000000000000</t>
  </si>
  <si>
    <t>UK-E-IN-12588</t>
  </si>
  <si>
    <t>St Barts Hospital</t>
  </si>
  <si>
    <t>UK-E-IN-12637</t>
  </si>
  <si>
    <t>Tarmac Trading Limited</t>
  </si>
  <si>
    <t>Hayes Asphalt</t>
  </si>
  <si>
    <t>UK-E-IN-12662</t>
  </si>
  <si>
    <t>Hanson Quarry Products Europe Ltd</t>
  </si>
  <si>
    <t>Dagenham</t>
  </si>
  <si>
    <t>UK-E-IN-12668</t>
  </si>
  <si>
    <t>West Drayton</t>
  </si>
  <si>
    <t>UK-E-IN-12691</t>
  </si>
  <si>
    <t>Eurovia Infrastructure Limited</t>
  </si>
  <si>
    <t>Eurovia Roadstone</t>
  </si>
  <si>
    <t>UK-E-IN-12705</t>
  </si>
  <si>
    <t>Aggregate Industries UK Limited</t>
  </si>
  <si>
    <t>UK-E-IN-12734</t>
  </si>
  <si>
    <t>Sky Limited</t>
  </si>
  <si>
    <t>Osterley Main Site</t>
  </si>
  <si>
    <t>UK-E-IN-12777</t>
  </si>
  <si>
    <t>JPMorgan Chase Bank, National Association</t>
  </si>
  <si>
    <t>JPM - 25 Bank Street</t>
  </si>
  <si>
    <t>UK-E-IN-12791</t>
  </si>
  <si>
    <t>Nomura International plc</t>
  </si>
  <si>
    <t>1AL Backup Generators</t>
  </si>
  <si>
    <t>UK-E-IN-12916</t>
  </si>
  <si>
    <t>ISDC Developments (No2) Limited</t>
  </si>
  <si>
    <t>Romford North</t>
  </si>
  <si>
    <t>UK-E-IN-12922</t>
  </si>
  <si>
    <t>Barts Health NHS Trust</t>
  </si>
  <si>
    <t>Whipps Cross Hospital</t>
  </si>
  <si>
    <t>UK-E-IN-12926</t>
  </si>
  <si>
    <t>ENGIE FM Limited</t>
  </si>
  <si>
    <t>Whitehall District Heating Scheme</t>
  </si>
  <si>
    <t>UK-E-IN-12927</t>
  </si>
  <si>
    <t>London Underground Limited</t>
  </si>
  <si>
    <t>Greenwich Generating Station</t>
  </si>
  <si>
    <t>UK-E-IN-12931</t>
  </si>
  <si>
    <t>Vodafone Limited</t>
  </si>
  <si>
    <t>Park Royal Data Centre</t>
  </si>
  <si>
    <t>UK-E-IN-12932</t>
  </si>
  <si>
    <t>Interxion Carrier Hotel Limited</t>
  </si>
  <si>
    <t>Interxion London Campus</t>
  </si>
  <si>
    <t>UK-E-IN-13013</t>
  </si>
  <si>
    <t>Clifford Chance LLP</t>
  </si>
  <si>
    <t>Clifford Chance - London</t>
  </si>
  <si>
    <t>UK-E-IN-13015</t>
  </si>
  <si>
    <t>EXCEL District Energy Company Limited</t>
  </si>
  <si>
    <t>UK-E-IN-13018</t>
  </si>
  <si>
    <t>Thomson Reuters Group Limited</t>
  </si>
  <si>
    <t>Thomson Reuters DTC</t>
  </si>
  <si>
    <t>UK-E-IN-13026</t>
  </si>
  <si>
    <t>Interserve (Facilities Management) Ltd</t>
  </si>
  <si>
    <t>White City Place</t>
  </si>
  <si>
    <t>UK-E-IN-13027</t>
  </si>
  <si>
    <t>Primary Energy Plant</t>
  </si>
  <si>
    <t>UK-E-IN-13036</t>
  </si>
  <si>
    <t>Digital Realty (UK) Limited</t>
  </si>
  <si>
    <t>LGW13 Backup Generators</t>
  </si>
  <si>
    <t>UK-E-IN-13050</t>
  </si>
  <si>
    <t>Colt Data Centre Services UK Limited</t>
  </si>
  <si>
    <t>Colt - Powergate</t>
  </si>
  <si>
    <t>UK-E-IN-13112</t>
  </si>
  <si>
    <t>Bank of America N.A</t>
  </si>
  <si>
    <t>King Edward Buildings</t>
  </si>
  <si>
    <t>UK-E-IN-13114</t>
  </si>
  <si>
    <t>Citigen (London) Ltd</t>
  </si>
  <si>
    <t>Citigen CHP Plant</t>
  </si>
  <si>
    <t>UK-E-IN-13233</t>
  </si>
  <si>
    <t>LONDON NORTH WEST HEALTHCARE NHS TRUST</t>
  </si>
  <si>
    <t>NORTHWICK PARK &amp; ST MARKS HOSPITALS</t>
  </si>
  <si>
    <t>UK-E-IN-13238</t>
  </si>
  <si>
    <t>University College London Hospitals NHS Foundation Trust</t>
  </si>
  <si>
    <t>University College Hospital</t>
  </si>
  <si>
    <t>UK-E-IN-13255</t>
  </si>
  <si>
    <t>Imperial College of Science, Technology and Medicine</t>
  </si>
  <si>
    <t>Imperial College London SK CHP</t>
  </si>
  <si>
    <t>UK-E-IN-13305</t>
  </si>
  <si>
    <t>UBS AG</t>
  </si>
  <si>
    <t>5BG</t>
  </si>
  <si>
    <t>UK-E-IN-13311</t>
  </si>
  <si>
    <t>Uniper UK Limited</t>
  </si>
  <si>
    <t>Enfield Power Station</t>
  </si>
  <si>
    <t>UK-E-IN-13313</t>
  </si>
  <si>
    <t>Taylors Lane Power Station</t>
  </si>
  <si>
    <t>UK-E-IN-13314</t>
  </si>
  <si>
    <t>LHR13 - Back Up Generators</t>
  </si>
  <si>
    <t>UK-E-IN-13342</t>
  </si>
  <si>
    <t>20 Fenchurch Street Limited Partnership</t>
  </si>
  <si>
    <t>20 Fenchurch Street</t>
  </si>
  <si>
    <t>UK-E-IN-13352</t>
  </si>
  <si>
    <t>Centurylink Communications UK Limited.</t>
  </si>
  <si>
    <t>Centurylink Communications UK Limited</t>
  </si>
  <si>
    <t>UK-E-IN-13366</t>
  </si>
  <si>
    <t>VIRTUS HAYES LIMITED</t>
  </si>
  <si>
    <t>UK-E-IN-13374</t>
  </si>
  <si>
    <t>Global Switch Limited</t>
  </si>
  <si>
    <t>UK-E-IN-13377</t>
  </si>
  <si>
    <t>TelecityGroup UK Limited</t>
  </si>
  <si>
    <t>Equinix-Telecity</t>
  </si>
  <si>
    <t>UK-E-IN-13388</t>
  </si>
  <si>
    <t>DIGITAL LONDON LIMITED</t>
  </si>
  <si>
    <t>Oliver's Yard - LHR18</t>
  </si>
  <si>
    <t>UK-E-IN-13389</t>
  </si>
  <si>
    <t>LON3</t>
  </si>
  <si>
    <t>UK-E-IN-13423</t>
  </si>
  <si>
    <t>UK Power Reserve Limited</t>
  </si>
  <si>
    <t>Tottenham Power Station</t>
  </si>
  <si>
    <t>UK-E-IN-13427</t>
  </si>
  <si>
    <t>Victoria Circle Limited Partnership</t>
  </si>
  <si>
    <t>NOVA Victoria</t>
  </si>
  <si>
    <t>UK-E-IN-13441</t>
  </si>
  <si>
    <t>CIB Properties Ltd</t>
  </si>
  <si>
    <t>Citigroup Centre</t>
  </si>
  <si>
    <t>UK-E-IN-13442</t>
  </si>
  <si>
    <t>Riverdale Data Centre</t>
  </si>
  <si>
    <t>UK-E-IN-13457</t>
  </si>
  <si>
    <t>The Francis Crick Institute Limited</t>
  </si>
  <si>
    <t>Francis Crick</t>
  </si>
  <si>
    <t>UK-E-IN-13458</t>
  </si>
  <si>
    <t>Telehouse International Corporation of Europe Ltd</t>
  </si>
  <si>
    <t>Telehouse London</t>
  </si>
  <si>
    <t>UK-E-IN-13527</t>
  </si>
  <si>
    <t>BNP Paribas Real Estate Advisory &amp; Property Management UK Limited</t>
  </si>
  <si>
    <t>20 Canada Square Generators</t>
  </si>
  <si>
    <t>UK-E-IN-13532</t>
  </si>
  <si>
    <t>UBS Business Solutions AG, UK Branch</t>
  </si>
  <si>
    <t>Hayes Data Centre</t>
  </si>
  <si>
    <t>UK-E-IN-13535</t>
  </si>
  <si>
    <t>Zenium UK2 Limited</t>
  </si>
  <si>
    <t>Zenium - London Two</t>
  </si>
  <si>
    <t>UK-E-IN-13539</t>
  </si>
  <si>
    <t>Morgan Stanley UK Group</t>
  </si>
  <si>
    <t>20 Bank Street - Standby Generators</t>
  </si>
  <si>
    <t>UK-E-IN-13544</t>
  </si>
  <si>
    <t>Croydon Data Centre - Standby Generators</t>
  </si>
  <si>
    <t>UK-E-IN-13545</t>
  </si>
  <si>
    <t>Heathrow Data Centre - Standby Generators</t>
  </si>
  <si>
    <t>UK-E-IN-13550</t>
  </si>
  <si>
    <t>Jones Lang LaSalle Limited</t>
  </si>
  <si>
    <t>25 Cabot Square Canary Wharf</t>
  </si>
  <si>
    <t>UK-E-IN-13617</t>
  </si>
  <si>
    <t>WSDS</t>
  </si>
  <si>
    <t>UK-E-IN-13625</t>
  </si>
  <si>
    <t>Virtus LONDON 5 Limited</t>
  </si>
  <si>
    <t>UK-E-IN-13645</t>
  </si>
  <si>
    <t>Mollison Avenue Power Station</t>
  </si>
  <si>
    <t>Total Reportable Emissions (Tonnes CO2)</t>
  </si>
  <si>
    <t xml:space="preserve">
The Global Protocol for community-scale Greenhouse Gas Emission Inventories (GPC)</t>
  </si>
  <si>
    <t>Summary table for the city-wide GHG emissions according to the requirements of the Global Protocol for Community-scale 
Greenhouse Gas Emission Inventories (GPC).</t>
  </si>
  <si>
    <t>Information required under the Global Covenant of Mayors Common Reporting Framework (GCoM CRF)</t>
  </si>
  <si>
    <t>Sectors and sub-sectors</t>
  </si>
  <si>
    <t>Definition</t>
  </si>
  <si>
    <t>Stationary energy</t>
  </si>
  <si>
    <t>Commercial buildings</t>
  </si>
  <si>
    <t>Institutional buildings</t>
  </si>
  <si>
    <t xml:space="preserve">Agriculture, forestry, and fishing activities </t>
  </si>
  <si>
    <t>Includes all intentional and unintentional emissions from the extraction, processing, storage and transport of fuel in the city</t>
  </si>
  <si>
    <t>Fugitive emissions from all oil and natural gas activities occurring in the city. The primary sources of these emissions may include fugitive equipment leaks, evaporation losses, venting, flaring and accidental releases.</t>
  </si>
  <si>
    <t>City transportation systems are designed to move people and goods within and beyond city borders. Transport vehicles and mobile equipment or machinery produce GHG emissions directly by combusting fuel or indirectly by consuming grid-delivered electricity.</t>
  </si>
  <si>
    <t>On-road</t>
  </si>
  <si>
    <t>Railways typically use energy through combustion of diesel fuels or electricity. Railways can be divided into four sub-categories: urban railway subway systems inc. trams, regional commuter rail  national rail and international rail. Each can be further classified as passenger or freight.</t>
  </si>
  <si>
    <t>Water transportation includes ships, ferries, and other boats operating within the city boundary, as well as marine-vessels whose journeys originate or end at ports within the city’s boundary but travel to destinations outside of the city.</t>
  </si>
  <si>
    <t>Civil aviation, or air travel, includes emissions from airborne trips occurring within the geographic boundary (e.g., helicopters operating within the city) and emissions from flights departing airports that serve the city</t>
  </si>
  <si>
    <t>Off-road</t>
  </si>
  <si>
    <t xml:space="preserve">Off-road vehicles are those designed or adapted for travel on unpaved terrain. This category typically includes airport ground support equipment, all-terrain vehicles, landscaping and construction equipment, bulldozers, forklifts, snowmobiles etc. </t>
  </si>
  <si>
    <t>Waste disposal and treatment produces GHG emissions through aerobic or anaerobic decomposition, or incineration.</t>
  </si>
  <si>
    <t>The biological treatment of waste refers to composting and anaerobic digestion of organic waste, such as food waste, garden and park waste, sludge, and other organic waste sources.</t>
  </si>
  <si>
    <t>Incineration is a controlled, industrial process, often with energy recovery where inputs and emissions can be measured and data is often available. By contrast, open burning is an uncontrolled, often illicit process with different emissions and can typically only be estimated based on collection rates.</t>
  </si>
  <si>
    <t>Wastewater can be treated aerobically (in presence of oxygen) or anaerobically (in absence of oxygen). Wastewater can generally be categorized as domestic wastewater or industrial wastewater, and cities must report emissions from both.</t>
  </si>
  <si>
    <t>Industrial processes and product use</t>
  </si>
  <si>
    <t>GHG emissions resulting from non-energy related industrial activities and product uses. All GHG emissions occurring from industrial processes, product use, and non-energy uses of fossil fuel, shall be reported under IPPU.</t>
  </si>
  <si>
    <t>Products such as refrigerants, foams or aerosol cans can release potent GHG emissions</t>
  </si>
  <si>
    <t>GHG emissions are produced through a variety of pathways, including land-use change  that alter the composition of the soil, methane produced in the digestive processes of livestock, and nutrient management for agricultural purposes.</t>
  </si>
  <si>
    <t>Livestock production emits CH4 through enteric fermentation, and both CH4 and N2O through management of their manure.</t>
  </si>
  <si>
    <t>Emissions and removals of CO2 are based on changes in ecosystem C stocks and are estimated for each land-use category. C stocks consist of above-ground and below-ground biomass, dead organic matter, and soil organic matter.</t>
  </si>
  <si>
    <t>Other agriculture</t>
  </si>
  <si>
    <t>Other sources of GHG emissions from land include rice cultivation, fertilizer use, liming, and urea application.</t>
  </si>
  <si>
    <t xml:space="preserve">LEGGI provides the estimates for direct and indirect emissions.
• Direct emissions (Scope 1) physically occur within the city boundary. These include emissions related to fuel combustion and fugitive emissions.
• Indirect emissions (Scope 2) are calculated from the consumption of grid-supplied energy (electricity, heat or cold) within the city boundary.  Depending on where energy is generated, these emissions may physically occur inside or outside the city boundary. 
•  All other GHG emissions (Scope 3) that occur outside the city boundary as a result of activities taking places within the city boundary. 
</t>
  </si>
  <si>
    <t xml:space="preserve">Energy - Stationary </t>
  </si>
  <si>
    <t>This category includes all GHG emissions arising from combustion and fugitive releases of fuels</t>
  </si>
  <si>
    <t>GHG emissions from energy use in households</t>
  </si>
  <si>
    <t>GHG emissions from energy use in commercial buildings and facilities</t>
  </si>
  <si>
    <t>Public administration buildings</t>
  </si>
  <si>
    <t>GHG emissions from energy use in industrial facilities and construction activities, except those included in energy industries sub-sector. This also includes combustion for the generation of electricity and heat for own use in these industries</t>
  </si>
  <si>
    <t xml:space="preserve">GHG emissions from energy production and use in energy industries </t>
  </si>
  <si>
    <t xml:space="preserve">GHG emissions from energy use in agriculture, forestry, and fishing activities </t>
  </si>
  <si>
    <t>Aggregates</t>
  </si>
  <si>
    <t>Description of method</t>
  </si>
  <si>
    <t xml:space="preserve">GHG emissions from energy use in public buildings </t>
  </si>
  <si>
    <t xml:space="preserve">GHG emissions from energy use in public buildings such as schools, hospitals, government offices,  and other public facilities </t>
  </si>
  <si>
    <t xml:space="preserve">GHG emissions from energy production were estimated for Major and minor energy generators in the UK NAEI point sources dataset. </t>
  </si>
  <si>
    <t>UK NAEI Point Sources</t>
  </si>
  <si>
    <t>Environment Agency dataset</t>
  </si>
  <si>
    <t>Environment Agency dataset - Pollution Inventory</t>
  </si>
  <si>
    <t>Incineration of MSW</t>
  </si>
  <si>
    <t>Incineration of clinical waste</t>
  </si>
  <si>
    <t>Incineration of sludge</t>
  </si>
  <si>
    <t xml:space="preserve">GHG emissions from incineration of sludge were estimated in the Pollution Inventory. </t>
  </si>
  <si>
    <t xml:space="preserve">GHG emissions from incineration of clinical waste were estimated in the Pollution Inventory. </t>
  </si>
  <si>
    <t xml:space="preserve">This category includes emissions from vehicles such as buses, cars, taxis, trucks, motorcycles, on-road waste collection and transportation vehicles (e.g. compactor trucks), etc. </t>
  </si>
  <si>
    <t>LAEI datasets</t>
  </si>
  <si>
    <t xml:space="preserve">GHG emissions from fuel use in civil aviation (i.e. domestic and international flights and aircrafts in the landing and take-off flight phases up to 1,000m) and management of airports (including airside support vehicles, stationary heating and auxiliary power units, etc) at London Heathrow, London City, Battersea, Biggin Hill, Denham, Elstree, Lippits Hill, Northolt and Stapleford airports. Heathrow &amp; City airports emissions have been estimated based on LAEI 2016 emissions scaled up to 2017 using CAA Growth 2016/17.  Other smaller airports remain the same as LEGGI 2014. </t>
  </si>
  <si>
    <t xml:space="preserve">GHG emissions from domestic and international shipping/marine vessels operating on the River Thames  in Greater London are based on 2016 shipping emissions estimates by Port of London Authority which were scaled to 2018 using activity data. </t>
  </si>
  <si>
    <t>The Port of London emissions inventory</t>
  </si>
  <si>
    <t xml:space="preserve">GHG emissions were estimated from fuel use by NRMM used in Manufacturing Industries, construction and at the airports (including airside support vehicles, stationary heating and auxiliary power units, etc) and the relevant Emission Factors. </t>
  </si>
  <si>
    <t>2016 and 2018</t>
  </si>
  <si>
    <t xml:space="preserve">GHG emissions are produced from a wide variety of industrial activities. The main emission sources are releases from industrial processes that chemically or physically transform materials. </t>
  </si>
  <si>
    <t>Not Estimated</t>
  </si>
  <si>
    <t xml:space="preserve">UK Greenhouse Gas Inventory, 1990 to 2018: Annual Report for Submission under the Framework Convention on Climate Change can be accessed https://uk-air.defra.gov.uk/assets/documents/reports/cat09/2004231028_ukghgi-90-18_Main_v02-00.pdf </t>
  </si>
  <si>
    <t xml:space="preserve">Agriculture emissions were extracted from the UK GHG emission inventory for the LEGGI area for   the IPCC sub-categories. The agricultural emission estimates of CH4 and N2O are derived using a statistical approach to estimate local emissions by combining high-resolution agricultural statistics (at a parish level) with land cover data, agricultural practice information and emission factors. 
</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</si>
  <si>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</si>
  <si>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Fuels/Activity</t>
  </si>
  <si>
    <t xml:space="preserve">A managed solid waste disposal site must have controlled
placement of waste (i.e. waste directed to specific deposition areas, a degree of control of scavenging and fires) and will include at least one of the following: cover material; mechanical compaction; or leveling of the waste. </t>
  </si>
  <si>
    <t xml:space="preserve">IPCC  methodology was used to estimate: CO2(fossil) based on an estimate of the fossil carbon content in the waste combusted; CO2(biogenic) based on the organic content in the waste combusted and CH4 &amp; N2O emissions which are a result of incomplete combustion. </t>
  </si>
  <si>
    <t>Environment Agency waste data</t>
  </si>
  <si>
    <t xml:space="preserve">Pollution Inventory data use for CO2 and CH4. </t>
  </si>
  <si>
    <t>Biological treatment</t>
  </si>
  <si>
    <t>Waste disposal to landfill</t>
  </si>
  <si>
    <t>IPCC - First order decay method used to estimate emissions</t>
  </si>
  <si>
    <t xml:space="preserve">IPCC Methodology was used to derive emission estimates. 
Activity Data provided by the Environment Agency </t>
  </si>
  <si>
    <t>Combustion of waste</t>
  </si>
  <si>
    <t xml:space="preserve">Agriculture emissions were extracted from the UK GHG emission inventory for the LEGGI area for the IPCC sub-categories. The agricultural emission estimates of CH4 and N2O are derived using a statistical approach to estimate local emissions by combining high-resolution agricultural statistics (at a parish level) with land cover data, agricultural practice information and emission factors. 
</t>
  </si>
  <si>
    <t>IPCC Code 1.B.2.b.iii.5</t>
  </si>
  <si>
    <r>
      <t>CH</t>
    </r>
    <r>
      <rPr>
        <b/>
        <vertAlign val="subscript"/>
        <sz val="12"/>
        <color rgb="FFFFFFFF"/>
        <rFont val="Calibri"/>
        <family val="2"/>
      </rPr>
      <t>4</t>
    </r>
  </si>
  <si>
    <r>
      <t>CO</t>
    </r>
    <r>
      <rPr>
        <b/>
        <vertAlign val="subscript"/>
        <sz val="12"/>
        <color rgb="FFFFFFFF"/>
        <rFont val="Calibri"/>
        <family val="2"/>
      </rPr>
      <t>2</t>
    </r>
  </si>
  <si>
    <t>Value</t>
  </si>
  <si>
    <t>Uncertainty</t>
  </si>
  <si>
    <t>Gg per 1,000,000 m3 utility sales</t>
  </si>
  <si>
    <t>-20 to +500%</t>
  </si>
  <si>
    <t>Natural gas fugitive emissions</t>
  </si>
  <si>
    <t>General conversion factors for energy</t>
  </si>
  <si>
    <t>Kilowatt hours</t>
  </si>
  <si>
    <t>Megawatt hours</t>
  </si>
  <si>
    <t>Gigawatt hours</t>
  </si>
  <si>
    <t>Terawatt hours</t>
  </si>
  <si>
    <t>Megajoules</t>
  </si>
  <si>
    <t>Gigajoules</t>
  </si>
  <si>
    <t>Terajoules</t>
  </si>
  <si>
    <t>Mega calories</t>
  </si>
  <si>
    <t>Giga calories</t>
  </si>
  <si>
    <t>British thermal unit</t>
  </si>
  <si>
    <t>Kilo Btu</t>
  </si>
  <si>
    <t>Million Btu</t>
  </si>
  <si>
    <t>Therms</t>
  </si>
  <si>
    <t>Million tonnes of oil equivalent</t>
  </si>
  <si>
    <t>Barrels of oil equivalent</t>
  </si>
  <si>
    <r>
      <t>Activity data (m</t>
    </r>
    <r>
      <rPr>
        <b/>
        <vertAlign val="superscript"/>
        <sz val="10"/>
        <color theme="0"/>
        <rFont val="Arial"/>
        <family val="2"/>
      </rPr>
      <t>3</t>
    </r>
    <r>
      <rPr>
        <b/>
        <sz val="10"/>
        <color theme="0"/>
        <rFont val="Arial"/>
        <family val="2"/>
      </rPr>
      <t>)</t>
    </r>
  </si>
  <si>
    <t>Summary of Direct and Indirect emissions over time in London</t>
  </si>
  <si>
    <t xml:space="preserve">D. Emission Credits  </t>
  </si>
  <si>
    <t>E. Emission Trading Scheme</t>
  </si>
  <si>
    <t>Greenhouse gas (GHG) emissions were calculated using the actual or estimated meter readings at domestic premises and the relevant Emission Factors.</t>
  </si>
  <si>
    <t>GHG emissions were calculated using the quantity of natural gas supplied to homes (where it is used for cooking in natural gas-powered ranges and ovens, natural gas-heated clothes dryers, water and central heating, and domestic boilers, etc) and the relevant Emission Factors.</t>
  </si>
  <si>
    <t xml:space="preserve">GHG emissions were calculated from the quantity of smokeless solid fuels (SSF) (coke and anthracite) burnt exclusively within Smoke Control Areas and used for room heaters, cookers, boilers, open fires and stoves and the relevant Emission Factors. </t>
  </si>
  <si>
    <t xml:space="preserve">GHG emissions were calculated using the quantity of domestic oil (e.g., heating oil, gas oils, kerosene, etc) used for oil- fired central heating in residential homes and the relevant Emission Factors. </t>
  </si>
  <si>
    <t>GHG emissions were calculated from actual or estimated electricity meter readings in commercial buildings and the relevant Emission Factors.</t>
  </si>
  <si>
    <t>GHG emissions were calculated from the quantity of natural gas supplied to commercial buildings and the relevant Emission Factors.</t>
  </si>
  <si>
    <t>GHG emissions were calculated using the estimated quantity of oil (e.g., heavy, medium and light fuel oil) used in commercial applications, (including boiler firing for hot water and steam raising, furnaces and large air heater and dryers) and the relevant Emission Factors. It excludes petrol and gas oil/diesel (DERV) used by road and rail transport as well as oil used for electricity generation at power stations.</t>
  </si>
  <si>
    <t>GHG emissions were calculated from actual or estimated electricity meter readings in Institutional buildings and the relevant Emission Factors.</t>
  </si>
  <si>
    <t>GHG emissions were calculated using the quantity of natural gas supplied to Institutional buildings and the relevant Emission Factors.</t>
  </si>
  <si>
    <t xml:space="preserve">GHG emissions were calculated using actual or estimated electricity meter readings in Public Administration buildings and the relevant Emission Factors. </t>
  </si>
  <si>
    <t xml:space="preserve">GHG emissions were estimated from natural gas supplied to Public Administration buildings and the relevant Emission Factors. </t>
  </si>
  <si>
    <t xml:space="preserve">GHG emissions were calculated using the estimated quantity of oil  (e.g., heavy, medium and light fuel oil) used in Public Administration buildings and the relevant Emission Factors. It excludes petrol and gas oil/diesel (DERV) used by road and rail transport as well as oil used for electricity generation at power stations. </t>
  </si>
  <si>
    <t xml:space="preserve">GHG emissions were calculated from actual or estimated electricity meter readings from Manufacturing industries and construction and the relevant Emission Factors. </t>
  </si>
  <si>
    <t xml:space="preserve">GHG emissions were calculated using the quantity of natural gas supplied to Manufacturing industries and construction and the relevant Emission Factors. </t>
  </si>
  <si>
    <t xml:space="preserve">GHG emissions were calculated from the quantity of coal consumption in Manufacturing industries and construction sector and the relevant Emission factors. </t>
  </si>
  <si>
    <t xml:space="preserve">GHG emissions were calculated using the estimated quantity of oil  were estimated from oil (e.g., heavy, medium and light fuel oil) used in Manufacturing industries and construction sector and the relevant Emission Factors. </t>
  </si>
  <si>
    <t xml:space="preserve"> GHG emissions from incineration of MSW were estimated from the amount of waste incinerated and the relevant Emission Factors using the IPCC Tier 1 methodology.</t>
  </si>
  <si>
    <t xml:space="preserve">GHG emissions were calculated using actual or estimated electricity meter readings from Agriculture, forestry, and fishing activities and the relevant Emission Factors. </t>
  </si>
  <si>
    <t xml:space="preserve">GHG emissions were calculated using the quantity of natural gas supplied to Agriculture, forestry, and fishing activities and the relevant Emission Factors. </t>
  </si>
  <si>
    <t>GHG emissions were calculated using the estimated quantity of oil  (e.g., heavy, medium and light fuel oil) used in Agriculture, forestry, and fishing activities and the relevant Emission Factors.</t>
  </si>
  <si>
    <t>The IPCC methodology was followed to estimate fugitive emissions from the distribution of gas to end users via a low pressure distribution system within cities.</t>
  </si>
  <si>
    <t>GHG emissions are based on LAEI 2016 road traffic data projected to 2017, based on 2016/17 traffic growth.  Defra’s Emissions Factors Toolkit (EFT) was then used.  This  estimates CO2 based on overall traffic flows, average speeds and fleet composition.</t>
  </si>
  <si>
    <t>Greenhouse gas (GHG) emissions were calculated from electricity consumed by electric vehicles in combination with the relevant Emission Factors.</t>
  </si>
  <si>
    <t>GHG emissions were based on the 2016 LAEI CO2 estimates and scaled up to 2018.</t>
  </si>
  <si>
    <t>Greenhouse gas (GHG) emissions were calculated using the quantity of electricity consumed by electric trains and the relevant Emission Factors.</t>
  </si>
  <si>
    <t>Summary table for the city-wide GHG emissions according to the requirements of the GCoM
Greenhouse Gas Emission Inventories (GPC).</t>
  </si>
  <si>
    <t>1A2</t>
  </si>
  <si>
    <t xml:space="preserve">Product Use GHG emissions were extracted from the UK GHG emission inventory for England and scaled to the LEGGI area using 2018 population data for London.
</t>
  </si>
  <si>
    <t xml:space="preserve">LEGGI is an emissions inventory which quantifies pollution releases to the environment. It also quantifies the removals of pollutants through the Land Use, Land Change and Forestry sector activities. 
LEGGI is used to track changes in emissions over time and to provide the evidence base for the Environment Strategy. 
</t>
  </si>
  <si>
    <r>
      <t>The geographical area (shown in figure  below) covered by the LEGGI includes the 32 London boroughs and the City of London . The total area covered by the LEGGI is approximately 1,579 km</t>
    </r>
    <r>
      <rPr>
        <vertAlign val="superscript"/>
        <sz val="12"/>
        <color rgb="FF000000"/>
        <rFont val="Times New Roman"/>
        <family val="1"/>
      </rPr>
      <t>2</t>
    </r>
    <r>
      <rPr>
        <sz val="12"/>
        <color rgb="FF000000"/>
        <rFont val="Times New Roman"/>
        <family val="1"/>
      </rPr>
      <t xml:space="preserve">.
</t>
    </r>
    <r>
      <rPr>
        <sz val="11"/>
        <color rgb="FF000000"/>
        <rFont val="Calibri"/>
        <family val="2"/>
        <scheme val="minor"/>
      </rPr>
      <t>Greater London Authority [Geographically referenced file available via https://data.london.gov.uk/dataset/statistical-gis-boundary-files-london]</t>
    </r>
  </si>
  <si>
    <t xml:space="preserve">This tab contains a list of the reporting categories for emissions and removals sources. 
It contains a brief explanation of the methods used for estimation of emissions in LEGGI. </t>
  </si>
  <si>
    <t>Methods used for estimation of emissions are described in tab&gt;&gt; Emission Sectors</t>
  </si>
  <si>
    <t xml:space="preserve">Methods used for estimation of emissions are described in tab&gt;&gt; Emission </t>
  </si>
  <si>
    <t>Sectors</t>
  </si>
  <si>
    <t>Methods used for estimation of emissions are described in</t>
  </si>
  <si>
    <t xml:space="preserve"> tab&gt;&gt; Emission Sectors</t>
  </si>
  <si>
    <t>£436,516 million</t>
  </si>
  <si>
    <t>GVA equals to GDP + subsidies – taxes</t>
  </si>
  <si>
    <t>GDP (GVA is only estimated for London)</t>
  </si>
  <si>
    <t>tCH4</t>
  </si>
  <si>
    <t>tN2O</t>
  </si>
  <si>
    <t>Total kWh</t>
  </si>
  <si>
    <t>Total CO2e</t>
  </si>
  <si>
    <t>E09000002</t>
  </si>
  <si>
    <t>E09000003</t>
  </si>
  <si>
    <t>E09000004</t>
  </si>
  <si>
    <t>E09000005</t>
  </si>
  <si>
    <t>E09000006</t>
  </si>
  <si>
    <t>E09000007</t>
  </si>
  <si>
    <t>E09000001</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</si>
  <si>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</si>
  <si>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</si>
  <si>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</si>
  <si>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</si>
  <si>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</si>
  <si>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</si>
  <si>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</si>
  <si>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</si>
  <si>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</si>
  <si>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</si>
  <si>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</si>
  <si>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</si>
  <si>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</si>
  <si>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</si>
  <si>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</si>
  <si>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</si>
  <si>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</si>
  <si>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</si>
  <si>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</si>
  <si>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</si>
  <si>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</si>
  <si>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</si>
  <si>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</si>
  <si>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</si>
  <si>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</si>
  <si>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</si>
  <si>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E12000007</t>
  </si>
  <si>
    <t>TOTAL GREATER LONDON</t>
  </si>
  <si>
    <r>
      <t>Bioenergy &amp; Wastes</t>
    </r>
    <r>
      <rPr>
        <b/>
        <vertAlign val="superscript"/>
        <sz val="11"/>
        <color theme="0"/>
        <rFont val="Arial"/>
        <family val="2"/>
      </rPr>
      <t>4</t>
    </r>
  </si>
  <si>
    <r>
      <t>LA Code</t>
    </r>
    <r>
      <rPr>
        <b/>
        <vertAlign val="superscript"/>
        <sz val="11"/>
        <color theme="0"/>
        <rFont val="Arial"/>
        <family val="2"/>
      </rPr>
      <t>1</t>
    </r>
  </si>
  <si>
    <t>LAU1 Areas</t>
  </si>
  <si>
    <r>
      <t>Agriculture</t>
    </r>
    <r>
      <rPr>
        <b/>
        <vertAlign val="superscript"/>
        <sz val="11"/>
        <color theme="0"/>
        <rFont val="Arial"/>
        <family val="2"/>
      </rPr>
      <t>2</t>
    </r>
  </si>
  <si>
    <r>
      <t>Industrial</t>
    </r>
    <r>
      <rPr>
        <b/>
        <vertAlign val="superscript"/>
        <sz val="11"/>
        <color theme="0"/>
        <rFont val="Arial"/>
        <family val="2"/>
      </rPr>
      <t>3</t>
    </r>
  </si>
  <si>
    <t>Agriculture</t>
  </si>
  <si>
    <t>Sub-national estimates of non gas, non electricity and non road transport fuels, 2018 (ktoe)</t>
  </si>
  <si>
    <t>Residual fuel consumption consumption by borough, 2018 (ktoe and kWh)</t>
  </si>
  <si>
    <t>Transmission and distribution losses</t>
  </si>
  <si>
    <t>Electricity T&amp; D</t>
  </si>
  <si>
    <t>Electricity T&amp;D losses</t>
  </si>
  <si>
    <t>(All vehicles)</t>
  </si>
  <si>
    <t xml:space="preserve">Total </t>
  </si>
  <si>
    <t>tCO2e - CH4</t>
  </si>
  <si>
    <t xml:space="preserve">tCO2e - N2O </t>
  </si>
  <si>
    <r>
      <t>(CO</t>
    </r>
    <r>
      <rPr>
        <b/>
        <vertAlign val="subscript"/>
        <sz val="10"/>
        <color indexed="9"/>
        <rFont val="Calibri"/>
        <family val="2"/>
      </rPr>
      <t>2e</t>
    </r>
    <r>
      <rPr>
        <b/>
        <sz val="10"/>
        <color indexed="9"/>
        <rFont val="Calibri"/>
        <family val="2"/>
      </rPr>
      <t>)</t>
    </r>
  </si>
  <si>
    <t>STATIONARY ENERGY: FUGITIVE</t>
  </si>
  <si>
    <t>LULUCF</t>
  </si>
  <si>
    <t>Waste (MSW)</t>
  </si>
  <si>
    <t>Renewable</t>
  </si>
  <si>
    <t>SUB-TOTAL: STATIONARY ENERGY</t>
  </si>
  <si>
    <t>Energy consumption by borough, 2018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</si>
</sst>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43" formatCode="_-* #,##0.00_-;\-* #,##0.00_-;_-* &quot;-&quot;??_-;_-@_-"/>
    <numFmt numFmtId="164" formatCode="??0.0?????"/>
    <numFmt numFmtId="165" formatCode="0.00000"/>
    <numFmt numFmtId="166" formatCode="??0.00000"/>
    <numFmt numFmtId="167" formatCode="0.0000"/>
    <numFmt numFmtId="168" formatCode="??0.00"/>
    <numFmt numFmtId="169" formatCode="??0.0000"/>
    <numFmt numFmtId="170" formatCode="0.0"/>
    <numFmt numFmtId="171" formatCode="_-* #,##0_-;\-* #,##0_-;_-* &quot;-&quot;??_-;_-@_-"/>
    <numFmt numFmtId="172" formatCode="#,##0.0"/>
    <numFmt numFmtId="173" formatCode="0.000%"/>
    <numFmt numFmtId="174" formatCode="_-* #,##0.0_-;\-* #,##0.0_-;_-* &quot;-&quot;??_-;_-@_-"/>
    <numFmt numFmtId="175" formatCode="0.0%"/>
    <numFmt numFmtId="176" formatCode="#,##0.0000"/>
    <numFmt numFmtId="177" formatCode="_-* #,##0.000_-;\-* #,##0.000_-;_-* &quot;-&quot;??_-;_-@_-"/>
    <numFmt numFmtId="178" formatCode="0.00000000000"/>
    <numFmt numFmtId="179" formatCode="_-* #,##0.0000_-;\-* #,##0.0000_-;_-* &quot;-&quot;??_-;_-@_-"/>
    <numFmt numFmtId="180" formatCode="#,##0.00000"/>
    <numFmt numFmtId="181" formatCode="#,##0.000"/>
    <numFmt numFmtId="182" formatCode="#,##0.000000000"/>
    <numFmt numFmtId="183" formatCode="#,##0.0000000"/>
    <numFmt numFmtId="184" formatCode="0.000"/>
    <numFmt numFmtId="185" formatCode="0.0000000"/>
    <numFmt numFmtId="186" formatCode="0.000000"/>
    <numFmt numFmtId="187" formatCode="0.00000000"/>
    <numFmt numFmtId="188" formatCode="#,##0.00_ ;\-#,##0.00\ "/>
    <numFmt numFmtId="189" formatCode="_-* #,##0.00000_-;\-* #,##0.00000_-;_-* &quot;-&quot;??_-;_-@_-"/>
    <numFmt numFmtId="190" formatCode="_(* #,##0.00000_);_(* \(#,##0.00000\);_(* &quot;-&quot;??_);_(@_)"/>
    <numFmt numFmtId="191" formatCode="_(* #,##0.0000_);_(* \(#,##0.0000\);_(* &quot;-&quot;??_);_(@_)"/>
    <numFmt numFmtId="192" formatCode="#,##0.000000"/>
    <numFmt numFmtId="193" formatCode="_(* #,##0.000_);_(* \(#,##0.000\);_(* &quot;-&quot;??_);_(@_)"/>
    <numFmt numFmtId="194" formatCode="[$-F800]dddd\,\ mmmm\ dd\,\ yyyy"/>
    <numFmt numFmtId="195" formatCode="#,##0.00000000000"/>
    <numFmt numFmtId="196" formatCode="#,##0.0000000000000"/>
    <numFmt numFmtId="197" formatCode="_-* #,##0.00000_-;\-* #,##0.00000_-;_-* &quot;-&quot;?????_-;_-@_-"/>
    <numFmt numFmtId="198" formatCode="_-* #,##0_-;_-* #,##0\-;_-* &quot;-&quot;??_-;_-@_-"/>
    <numFmt numFmtId="199" formatCode="#,##0_ ;\-#,##0\ "/>
  </numFmts>
  <fonts count="167" x14ac:knownFonts="1">
    <font>
      <sz val="11"/>
      <color theme="1"/>
      <name val="Calibri"/>
      <family val="2"/>
      <scheme val="minor"/>
    </font>
    <font>
      <sz val="10"/>
      <name val="Arial"/>
      <family val="2"/>
    </font>
    <font>
      <i/>
      <sz val="12"/>
      <color theme="1"/>
      <name val="Calibri"/>
      <family val="2"/>
      <scheme val="minor"/>
    </font>
    <font>
      <sz val="12"/>
      <color rgb="FF000000"/>
      <name val="Calibri"/>
      <family val="2"/>
      <scheme val="minor"/>
    </font>
    <font>
      <sz val="11"/>
      <color theme="1"/>
      <name val="Arial"/>
      <family val="2"/>
    </font>
    <font>
      <vertAlign val="superscript"/>
      <sz val="11"/>
      <color theme="1"/>
      <name val="Calibri"/>
      <family val="2"/>
      <scheme val="minor"/>
    </font>
    <font>
      <vertAlign val="superscript"/>
      <sz val="12"/>
      <color theme="1"/>
      <name val="Calibri"/>
      <family val="2"/>
      <scheme val="minor"/>
    </font>
    <font>
      <b/>
      <sz val="12"/>
      <color theme="1"/>
      <name val="Calibri"/>
      <family val="2"/>
      <scheme val="minor"/>
    </font>
    <font>
      <b/>
      <sz val="12"/>
      <color rgb="FF000000"/>
      <name val="Calibri"/>
      <family val="2"/>
      <scheme val="minor"/>
    </font>
    <font>
      <b/>
      <sz val="12"/>
      <color theme="0"/>
      <name val="Calibri"/>
      <family val="2"/>
      <scheme val="minor"/>
    </font>
    <font>
      <b/>
      <sz val="10"/>
      <color theme="0"/>
      <name val="Arial"/>
      <family val="2"/>
    </font>
    <font>
      <sz val="12"/>
      <name val="Foundry Form Sans"/>
    </font>
    <font>
      <b/>
      <sz val="12"/>
      <name val="Foundry Form Sans"/>
    </font>
    <font>
      <b/>
      <sz val="12"/>
      <color rgb="FFFFFFFF"/>
      <name val="Foundry Form Sans"/>
    </font>
    <font>
      <b/>
      <sz val="12"/>
      <color rgb="FFFFFFFF"/>
      <name val="Calibri"/>
      <family val="2"/>
      <scheme val="minor"/>
    </font>
    <font>
      <sz val="12"/>
      <color theme="0"/>
      <name val="Calibri"/>
      <family val="2"/>
      <scheme val="minor"/>
    </font>
    <font>
      <b/>
      <sz val="10"/>
      <name val="Arial"/>
      <family val="2"/>
    </font>
    <font>
      <i/>
      <sz val="10"/>
      <name val="Arial"/>
      <family val="2"/>
    </font>
    <font>
      <sz val="10"/>
      <name val="Arial"/>
      <family val="2"/>
    </font>
    <font>
      <b/>
      <sz val="10"/>
      <name val="Calibri"/>
      <family val="2"/>
    </font>
    <font>
      <sz val="10"/>
      <name val="Calibri"/>
      <family val="2"/>
    </font>
    <font>
      <u/>
      <sz val="11"/>
      <color theme="1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Calibri"/>
      <family val="2"/>
      <scheme val="minor"/>
    </font>
    <font>
      <b/>
      <sz val="12"/>
      <color rgb="FFFFFFFF"/>
      <name val="Calibri"/>
      <family val="2"/>
    </font>
    <font>
      <b/>
      <vertAlign val="subscript"/>
      <sz val="12"/>
      <color rgb="FFFFFFFF"/>
      <name val="Calibri"/>
      <family val="2"/>
    </font>
    <font>
      <i/>
      <sz val="12"/>
      <color rgb="FF000000"/>
      <name val="Calibri"/>
      <family val="2"/>
    </font>
    <font>
      <sz val="12"/>
      <color rgb="FF000000"/>
      <name val="Calibri"/>
      <family val="2"/>
    </font>
    <font>
      <b/>
      <sz val="10"/>
      <color indexed="9"/>
      <name val="Calibri"/>
      <family val="2"/>
      <scheme val="minor"/>
    </font>
    <font>
      <b/>
      <vertAlign val="superscript"/>
      <sz val="10"/>
      <color indexed="9"/>
      <name val="Calibri"/>
      <family val="2"/>
    </font>
    <font>
      <b/>
      <sz val="10"/>
      <color indexed="9"/>
      <name val="Calibri"/>
      <family val="2"/>
    </font>
    <font>
      <b/>
      <vertAlign val="subscript"/>
      <sz val="10"/>
      <color indexed="9"/>
      <name val="Calibri"/>
      <family val="2"/>
    </font>
    <font>
      <b/>
      <sz val="10"/>
      <name val="Calibri"/>
      <family val="2"/>
      <scheme val="minor"/>
    </font>
    <font>
      <sz val="11"/>
      <name val="Calibri"/>
      <family val="2"/>
      <scheme val="minor"/>
    </font>
    <font>
      <sz val="10"/>
      <color indexed="10"/>
      <name val="Calibri"/>
      <family val="2"/>
    </font>
    <font>
      <b/>
      <sz val="10"/>
      <color rgb="FFFF0000"/>
      <name val="Calibri"/>
      <family val="2"/>
      <scheme val="minor"/>
    </font>
    <font>
      <b/>
      <sz val="16"/>
      <name val="Calibri"/>
      <family val="2"/>
      <scheme val="minor"/>
    </font>
    <font>
      <b/>
      <vertAlign val="subscript"/>
      <sz val="16"/>
      <name val="Calibri"/>
      <family val="2"/>
    </font>
    <font>
      <b/>
      <sz val="16"/>
      <name val="Calibri"/>
      <family val="2"/>
    </font>
    <font>
      <b/>
      <sz val="16"/>
      <color indexed="10"/>
      <name val="Calibri"/>
      <family val="2"/>
    </font>
    <font>
      <sz val="12"/>
      <name val="Arial"/>
      <family val="2"/>
    </font>
    <font>
      <sz val="10"/>
      <color indexed="10"/>
      <name val="Calibri"/>
      <family val="2"/>
      <scheme val="minor"/>
    </font>
    <font>
      <b/>
      <sz val="10"/>
      <color indexed="10"/>
      <name val="Calibri"/>
      <family val="2"/>
      <scheme val="minor"/>
    </font>
    <font>
      <sz val="10"/>
      <color indexed="8"/>
      <name val="Arial"/>
      <family val="2"/>
    </font>
    <font>
      <b/>
      <sz val="16"/>
      <color theme="1"/>
      <name val="Calibri"/>
      <family val="2"/>
      <scheme val="minor"/>
    </font>
    <font>
      <sz val="10"/>
      <color rgb="FFFF0000"/>
      <name val="Calibri"/>
      <family val="2"/>
      <scheme val="minor"/>
    </font>
    <font>
      <sz val="10"/>
      <color indexed="8"/>
      <name val="Calibri"/>
      <family val="2"/>
      <scheme val="minor"/>
    </font>
    <font>
      <b/>
      <vertAlign val="subscript"/>
      <sz val="16"/>
      <color indexed="8"/>
      <name val="Calibri"/>
      <family val="2"/>
    </font>
    <font>
      <b/>
      <sz val="16"/>
      <color indexed="8"/>
      <name val="Calibri"/>
      <family val="2"/>
    </font>
    <font>
      <sz val="10"/>
      <color theme="1"/>
      <name val="Arial"/>
      <family val="2"/>
    </font>
    <font>
      <i/>
      <sz val="10"/>
      <name val="Calibri"/>
      <family val="2"/>
      <scheme val="minor"/>
    </font>
    <font>
      <sz val="10"/>
      <color indexed="9"/>
      <name val="Calibri"/>
      <family val="2"/>
      <scheme val="minor"/>
    </font>
    <font>
      <sz val="10"/>
      <color theme="1"/>
      <name val="Calibri"/>
      <family val="2"/>
      <scheme val="minor"/>
    </font>
    <font>
      <sz val="11"/>
      <color indexed="8"/>
      <name val="Calibri"/>
      <family val="2"/>
    </font>
    <font>
      <b/>
      <sz val="12"/>
      <name val="Calibri"/>
      <family val="2"/>
    </font>
    <font>
      <sz val="12"/>
      <name val="Calibri"/>
      <family val="2"/>
    </font>
    <font>
      <vertAlign val="subscript"/>
      <sz val="10"/>
      <name val="Arial"/>
      <family val="2"/>
    </font>
    <font>
      <sz val="9"/>
      <color indexed="81"/>
      <name val="Tahoma"/>
      <family val="2"/>
    </font>
    <font>
      <b/>
      <sz val="9"/>
      <color indexed="81"/>
      <name val="Tahoma"/>
      <family val="2"/>
    </font>
    <font>
      <b/>
      <sz val="14"/>
      <name val="Calibri"/>
      <family val="2"/>
      <scheme val="minor"/>
    </font>
    <font>
      <b/>
      <sz val="10"/>
      <color theme="1"/>
      <name val="Calibri"/>
      <family val="2"/>
      <scheme val="minor"/>
    </font>
    <font>
      <b/>
      <vertAlign val="subscript"/>
      <sz val="10"/>
      <color theme="0"/>
      <name val="Arial"/>
      <family val="2"/>
    </font>
    <font>
      <sz val="11"/>
      <color rgb="FF053D5F"/>
      <name val="Calibri"/>
      <family val="2"/>
      <scheme val="minor"/>
    </font>
    <font>
      <vertAlign val="superscript"/>
      <sz val="11"/>
      <color indexed="56"/>
      <name val="Calibri"/>
      <family val="2"/>
    </font>
    <font>
      <i/>
      <sz val="11"/>
      <color rgb="FF053D5F"/>
      <name val="Calibri"/>
      <family val="2"/>
      <scheme val="minor"/>
    </font>
    <font>
      <b/>
      <vertAlign val="superscript"/>
      <sz val="11"/>
      <color indexed="56"/>
      <name val="Calibri"/>
      <family val="2"/>
    </font>
    <font>
      <b/>
      <sz val="11"/>
      <color rgb="FF053D5F"/>
      <name val="Calibri"/>
      <family val="2"/>
      <scheme val="minor"/>
    </font>
    <font>
      <sz val="11"/>
      <color rgb="FF002060"/>
      <name val="Calibri"/>
      <family val="2"/>
      <scheme val="minor"/>
    </font>
    <font>
      <vertAlign val="subscript"/>
      <sz val="11"/>
      <color indexed="56"/>
      <name val="Calibri"/>
      <family val="2"/>
    </font>
    <font>
      <sz val="11"/>
      <color indexed="56"/>
      <name val="Calibri"/>
      <family val="2"/>
    </font>
    <font>
      <b/>
      <sz val="8"/>
      <name val="Tahoma"/>
      <family val="2"/>
    </font>
    <font>
      <b/>
      <sz val="8"/>
      <color indexed="81"/>
      <name val="Tahoma"/>
      <family val="2"/>
    </font>
    <font>
      <sz val="10"/>
      <color rgb="FF000000"/>
      <name val="Times New Roman"/>
      <family val="1"/>
    </font>
    <font>
      <b/>
      <sz val="9"/>
      <color rgb="FF000000"/>
      <name val="Times New Roman"/>
      <family val="1"/>
    </font>
    <font>
      <b/>
      <sz val="7"/>
      <color rgb="FF000000"/>
      <name val="Times New Roman"/>
      <family val="1"/>
    </font>
    <font>
      <b/>
      <vertAlign val="subscript"/>
      <sz val="9"/>
      <color rgb="FF000000"/>
      <name val="Times New Roman"/>
      <family val="1"/>
    </font>
    <font>
      <sz val="9"/>
      <color rgb="FF000000"/>
      <name val="Times New Roman"/>
      <family val="1"/>
    </font>
    <font>
      <sz val="8"/>
      <color rgb="FF000000"/>
      <name val="Times New Roman"/>
      <family val="1"/>
    </font>
    <font>
      <i/>
      <sz val="8"/>
      <color rgb="FF000000"/>
      <name val="Times New Roman"/>
      <family val="1"/>
    </font>
    <font>
      <vertAlign val="superscript"/>
      <sz val="9"/>
      <color rgb="FF000000"/>
      <name val="Times New Roman"/>
      <family val="1"/>
    </font>
    <font>
      <vertAlign val="subscript"/>
      <sz val="8"/>
      <color rgb="FF000000"/>
      <name val="Times New Roman"/>
      <family val="1"/>
    </font>
    <font>
      <b/>
      <sz val="6"/>
      <color rgb="FF000000"/>
      <name val="Times New Roman"/>
      <family val="1"/>
    </font>
    <font>
      <sz val="9"/>
      <color rgb="FF000000"/>
      <name val="Segoe UI Symbol"/>
      <family val="2"/>
    </font>
    <font>
      <i/>
      <sz val="11"/>
      <color theme="1"/>
      <name val="Calibri"/>
      <family val="2"/>
      <scheme val="minor"/>
    </font>
    <font>
      <i/>
      <sz val="10"/>
      <color theme="1"/>
      <name val="Calibri"/>
      <family val="2"/>
      <scheme val="minor"/>
    </font>
    <font>
      <i/>
      <sz val="12"/>
      <color theme="0"/>
      <name val="Calibri"/>
      <family val="2"/>
      <scheme val="minor"/>
    </font>
    <font>
      <sz val="11"/>
      <color rgb="FF053D5F"/>
      <name val="Arial"/>
      <family val="2"/>
    </font>
    <font>
      <i/>
      <sz val="10"/>
      <color rgb="FF053D5F"/>
      <name val="Calibri"/>
      <family val="2"/>
      <scheme val="minor"/>
    </font>
    <font>
      <vertAlign val="superscript"/>
      <sz val="11"/>
      <color rgb="FF053D5F"/>
      <name val="Calibri"/>
      <family val="2"/>
      <scheme val="minor"/>
    </font>
    <font>
      <sz val="11"/>
      <name val="Arial"/>
      <family val="2"/>
    </font>
    <font>
      <vertAlign val="subscript"/>
      <sz val="11"/>
      <color indexed="56"/>
      <name val="Arial"/>
      <family val="2"/>
    </font>
    <font>
      <sz val="11"/>
      <color indexed="56"/>
      <name val="Arial"/>
      <family val="2"/>
    </font>
    <font>
      <sz val="10"/>
      <name val="MS Sans Serif"/>
    </font>
    <font>
      <sz val="11"/>
      <color rgb="FF000000"/>
      <name val="Calibri"/>
      <family val="2"/>
      <scheme val="minor"/>
    </font>
    <font>
      <b/>
      <sz val="8"/>
      <color rgb="FF000000"/>
      <name val="Calibri"/>
      <family val="2"/>
      <scheme val="minor"/>
    </font>
    <font>
      <b/>
      <vertAlign val="superscript"/>
      <sz val="12.5"/>
      <color rgb="FF000000"/>
      <name val="Calibri"/>
      <family val="2"/>
      <scheme val="minor"/>
    </font>
    <font>
      <sz val="8"/>
      <color rgb="FF000000"/>
      <name val="Calibri"/>
      <family val="2"/>
      <scheme val="minor"/>
    </font>
    <font>
      <b/>
      <vertAlign val="subscript"/>
      <sz val="12.5"/>
      <color rgb="FF000000"/>
      <name val="Calibri"/>
      <family val="2"/>
      <scheme val="minor"/>
    </font>
    <font>
      <i/>
      <sz val="8"/>
      <color rgb="FF000000"/>
      <name val="Calibri"/>
      <family val="2"/>
      <scheme val="minor"/>
    </font>
    <font>
      <b/>
      <sz val="12"/>
      <color theme="0"/>
      <name val="Calibri"/>
      <family val="2"/>
    </font>
    <font>
      <b/>
      <sz val="12"/>
      <color theme="1"/>
      <name val="Calibri"/>
      <family val="2"/>
    </font>
    <font>
      <sz val="12"/>
      <color theme="1"/>
      <name val="Calibri"/>
      <family val="2"/>
    </font>
    <font>
      <b/>
      <sz val="12"/>
      <color rgb="FF000000"/>
      <name val="Calibri"/>
      <family val="2"/>
    </font>
    <font>
      <b/>
      <sz val="12"/>
      <name val="Calibri"/>
      <family val="2"/>
      <scheme val="minor"/>
    </font>
    <font>
      <b/>
      <sz val="10"/>
      <color theme="1"/>
      <name val="Arial"/>
      <family val="2"/>
    </font>
    <font>
      <sz val="12"/>
      <color theme="1"/>
      <name val="Calibri"/>
      <family val="2"/>
      <scheme val="minor"/>
    </font>
    <font>
      <b/>
      <sz val="12"/>
      <color theme="1"/>
      <name val="Arial"/>
      <family val="2"/>
    </font>
    <font>
      <sz val="10"/>
      <name val="Arial"/>
      <family val="2"/>
    </font>
    <font>
      <b/>
      <sz val="10"/>
      <color theme="0"/>
      <name val="Calibri"/>
      <family val="2"/>
      <scheme val="minor"/>
    </font>
    <font>
      <b/>
      <sz val="10"/>
      <color indexed="8"/>
      <name val="Calibri"/>
      <family val="2"/>
    </font>
    <font>
      <vertAlign val="subscript"/>
      <sz val="10"/>
      <name val="Calibri"/>
      <family val="2"/>
    </font>
    <font>
      <sz val="10"/>
      <color theme="0"/>
      <name val="Calibri"/>
      <family val="2"/>
      <scheme val="minor"/>
    </font>
    <font>
      <sz val="9"/>
      <color indexed="81"/>
      <name val="Calibri"/>
      <family val="2"/>
    </font>
    <font>
      <b/>
      <sz val="14"/>
      <name val="Arial"/>
      <family val="2"/>
    </font>
    <font>
      <sz val="10"/>
      <color theme="1"/>
      <name val="Calibri"/>
      <family val="2"/>
    </font>
    <font>
      <sz val="10"/>
      <color theme="0" tint="-0.249977111117893"/>
      <name val="Calibri"/>
      <family val="2"/>
    </font>
    <font>
      <sz val="10"/>
      <color rgb="FFFF0000"/>
      <name val="Arial"/>
      <family val="2"/>
    </font>
    <font>
      <sz val="11"/>
      <color rgb="FFFF0000"/>
      <name val="Calibri"/>
      <family val="2"/>
      <scheme val="minor"/>
    </font>
    <font>
      <b/>
      <vertAlign val="subscript"/>
      <sz val="11"/>
      <color theme="0"/>
      <name val="Calibri"/>
      <family val="2"/>
      <scheme val="minor"/>
    </font>
    <font>
      <b/>
      <sz val="10"/>
      <color rgb="FFFF0000"/>
      <name val="Calibri"/>
      <family val="2"/>
    </font>
    <font>
      <b/>
      <sz val="12"/>
      <color rgb="FF0A0482"/>
      <name val="Times New Roman"/>
      <family val="1"/>
    </font>
    <font>
      <sz val="12"/>
      <color rgb="FF000000"/>
      <name val="Times New Roman"/>
      <family val="1"/>
    </font>
    <font>
      <vertAlign val="superscript"/>
      <sz val="12"/>
      <color rgb="FF000000"/>
      <name val="Times New Roman"/>
      <family val="1"/>
    </font>
    <font>
      <b/>
      <sz val="14"/>
      <color rgb="FFFFFFFF"/>
      <name val="Calibri"/>
      <family val="2"/>
      <scheme val="minor"/>
    </font>
    <font>
      <b/>
      <sz val="8"/>
      <color theme="0"/>
      <name val="Arial"/>
      <family val="2"/>
    </font>
    <font>
      <b/>
      <sz val="11"/>
      <color rgb="FFFFFFFF"/>
      <name val="Calibri"/>
      <family val="2"/>
      <scheme val="minor"/>
    </font>
    <font>
      <sz val="11"/>
      <color theme="0"/>
      <name val="Calibri"/>
      <family val="2"/>
      <scheme val="minor"/>
    </font>
    <font>
      <b/>
      <vertAlign val="subscript"/>
      <sz val="10"/>
      <name val="Calibri"/>
      <family val="2"/>
      <scheme val="minor"/>
    </font>
    <font>
      <sz val="12"/>
      <name val="Calibri"/>
      <family val="2"/>
      <scheme val="minor"/>
    </font>
    <font>
      <b/>
      <sz val="10"/>
      <color theme="1"/>
      <name val="Calibri"/>
      <family val="2"/>
    </font>
    <font>
      <b/>
      <vertAlign val="subscript"/>
      <sz val="10"/>
      <color theme="1"/>
      <name val="Calibri"/>
      <family val="2"/>
      <scheme val="minor"/>
    </font>
    <font>
      <b/>
      <vertAlign val="subscript"/>
      <sz val="12"/>
      <name val="Calibri"/>
      <family val="2"/>
      <scheme val="minor"/>
    </font>
    <font>
      <b/>
      <sz val="11"/>
      <name val="Calibri"/>
      <family val="2"/>
      <scheme val="minor"/>
    </font>
    <font>
      <vertAlign val="subscript"/>
      <sz val="11"/>
      <color theme="1"/>
      <name val="Calibri"/>
      <family val="2"/>
      <scheme val="minor"/>
    </font>
    <font>
      <sz val="10"/>
      <color rgb="FF000000"/>
      <name val="Arial"/>
      <family val="2"/>
    </font>
    <font>
      <b/>
      <sz val="16"/>
      <color theme="4"/>
      <name val="Calibri"/>
      <family val="2"/>
      <scheme val="minor"/>
    </font>
    <font>
      <sz val="12"/>
      <color theme="9"/>
      <name val="Calibri"/>
      <family val="2"/>
      <scheme val="minor"/>
    </font>
    <font>
      <b/>
      <sz val="10"/>
      <color theme="8" tint="0.79998168889431442"/>
      <name val="Arial"/>
      <family val="2"/>
    </font>
    <font>
      <sz val="11"/>
      <color theme="8" tint="0.79998168889431442"/>
      <name val="Calibri"/>
      <family val="2"/>
      <scheme val="minor"/>
    </font>
    <font>
      <b/>
      <sz val="11"/>
      <color theme="8" tint="0.79998168889431442"/>
      <name val="Calibri"/>
      <family val="2"/>
      <scheme val="minor"/>
    </font>
    <font>
      <sz val="10"/>
      <color theme="8" tint="0.79998168889431442"/>
      <name val="Calibri"/>
      <family val="2"/>
    </font>
    <font>
      <sz val="12"/>
      <color rgb="FFFF0000"/>
      <name val="Calibri"/>
      <family val="2"/>
      <scheme val="minor"/>
    </font>
    <font>
      <b/>
      <sz val="14"/>
      <color theme="4"/>
      <name val="Calibri"/>
      <family val="2"/>
      <scheme val="minor"/>
    </font>
    <font>
      <sz val="14"/>
      <color theme="1"/>
      <name val="Calibri"/>
      <family val="2"/>
      <scheme val="minor"/>
    </font>
    <font>
      <i/>
      <sz val="12"/>
      <color rgb="FF000000"/>
      <name val="Calibri"/>
      <family val="2"/>
      <scheme val="minor"/>
    </font>
    <font>
      <b/>
      <vertAlign val="superscript"/>
      <sz val="10"/>
      <color theme="0"/>
      <name val="Arial"/>
      <family val="2"/>
    </font>
    <font>
      <b/>
      <sz val="10"/>
      <color theme="0"/>
      <name val="Calibri"/>
      <family val="2"/>
    </font>
    <font>
      <sz val="10"/>
      <color theme="0"/>
      <name val="Calibri"/>
      <family val="2"/>
    </font>
    <font>
      <b/>
      <sz val="14"/>
      <color theme="0"/>
      <name val="Calibri"/>
      <family val="2"/>
      <scheme val="minor"/>
    </font>
    <font>
      <sz val="12"/>
      <color theme="0"/>
      <name val="Calibri"/>
      <family val="2"/>
    </font>
    <font>
      <sz val="11"/>
      <color theme="0"/>
      <name val="Calibri"/>
      <family val="2"/>
    </font>
    <font>
      <sz val="10"/>
      <color theme="0"/>
      <name val="Arial"/>
      <family val="2"/>
    </font>
    <font>
      <sz val="10"/>
      <color theme="0"/>
      <name val="MS Sans Serif"/>
    </font>
    <font>
      <b/>
      <sz val="14"/>
      <color theme="1"/>
      <name val="Calibri"/>
      <family val="2"/>
      <scheme val="minor"/>
    </font>
    <font>
      <b/>
      <i/>
      <sz val="10"/>
      <name val="Arial"/>
      <family val="2"/>
    </font>
    <font>
      <i/>
      <sz val="9"/>
      <name val="Arial"/>
      <family val="2"/>
    </font>
    <font>
      <sz val="10"/>
      <color rgb="FF00B050"/>
      <name val="Arial"/>
      <family val="2"/>
    </font>
    <font>
      <b/>
      <sz val="11"/>
      <name val="Arial"/>
      <family val="2"/>
    </font>
    <font>
      <b/>
      <sz val="11"/>
      <color theme="1"/>
      <name val="Arial"/>
      <family val="2"/>
    </font>
    <font>
      <b/>
      <sz val="11"/>
      <color theme="0"/>
      <name val="Arial"/>
      <family val="2"/>
    </font>
    <font>
      <b/>
      <vertAlign val="superscript"/>
      <sz val="11"/>
      <color theme="0"/>
      <name val="Arial"/>
      <family val="2"/>
    </font>
    <font>
      <b/>
      <sz val="11"/>
      <color theme="0"/>
      <name val="Arial"/>
      <family val="2"/>
    </font>
    <font>
      <sz val="10"/>
      <color theme="0" tint="-0.34998626667073579"/>
      <name val="Calibri"/>
      <family val="2"/>
      <scheme val="minor"/>
    </font>
    <font>
      <b/>
      <sz val="14"/>
      <color rgb="FF000000"/>
      <name val="Calibri"/>
    </font>
    <font>
      <sz val="10"/>
      <color rgb="FFFFFFCC"/>
      <name val="Calibri"/>
      <family val="2"/>
      <scheme val="minor"/>
    </font>
  </fonts>
  <fills count="6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bgColor indexed="64"/>
      </patternFill>
    </fill>
    <fill>
      <patternFill patternType="solid">
        <fgColor theme="1"/>
        <bgColor indexed="64"/>
      </patternFill>
    </fill>
    <fill>
      <patternFill patternType="solid">
        <fgColor theme="1"/>
        <bgColor rgb="FF000000"/>
      </patternFill>
    </fill>
    <fill>
      <patternFill patternType="solid">
        <fgColor rgb="FFFF0000"/>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CCFFFF"/>
        <bgColor indexed="64"/>
      </patternFill>
    </fill>
    <fill>
      <patternFill patternType="solid">
        <fgColor rgb="FFD9D9D9"/>
        <bgColor indexed="64"/>
      </patternFill>
    </fill>
    <fill>
      <patternFill patternType="gray125">
        <bgColor theme="0"/>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34998626667073579"/>
        <bgColor indexed="64"/>
      </patternFill>
    </fill>
    <fill>
      <patternFill patternType="lightGray">
        <bgColor theme="0"/>
      </patternFill>
    </fill>
    <fill>
      <patternFill patternType="solid">
        <fgColor rgb="FFDEF2DA"/>
        <bgColor indexed="64"/>
      </patternFill>
    </fill>
    <fill>
      <patternFill patternType="solid">
        <fgColor rgb="FFD9E1F2"/>
        <bgColor indexed="64"/>
      </patternFill>
    </fill>
    <fill>
      <patternFill patternType="solid">
        <fgColor rgb="FFE2EFDA"/>
        <bgColor indexed="64"/>
      </patternFill>
    </fill>
    <fill>
      <patternFill patternType="solid">
        <fgColor rgb="FFEAF1DD"/>
        <bgColor indexed="64"/>
      </patternFill>
    </fill>
    <fill>
      <patternFill patternType="solid">
        <fgColor theme="3" tint="0.79998168889431442"/>
        <bgColor indexed="64"/>
      </patternFill>
    </fill>
    <fill>
      <patternFill patternType="solid">
        <fgColor rgb="FFE6D5ED"/>
        <bgColor indexed="64"/>
      </patternFill>
    </fill>
    <fill>
      <patternFill patternType="solid">
        <fgColor rgb="FFFDE9D9"/>
        <bgColor indexed="64"/>
      </patternFill>
    </fill>
    <fill>
      <patternFill patternType="solid">
        <fgColor rgb="FFFFFFFF"/>
        <bgColor indexed="64"/>
      </patternFill>
    </fill>
    <fill>
      <patternFill patternType="solid">
        <fgColor rgb="FFE2F2E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CCCCFF"/>
        <bgColor indexed="64"/>
      </patternFill>
    </fill>
    <fill>
      <patternFill patternType="solid">
        <fgColor rgb="FFCC99FF"/>
        <bgColor indexed="64"/>
      </patternFill>
    </fill>
    <fill>
      <patternFill patternType="solid">
        <fgColor theme="5" tint="-0.249977111117893"/>
        <bgColor indexed="64"/>
      </patternFill>
    </fill>
    <fill>
      <patternFill patternType="solid">
        <fgColor rgb="FF00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E4F4DF"/>
        <bgColor indexed="64"/>
      </patternFill>
    </fill>
    <fill>
      <patternFill patternType="lightTrellis">
        <fgColor theme="0" tint="-0.499984740745262"/>
        <bgColor theme="0" tint="-0.14990691854609822"/>
      </patternFill>
    </fill>
    <fill>
      <patternFill patternType="lightTrellis">
        <fgColor theme="0" tint="-0.499984740745262"/>
        <bgColor theme="0" tint="-0.14999847407452621"/>
      </patternFill>
    </fill>
    <fill>
      <patternFill patternType="solid">
        <fgColor theme="7" tint="0.79982909634693444"/>
        <bgColor indexed="64"/>
      </patternFill>
    </fill>
    <fill>
      <patternFill patternType="solid">
        <fgColor theme="7" tint="0.79998168889431442"/>
        <bgColor rgb="FF000000"/>
      </patternFill>
    </fill>
    <fill>
      <patternFill patternType="solid">
        <fgColor theme="8" tint="0.79998168889431442"/>
        <bgColor rgb="FF000000"/>
      </patternFill>
    </fill>
    <fill>
      <patternFill patternType="solid">
        <fgColor theme="0" tint="-0.14999847407452621"/>
        <bgColor rgb="FF000000"/>
      </patternFill>
    </fill>
    <fill>
      <patternFill patternType="solid">
        <fgColor rgb="FFFFFFCC"/>
        <bgColor rgb="FF000000"/>
      </patternFill>
    </fill>
    <fill>
      <patternFill patternType="solid">
        <fgColor theme="4" tint="0.79998168889431442"/>
        <bgColor rgb="FF000000"/>
      </patternFill>
    </fill>
    <fill>
      <patternFill patternType="solid">
        <fgColor theme="7" tint="0.79995117038483843"/>
        <bgColor theme="0" tint="-0.499984740745262"/>
      </patternFill>
    </fill>
    <fill>
      <patternFill patternType="solid">
        <fgColor theme="0"/>
        <bgColor rgb="FF000000"/>
      </patternFill>
    </fill>
    <fill>
      <patternFill patternType="solid">
        <fgColor theme="0"/>
        <bgColor theme="4" tint="0.79998168889431442"/>
      </patternFill>
    </fill>
    <fill>
      <patternFill patternType="solid">
        <fgColor theme="0"/>
        <bgColor indexed="0"/>
      </patternFill>
    </fill>
    <fill>
      <patternFill patternType="solid">
        <fgColor rgb="FF002060"/>
        <bgColor indexed="64"/>
      </patternFill>
    </fill>
    <fill>
      <patternFill patternType="lightTrellis">
        <fgColor theme="0" tint="-0.499984740745262"/>
        <bgColor theme="0" tint="-0.1498458815271462"/>
      </patternFill>
    </fill>
    <fill>
      <patternFill patternType="solid">
        <fgColor theme="0" tint="-0.1498764000366222"/>
        <bgColor theme="0" tint="-0.499984740745262"/>
      </patternFill>
    </fill>
  </fills>
  <borders count="404">
    <border>
      <left/>
      <right/>
      <top/>
      <bottom/>
      <diagonal/>
    </border>
    <border>
      <left style="thin">
        <color theme="0" tint="-0.14999847407452621"/>
      </left>
      <right style="thin">
        <color theme="0" tint="-0.14999847407452621"/>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uble">
        <color indexed="64"/>
      </right>
      <top/>
      <bottom/>
      <diagonal/>
    </border>
    <border>
      <left style="thin">
        <color theme="0"/>
      </left>
      <right style="thin">
        <color theme="0"/>
      </right>
      <top style="medium">
        <color indexed="64"/>
      </top>
      <bottom style="thin">
        <color indexed="64"/>
      </bottom>
      <diagonal/>
    </border>
    <border>
      <left style="thin">
        <color theme="0"/>
      </left>
      <right style="thin">
        <color theme="0"/>
      </right>
      <top style="medium">
        <color indexed="64"/>
      </top>
      <bottom style="thin">
        <color theme="0"/>
      </bottom>
      <diagonal/>
    </border>
    <border>
      <left style="double">
        <color indexed="64"/>
      </left>
      <right/>
      <top/>
      <bottom/>
      <diagonal/>
    </border>
    <border>
      <left style="thin">
        <color theme="0"/>
      </left>
      <right style="thin">
        <color theme="0"/>
      </right>
      <top/>
      <bottom style="thin">
        <color theme="0"/>
      </bottom>
      <diagonal/>
    </border>
    <border>
      <left/>
      <right/>
      <top style="thin">
        <color theme="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theme="0" tint="-0.14999847407452621"/>
      </left>
      <right/>
      <top/>
      <bottom/>
      <diagonal/>
    </border>
    <border>
      <left/>
      <right/>
      <top style="medium">
        <color indexed="64"/>
      </top>
      <bottom/>
      <diagonal/>
    </border>
    <border>
      <left/>
      <right/>
      <top/>
      <bottom style="medium">
        <color indexed="64"/>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53D5F"/>
      </left>
      <right style="thin">
        <color rgb="FF053D5F"/>
      </right>
      <top style="thin">
        <color rgb="FF053D5F"/>
      </top>
      <bottom style="thin">
        <color rgb="FF053D5F"/>
      </bottom>
      <diagonal/>
    </border>
    <border>
      <left style="thin">
        <color indexed="64"/>
      </left>
      <right style="thin">
        <color indexed="64"/>
      </right>
      <top/>
      <bottom/>
      <diagonal/>
    </border>
    <border>
      <left style="thin">
        <color rgb="FF053D5F"/>
      </left>
      <right style="thin">
        <color rgb="FF053D5F"/>
      </right>
      <top style="thin">
        <color indexed="64"/>
      </top>
      <bottom style="thin">
        <color rgb="FF053D5F"/>
      </bottom>
      <diagonal/>
    </border>
    <border>
      <left style="thin">
        <color rgb="FF053D5F"/>
      </left>
      <right style="thin">
        <color indexed="64"/>
      </right>
      <top style="thin">
        <color indexed="64"/>
      </top>
      <bottom style="thin">
        <color rgb="FF053D5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right style="thin">
        <color theme="0"/>
      </right>
      <top/>
      <bottom/>
      <diagonal/>
    </border>
    <border>
      <left style="thin">
        <color theme="0"/>
      </left>
      <right/>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medium">
        <color auto="1"/>
      </bottom>
      <diagonal/>
    </border>
    <border>
      <left/>
      <right/>
      <top/>
      <bottom style="double">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style="double">
        <color indexed="64"/>
      </bottom>
      <diagonal/>
    </border>
    <border>
      <left/>
      <right style="double">
        <color auto="1"/>
      </right>
      <top/>
      <bottom style="double">
        <color indexed="64"/>
      </bottom>
      <diagonal/>
    </border>
    <border>
      <left style="thin">
        <color theme="0"/>
      </left>
      <right style="thin">
        <color theme="0"/>
      </right>
      <top style="thin">
        <color theme="0"/>
      </top>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ck">
        <color rgb="FF053D5F"/>
      </top>
      <bottom/>
      <diagonal/>
    </border>
    <border>
      <left style="thick">
        <color rgb="FF053D5F"/>
      </left>
      <right style="thick">
        <color rgb="FF053D5F"/>
      </right>
      <top style="thick">
        <color rgb="FF053D5F"/>
      </top>
      <bottom style="thin">
        <color rgb="FF053D5F"/>
      </bottom>
      <diagonal/>
    </border>
    <border>
      <left style="thick">
        <color rgb="FF053D5F"/>
      </left>
      <right style="thick">
        <color rgb="FF053D5F"/>
      </right>
      <top/>
      <bottom/>
      <diagonal/>
    </border>
    <border>
      <left style="thick">
        <color rgb="FF053D5F"/>
      </left>
      <right style="thick">
        <color rgb="FF053D5F"/>
      </right>
      <top style="thin">
        <color rgb="FF053D5F"/>
      </top>
      <bottom style="thin">
        <color rgb="FF053D5F"/>
      </bottom>
      <diagonal/>
    </border>
    <border>
      <left style="thick">
        <color rgb="FF053D5F"/>
      </left>
      <right style="thick">
        <color rgb="FF053D5F"/>
      </right>
      <top/>
      <bottom style="thick">
        <color rgb="FF053D5F"/>
      </bottom>
      <diagonal/>
    </border>
    <border>
      <left style="thick">
        <color rgb="FF053D5F"/>
      </left>
      <right style="thick">
        <color rgb="FF053D5F"/>
      </right>
      <top style="thin">
        <color rgb="FF053D5F"/>
      </top>
      <bottom style="thick">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ck">
        <color rgb="FF053D5F"/>
      </right>
      <top style="thin">
        <color rgb="FF053D5F"/>
      </top>
      <bottom style="thick">
        <color rgb="FF053D5F"/>
      </bottom>
      <diagonal/>
    </border>
    <border>
      <left style="thin">
        <color rgb="FF053D5F"/>
      </left>
      <right style="thin">
        <color rgb="FF053D5F"/>
      </right>
      <top style="thin">
        <color rgb="FF053D5F"/>
      </top>
      <bottom style="thin">
        <color indexed="64"/>
      </bottom>
      <diagonal/>
    </border>
    <border>
      <left style="thin">
        <color rgb="FF053D5F"/>
      </left>
      <right style="thin">
        <color rgb="FF053D5F"/>
      </right>
      <top style="thin">
        <color rgb="FF053D5F"/>
      </top>
      <bottom/>
      <diagonal/>
    </border>
    <border>
      <left style="thin">
        <color rgb="FF053D5F"/>
      </left>
      <right style="thin">
        <color rgb="FF053D5F"/>
      </right>
      <top/>
      <bottom/>
      <diagonal/>
    </border>
    <border>
      <left style="thin">
        <color rgb="FF053D5F"/>
      </left>
      <right style="thin">
        <color rgb="FF053D5F"/>
      </right>
      <top/>
      <bottom style="thin">
        <color rgb="FF053D5F"/>
      </bottom>
      <diagonal/>
    </border>
    <border>
      <left style="medium">
        <color indexed="64"/>
      </left>
      <right style="thin">
        <color rgb="FF053D5F"/>
      </right>
      <top style="medium">
        <color indexed="64"/>
      </top>
      <bottom style="thin">
        <color rgb="FF053D5F"/>
      </bottom>
      <diagonal/>
    </border>
    <border>
      <left style="thin">
        <color rgb="FF053D5F"/>
      </left>
      <right style="thin">
        <color rgb="FF053D5F"/>
      </right>
      <top style="medium">
        <color indexed="64"/>
      </top>
      <bottom style="thin">
        <color rgb="FF053D5F"/>
      </bottom>
      <diagonal/>
    </border>
    <border>
      <left style="thin">
        <color rgb="FF053D5F"/>
      </left>
      <right style="medium">
        <color indexed="64"/>
      </right>
      <top style="medium">
        <color indexed="64"/>
      </top>
      <bottom style="thin">
        <color rgb="FF053D5F"/>
      </bottom>
      <diagonal/>
    </border>
    <border>
      <left style="thin">
        <color rgb="FF053D5F"/>
      </left>
      <right style="medium">
        <color indexed="64"/>
      </right>
      <top style="thin">
        <color rgb="FF053D5F"/>
      </top>
      <bottom style="thin">
        <color rgb="FF053D5F"/>
      </bottom>
      <diagonal/>
    </border>
    <border>
      <left style="thin">
        <color rgb="FF053D5F"/>
      </left>
      <right style="thin">
        <color rgb="FF053D5F"/>
      </right>
      <top/>
      <bottom style="medium">
        <color indexed="64"/>
      </bottom>
      <diagonal/>
    </border>
    <border>
      <left style="thin">
        <color rgb="FF053D5F"/>
      </left>
      <right style="thin">
        <color rgb="FF053D5F"/>
      </right>
      <top style="thin">
        <color rgb="FF053D5F"/>
      </top>
      <bottom style="medium">
        <color indexed="64"/>
      </bottom>
      <diagonal/>
    </border>
    <border>
      <left style="thin">
        <color rgb="FF053D5F"/>
      </left>
      <right style="medium">
        <color indexed="64"/>
      </right>
      <top style="thin">
        <color rgb="FF053D5F"/>
      </top>
      <bottom style="medium">
        <color indexed="64"/>
      </bottom>
      <diagonal/>
    </border>
    <border>
      <left style="thin">
        <color rgb="FF053D5F"/>
      </left>
      <right/>
      <top style="thin">
        <color rgb="FF053D5F"/>
      </top>
      <bottom/>
      <diagonal/>
    </border>
    <border>
      <left style="thin">
        <color indexed="64"/>
      </left>
      <right style="thin">
        <color rgb="FF053D5F"/>
      </right>
      <top style="thin">
        <color indexed="64"/>
      </top>
      <bottom style="thin">
        <color rgb="FF053D5F"/>
      </bottom>
      <diagonal/>
    </border>
    <border>
      <left style="thin">
        <color rgb="FF053D5F"/>
      </left>
      <right/>
      <top/>
      <bottom/>
      <diagonal/>
    </border>
    <border>
      <left style="thin">
        <color indexed="64"/>
      </left>
      <right style="thin">
        <color rgb="FF053D5F"/>
      </right>
      <top style="thin">
        <color rgb="FF053D5F"/>
      </top>
      <bottom style="thin">
        <color rgb="FF053D5F"/>
      </bottom>
      <diagonal/>
    </border>
    <border>
      <left style="thin">
        <color rgb="FF053D5F"/>
      </left>
      <right style="thin">
        <color indexed="64"/>
      </right>
      <top style="thin">
        <color rgb="FF053D5F"/>
      </top>
      <bottom style="thin">
        <color rgb="FF053D5F"/>
      </bottom>
      <diagonal/>
    </border>
    <border>
      <left style="thin">
        <color rgb="FF053D5F"/>
      </left>
      <right/>
      <top/>
      <bottom style="thin">
        <color rgb="FF053D5F"/>
      </bottom>
      <diagonal/>
    </border>
    <border>
      <left style="thin">
        <color indexed="64"/>
      </left>
      <right style="thin">
        <color rgb="FF053D5F"/>
      </right>
      <top style="thin">
        <color rgb="FF053D5F"/>
      </top>
      <bottom style="thin">
        <color indexed="64"/>
      </bottom>
      <diagonal/>
    </border>
    <border>
      <left style="thin">
        <color rgb="FF053D5F"/>
      </left>
      <right style="thin">
        <color indexed="64"/>
      </right>
      <top style="thin">
        <color rgb="FF053D5F"/>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double">
        <color rgb="FF000000"/>
      </bottom>
      <diagonal/>
    </border>
    <border>
      <left/>
      <right/>
      <top/>
      <bottom style="double">
        <color rgb="FF000000"/>
      </bottom>
      <diagonal/>
    </border>
    <border>
      <left/>
      <right style="medium">
        <color rgb="FF000000"/>
      </right>
      <top/>
      <bottom style="double">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style="double">
        <color rgb="FF000000"/>
      </top>
      <bottom/>
      <diagonal/>
    </border>
    <border>
      <left/>
      <right style="medium">
        <color rgb="FF000000"/>
      </right>
      <top style="double">
        <color rgb="FF000000"/>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indexed="64"/>
      </bottom>
      <diagonal/>
    </border>
    <border>
      <left style="thin">
        <color theme="4"/>
      </left>
      <right/>
      <top/>
      <bottom/>
      <diagonal/>
    </border>
    <border>
      <left style="thin">
        <color theme="0"/>
      </left>
      <right style="medium">
        <color indexed="64"/>
      </right>
      <top/>
      <bottom/>
      <diagonal/>
    </border>
    <border>
      <left style="medium">
        <color indexed="64"/>
      </left>
      <right style="thin">
        <color theme="0"/>
      </right>
      <top style="medium">
        <color indexed="64"/>
      </top>
      <bottom style="thin">
        <color indexed="64"/>
      </bottom>
      <diagonal/>
    </border>
    <border>
      <left style="thin">
        <color theme="0"/>
      </left>
      <right style="medium">
        <color indexed="64"/>
      </right>
      <top style="medium">
        <color indexed="64"/>
      </top>
      <bottom style="thin">
        <color theme="0"/>
      </bottom>
      <diagonal/>
    </border>
    <border>
      <left style="medium">
        <color indexed="64"/>
      </left>
      <right style="thin">
        <color theme="0"/>
      </right>
      <top/>
      <bottom style="thin">
        <color theme="0"/>
      </bottom>
      <diagonal/>
    </border>
    <border>
      <left style="thin">
        <color theme="0"/>
      </left>
      <right style="medium">
        <color indexed="64"/>
      </right>
      <top style="thin">
        <color theme="0"/>
      </top>
      <bottom style="thin">
        <color theme="0"/>
      </bottom>
      <diagonal/>
    </border>
    <border>
      <left style="medium">
        <color indexed="64"/>
      </left>
      <right/>
      <top style="thin">
        <color theme="0"/>
      </top>
      <bottom/>
      <diagonal/>
    </border>
    <border>
      <left/>
      <right style="medium">
        <color indexed="64"/>
      </right>
      <top style="thin">
        <color theme="0"/>
      </top>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right style="thick">
        <color rgb="FF053D5F"/>
      </right>
      <top style="thick">
        <color rgb="FF053D5F"/>
      </top>
      <bottom style="thin">
        <color rgb="FF053D5F"/>
      </bottom>
      <diagonal/>
    </border>
    <border>
      <left/>
      <right style="thick">
        <color rgb="FF053D5F"/>
      </right>
      <top style="thin">
        <color rgb="FF053D5F"/>
      </top>
      <bottom/>
      <diagonal/>
    </border>
    <border>
      <left style="thick">
        <color rgb="FF053D5F"/>
      </left>
      <right style="thick">
        <color rgb="FF053D5F"/>
      </right>
      <top style="thin">
        <color rgb="FF053D5F"/>
      </top>
      <bottom/>
      <diagonal/>
    </border>
    <border>
      <left/>
      <right style="thick">
        <color rgb="FF053D5F"/>
      </right>
      <top style="thin">
        <color rgb="FF053D5F"/>
      </top>
      <bottom style="thick">
        <color rgb="FF053D5F"/>
      </bottom>
      <diagonal/>
    </border>
    <border>
      <left/>
      <right style="medium">
        <color rgb="FF000000"/>
      </right>
      <top/>
      <bottom style="thick">
        <color rgb="FF000000"/>
      </bottom>
      <diagonal/>
    </border>
    <border>
      <left/>
      <right style="medium">
        <color rgb="FF000000"/>
      </right>
      <top style="medium">
        <color rgb="FF000000"/>
      </top>
      <bottom style="thick">
        <color rgb="FF000000"/>
      </bottom>
      <diagonal/>
    </border>
    <border>
      <left style="thick">
        <color rgb="FF000000"/>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thick">
        <color rgb="FF000000"/>
      </right>
      <top/>
      <bottom style="thick">
        <color rgb="FF000000"/>
      </bottom>
      <diagonal/>
    </border>
    <border>
      <left style="thick">
        <color rgb="FF000000"/>
      </left>
      <right style="medium">
        <color rgb="FF000000"/>
      </right>
      <top style="thick">
        <color rgb="FF000000"/>
      </top>
      <bottom/>
      <diagonal/>
    </border>
    <border>
      <left style="thick">
        <color rgb="FF000000"/>
      </left>
      <right style="medium">
        <color rgb="FF000000"/>
      </right>
      <top/>
      <bottom/>
      <diagonal/>
    </border>
    <border>
      <left/>
      <right style="medium">
        <color rgb="FF000000"/>
      </right>
      <top style="thick">
        <color rgb="FF000000"/>
      </top>
      <bottom/>
      <diagonal/>
    </border>
    <border>
      <left style="medium">
        <color rgb="FF000000"/>
      </left>
      <right style="medium">
        <color rgb="FF000000"/>
      </right>
      <top style="thick">
        <color rgb="FF000000"/>
      </top>
      <bottom/>
      <diagonal/>
    </border>
    <border>
      <left style="thick">
        <color rgb="FF000000"/>
      </left>
      <right style="medium">
        <color rgb="FF000000"/>
      </right>
      <top style="medium">
        <color rgb="FF000000"/>
      </top>
      <bottom/>
      <diagonal/>
    </border>
    <border>
      <left/>
      <right/>
      <top/>
      <bottom style="medium">
        <color rgb="FFD9D9D9"/>
      </bottom>
      <diagonal/>
    </border>
    <border>
      <left/>
      <right style="medium">
        <color rgb="FF000000"/>
      </right>
      <top/>
      <bottom style="medium">
        <color rgb="FFD9D9D9"/>
      </bottom>
      <diagonal/>
    </border>
    <border>
      <left style="medium">
        <color rgb="FF000000"/>
      </left>
      <right style="thick">
        <color rgb="FF000000"/>
      </right>
      <top style="thick">
        <color rgb="FF000000"/>
      </top>
      <bottom/>
      <diagonal/>
    </border>
    <border>
      <left style="medium">
        <color rgb="FF000000"/>
      </left>
      <right style="thick">
        <color rgb="FF000000"/>
      </right>
      <top/>
      <bottom/>
      <diagonal/>
    </border>
    <border>
      <left style="medium">
        <color rgb="FF000000"/>
      </left>
      <right style="thick">
        <color rgb="FF000000"/>
      </right>
      <top/>
      <bottom style="medium">
        <color rgb="FF000000"/>
      </bottom>
      <diagonal/>
    </border>
    <border>
      <left style="medium">
        <color rgb="FF000000"/>
      </left>
      <right/>
      <top/>
      <bottom style="medium">
        <color rgb="FFD9D9D9"/>
      </bottom>
      <diagonal/>
    </border>
    <border>
      <left style="thin">
        <color theme="3"/>
      </left>
      <right style="thin">
        <color theme="0"/>
      </right>
      <top style="thin">
        <color theme="3"/>
      </top>
      <bottom style="thin">
        <color theme="0"/>
      </bottom>
      <diagonal/>
    </border>
    <border>
      <left style="thin">
        <color theme="0"/>
      </left>
      <right style="thin">
        <color theme="0"/>
      </right>
      <top style="thin">
        <color theme="3"/>
      </top>
      <bottom style="thin">
        <color theme="0"/>
      </bottom>
      <diagonal/>
    </border>
    <border>
      <left style="thin">
        <color theme="0"/>
      </left>
      <right style="thin">
        <color auto="1"/>
      </right>
      <top style="thin">
        <color theme="3"/>
      </top>
      <bottom style="thin">
        <color theme="0"/>
      </bottom>
      <diagonal/>
    </border>
    <border>
      <left style="thin">
        <color theme="3"/>
      </left>
      <right style="thin">
        <color theme="0"/>
      </right>
      <top style="thin">
        <color theme="0"/>
      </top>
      <bottom/>
      <diagonal/>
    </border>
    <border>
      <left style="thin">
        <color theme="0"/>
      </left>
      <right style="thin">
        <color auto="1"/>
      </right>
      <top style="thin">
        <color theme="0"/>
      </top>
      <bottom/>
      <diagonal/>
    </border>
    <border>
      <left style="thin">
        <color theme="3"/>
      </left>
      <right style="thin">
        <color theme="3"/>
      </right>
      <top style="thin">
        <color theme="3"/>
      </top>
      <bottom style="thin">
        <color theme="3"/>
      </bottom>
      <diagonal/>
    </border>
    <border>
      <left style="thin">
        <color theme="3"/>
      </left>
      <right style="thin">
        <color auto="1"/>
      </right>
      <top style="thin">
        <color theme="3"/>
      </top>
      <bottom style="thin">
        <color theme="3"/>
      </bottom>
      <diagonal/>
    </border>
    <border>
      <left style="thin">
        <color theme="0"/>
      </left>
      <right style="thin">
        <color theme="3"/>
      </right>
      <top style="thin">
        <color theme="3"/>
      </top>
      <bottom style="thin">
        <color theme="0"/>
      </bottom>
      <diagonal/>
    </border>
    <border>
      <left style="thin">
        <color theme="0"/>
      </left>
      <right style="thin">
        <color theme="3"/>
      </right>
      <top style="thin">
        <color theme="0"/>
      </top>
      <bottom/>
      <diagonal/>
    </border>
    <border>
      <left style="thin">
        <color theme="3"/>
      </left>
      <right/>
      <top style="thin">
        <color theme="3"/>
      </top>
      <bottom style="thin">
        <color theme="3"/>
      </bottom>
      <diagonal/>
    </border>
    <border>
      <left/>
      <right/>
      <top style="thin">
        <color auto="1"/>
      </top>
      <bottom style="thin">
        <color auto="1"/>
      </bottom>
      <diagonal/>
    </border>
    <border>
      <left/>
      <right style="thin">
        <color theme="3"/>
      </right>
      <top/>
      <bottom style="thin">
        <color theme="3"/>
      </bottom>
      <diagonal/>
    </border>
    <border>
      <left style="thin">
        <color theme="3"/>
      </left>
      <right style="thin">
        <color theme="3"/>
      </right>
      <top/>
      <bottom style="thin">
        <color theme="3"/>
      </bottom>
      <diagonal/>
    </border>
    <border>
      <left/>
      <right style="thin">
        <color theme="3"/>
      </right>
      <top style="thin">
        <color theme="3"/>
      </top>
      <bottom/>
      <diagonal/>
    </border>
    <border>
      <left style="thin">
        <color theme="3"/>
      </left>
      <right style="thin">
        <color theme="3"/>
      </right>
      <top style="thin">
        <color theme="3"/>
      </top>
      <bottom/>
      <diagonal/>
    </border>
    <border>
      <left style="medium">
        <color indexed="64"/>
      </left>
      <right style="thin">
        <color theme="0"/>
      </right>
      <top style="medium">
        <color indexed="64"/>
      </top>
      <bottom style="thin">
        <color theme="0"/>
      </bottom>
      <diagonal/>
    </border>
    <border>
      <left style="medium">
        <color indexed="64"/>
      </left>
      <right style="thin">
        <color theme="0" tint="-0.14999847407452621"/>
      </right>
      <top/>
      <bottom/>
      <diagonal/>
    </border>
    <border>
      <left style="thin">
        <color theme="0" tint="-0.14999847407452621"/>
      </left>
      <right style="medium">
        <color indexed="64"/>
      </right>
      <top/>
      <bottom/>
      <diagonal/>
    </border>
    <border>
      <left/>
      <right style="medium">
        <color indexed="64"/>
      </right>
      <top style="medium">
        <color indexed="64"/>
      </top>
      <bottom style="thin">
        <color theme="0"/>
      </bottom>
      <diagonal/>
    </border>
    <border>
      <left style="medium">
        <color indexed="64"/>
      </left>
      <right style="thin">
        <color theme="0" tint="-0.14999847407452621"/>
      </right>
      <top/>
      <bottom style="medium">
        <color indexed="64"/>
      </bottom>
      <diagonal/>
    </border>
    <border>
      <left style="thin">
        <color theme="0"/>
      </left>
      <right/>
      <top style="medium">
        <color indexed="64"/>
      </top>
      <bottom style="thin">
        <color theme="0"/>
      </bottom>
      <diagonal/>
    </border>
    <border>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medium">
        <color indexed="64"/>
      </right>
      <top style="medium">
        <color indexed="64"/>
      </top>
      <bottom style="medium">
        <color indexed="64"/>
      </bottom>
      <diagonal/>
    </border>
    <border>
      <left style="medium">
        <color indexed="64"/>
      </left>
      <right style="thin">
        <color indexed="9"/>
      </right>
      <top style="medium">
        <color indexed="64"/>
      </top>
      <bottom/>
      <diagonal/>
    </border>
    <border>
      <left style="thin">
        <color indexed="9"/>
      </left>
      <right/>
      <top style="medium">
        <color indexed="64"/>
      </top>
      <bottom style="thin">
        <color indexed="9"/>
      </bottom>
      <diagonal/>
    </border>
    <border>
      <left/>
      <right/>
      <top style="medium">
        <color indexed="64"/>
      </top>
      <bottom style="thin">
        <color indexed="9"/>
      </bottom>
      <diagonal/>
    </border>
    <border>
      <left style="medium">
        <color indexed="64"/>
      </left>
      <right style="thin">
        <color indexed="9"/>
      </right>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9"/>
      </left>
      <right/>
      <top style="medium">
        <color indexed="64"/>
      </top>
      <bottom/>
      <diagonal/>
    </border>
    <border>
      <left style="thin">
        <color indexed="9"/>
      </left>
      <right style="thin">
        <color indexed="9"/>
      </right>
      <top style="thin">
        <color indexed="9"/>
      </top>
      <bottom/>
      <diagonal/>
    </border>
    <border>
      <left style="thin">
        <color indexed="9"/>
      </left>
      <right/>
      <top style="thin">
        <color indexed="64"/>
      </top>
      <bottom/>
      <diagonal/>
    </border>
    <border>
      <left style="thin">
        <color indexed="9"/>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64"/>
      </right>
      <top/>
      <bottom/>
      <diagonal/>
    </border>
    <border>
      <left style="thin">
        <color indexed="9"/>
      </left>
      <right style="thin">
        <color indexed="64"/>
      </right>
      <top/>
      <bottom style="thin">
        <color indexed="9"/>
      </bottom>
      <diagonal/>
    </border>
    <border>
      <left style="thin">
        <color indexed="64"/>
      </left>
      <right/>
      <top style="thin">
        <color indexed="9"/>
      </top>
      <bottom style="thin">
        <color indexed="64"/>
      </bottom>
      <diagonal/>
    </border>
    <border>
      <left/>
      <right/>
      <top style="thin">
        <color indexed="9"/>
      </top>
      <bottom style="thin">
        <color indexed="64"/>
      </bottom>
      <diagonal/>
    </border>
    <border>
      <left style="thin">
        <color indexed="64"/>
      </left>
      <right style="thin">
        <color indexed="64"/>
      </right>
      <top style="thin">
        <color indexed="9"/>
      </top>
      <bottom style="thin">
        <color indexed="64"/>
      </bottom>
      <diagonal/>
    </border>
    <border>
      <left style="thin">
        <color indexed="8"/>
      </left>
      <right/>
      <top/>
      <bottom/>
      <diagonal/>
    </border>
    <border>
      <left style="thin">
        <color indexed="64"/>
      </left>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9"/>
      </right>
      <top style="thin">
        <color indexed="64"/>
      </top>
      <bottom/>
      <diagonal/>
    </border>
    <border>
      <left style="thin">
        <color indexed="64"/>
      </left>
      <right style="thin">
        <color indexed="9"/>
      </right>
      <top/>
      <bottom/>
      <diagonal/>
    </border>
    <border>
      <left style="thin">
        <color indexed="64"/>
      </left>
      <right/>
      <top style="thin">
        <color indexed="8"/>
      </top>
      <bottom/>
      <diagonal/>
    </border>
    <border>
      <left style="thin">
        <color indexed="64"/>
      </left>
      <right style="thin">
        <color indexed="64"/>
      </right>
      <top style="thin">
        <color indexed="64"/>
      </top>
      <bottom/>
      <diagonal/>
    </border>
    <border>
      <left/>
      <right style="medium">
        <color indexed="64"/>
      </right>
      <top/>
      <bottom style="thin">
        <color indexed="9"/>
      </bottom>
      <diagonal/>
    </border>
    <border>
      <left style="medium">
        <color indexed="64"/>
      </left>
      <right/>
      <top style="thin">
        <color indexed="9"/>
      </top>
      <bottom style="thin">
        <color indexed="64"/>
      </bottom>
      <diagonal/>
    </border>
    <border>
      <left style="thin">
        <color indexed="64"/>
      </left>
      <right style="medium">
        <color indexed="64"/>
      </right>
      <top style="thin">
        <color indexed="9"/>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style="thin">
        <color auto="1"/>
      </top>
      <bottom style="thin">
        <color auto="1"/>
      </bottom>
      <diagonal/>
    </border>
    <border>
      <left/>
      <right/>
      <top style="thin">
        <color auto="1"/>
      </top>
      <bottom/>
      <diagonal/>
    </border>
    <border>
      <left/>
      <right/>
      <top style="thin">
        <color auto="1"/>
      </top>
      <bottom style="thin">
        <color theme="1"/>
      </bottom>
      <diagonal/>
    </border>
    <border>
      <left/>
      <right/>
      <top/>
      <bottom style="thin">
        <color theme="1"/>
      </bottom>
      <diagonal/>
    </border>
    <border>
      <left/>
      <right/>
      <top style="double">
        <color theme="0"/>
      </top>
      <bottom style="thin">
        <color theme="0"/>
      </bottom>
      <diagonal/>
    </border>
    <border>
      <left style="thin">
        <color auto="1"/>
      </left>
      <right/>
      <top style="thin">
        <color auto="1"/>
      </top>
      <bottom/>
      <diagonal/>
    </border>
    <border>
      <left/>
      <right/>
      <top style="thin">
        <color auto="1"/>
      </top>
      <bottom style="double">
        <color theme="1"/>
      </bottom>
      <diagonal/>
    </border>
    <border>
      <left/>
      <right/>
      <top style="thin">
        <color theme="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auto="1"/>
      </bottom>
      <diagonal/>
    </border>
    <border>
      <left/>
      <right style="thin">
        <color indexed="64"/>
      </right>
      <top style="thin">
        <color auto="1"/>
      </top>
      <bottom style="thin">
        <color theme="1"/>
      </bottom>
      <diagonal/>
    </border>
    <border>
      <left/>
      <right style="thin">
        <color indexed="64"/>
      </right>
      <top style="thin">
        <color theme="1"/>
      </top>
      <bottom/>
      <diagonal/>
    </border>
    <border>
      <left/>
      <right style="thin">
        <color indexed="64"/>
      </right>
      <top/>
      <bottom style="thin">
        <color theme="1"/>
      </bottom>
      <diagonal/>
    </border>
    <border>
      <left/>
      <right style="thin">
        <color indexed="64"/>
      </right>
      <top style="thin">
        <color auto="1"/>
      </top>
      <bottom/>
      <diagonal/>
    </border>
    <border>
      <left style="thin">
        <color indexed="64"/>
      </left>
      <right style="thin">
        <color auto="1"/>
      </right>
      <top/>
      <bottom/>
      <diagonal/>
    </border>
    <border>
      <left/>
      <right style="thin">
        <color indexed="64"/>
      </right>
      <top style="thin">
        <color auto="1"/>
      </top>
      <bottom style="double">
        <color theme="1"/>
      </bottom>
      <diagonal/>
    </border>
    <border>
      <left style="thin">
        <color auto="1"/>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theme="4"/>
      </left>
      <right/>
      <top style="medium">
        <color indexed="64"/>
      </top>
      <bottom/>
      <diagonal/>
    </border>
    <border>
      <left/>
      <right style="thin">
        <color theme="0"/>
      </right>
      <top style="medium">
        <color indexed="64"/>
      </top>
      <bottom/>
      <diagonal/>
    </border>
    <border>
      <left style="thin">
        <color theme="0"/>
      </left>
      <right style="medium">
        <color indexed="64"/>
      </right>
      <top style="medium">
        <color indexed="64"/>
      </top>
      <bottom/>
      <diagonal/>
    </border>
    <border>
      <left style="thin">
        <color theme="0"/>
      </left>
      <right style="medium">
        <color indexed="64"/>
      </right>
      <top style="thin">
        <color theme="0"/>
      </top>
      <bottom/>
      <diagonal/>
    </border>
    <border>
      <left style="thin">
        <color indexed="64"/>
      </left>
      <right style="thin">
        <color indexed="64"/>
      </right>
      <top style="thin">
        <color indexed="9"/>
      </top>
      <bottom style="thin">
        <color indexed="64"/>
      </bottom>
      <diagonal/>
    </border>
    <border>
      <left style="thin">
        <color indexed="64"/>
      </left>
      <right/>
      <top style="thin">
        <color indexed="9"/>
      </top>
      <bottom style="thin">
        <color indexed="64"/>
      </bottom>
      <diagonal/>
    </border>
    <border>
      <left style="thin">
        <color indexed="64"/>
      </left>
      <right/>
      <top style="thin">
        <color indexed="64"/>
      </top>
      <bottom/>
      <diagonal/>
    </border>
    <border>
      <left/>
      <right style="thin">
        <color indexed="64"/>
      </right>
      <top style="thin">
        <color indexed="9"/>
      </top>
      <bottom style="thin">
        <color indexed="64"/>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diagonal/>
    </border>
    <border>
      <left style="thin">
        <color indexed="64"/>
      </left>
      <right style="thin">
        <color indexed="64"/>
      </right>
      <top/>
      <bottom style="thin">
        <color indexed="64"/>
      </bottom>
      <diagonal/>
    </border>
    <border>
      <left style="thin">
        <color indexed="9"/>
      </left>
      <right style="thin">
        <color indexed="9"/>
      </right>
      <top/>
      <bottom style="thin">
        <color indexed="9"/>
      </bottom>
      <diagonal/>
    </border>
    <border>
      <left/>
      <right style="thin">
        <color indexed="64"/>
      </right>
      <top style="thin">
        <color indexed="64"/>
      </top>
      <bottom/>
      <diagonal/>
    </border>
    <border>
      <left/>
      <right style="thin">
        <color indexed="64"/>
      </right>
      <top/>
      <bottom style="thin">
        <color indexed="9"/>
      </bottom>
      <diagonal/>
    </border>
    <border>
      <left/>
      <right/>
      <top style="thin">
        <color indexed="64"/>
      </top>
      <bottom/>
      <diagonal/>
    </border>
    <border>
      <left/>
      <right/>
      <top style="thin">
        <color indexed="9"/>
      </top>
      <bottom style="thin">
        <color indexed="9"/>
      </bottom>
      <diagonal/>
    </border>
    <border>
      <left/>
      <right/>
      <top style="thin">
        <color indexed="9"/>
      </top>
      <bottom style="thin">
        <color indexed="64"/>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right/>
      <top/>
      <bottom style="thin">
        <color indexed="64"/>
      </bottom>
      <diagonal/>
    </border>
    <border>
      <left style="medium">
        <color indexed="64"/>
      </left>
      <right/>
      <top style="thin">
        <color theme="0"/>
      </top>
      <bottom style="thin">
        <color theme="0"/>
      </bottom>
      <diagonal/>
    </border>
    <border>
      <left style="medium">
        <color indexed="64"/>
      </left>
      <right style="thin">
        <color indexed="9"/>
      </right>
      <top style="thin">
        <color indexed="9"/>
      </top>
      <bottom/>
      <diagonal/>
    </border>
    <border>
      <left style="thin">
        <color indexed="9"/>
      </left>
      <right/>
      <top style="thin">
        <color indexed="9"/>
      </top>
      <bottom/>
      <diagonal/>
    </border>
    <border>
      <left style="thin">
        <color indexed="9"/>
      </left>
      <right style="medium">
        <color indexed="64"/>
      </right>
      <top style="thin">
        <color indexed="9"/>
      </top>
      <bottom/>
      <diagonal/>
    </border>
    <border>
      <left/>
      <right style="medium">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right style="thin">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top style="thin">
        <color rgb="FFD3D3D3"/>
      </top>
      <bottom style="thin">
        <color rgb="FFD3D3D3"/>
      </bottom>
      <diagonal/>
    </border>
    <border>
      <left/>
      <right style="medium">
        <color indexed="64"/>
      </right>
      <top style="thin">
        <color theme="0"/>
      </top>
      <bottom style="thin">
        <color theme="0"/>
      </bottom>
      <diagonal/>
    </border>
    <border>
      <left style="medium">
        <color indexed="64"/>
      </left>
      <right/>
      <top style="double">
        <color theme="0"/>
      </top>
      <bottom style="thin">
        <color theme="0"/>
      </bottom>
      <diagonal/>
    </border>
    <border>
      <left/>
      <right style="medium">
        <color indexed="64"/>
      </right>
      <top style="double">
        <color theme="0"/>
      </top>
      <bottom style="thin">
        <color theme="0"/>
      </bottom>
      <diagonal/>
    </border>
    <border>
      <left style="medium">
        <color indexed="64"/>
      </left>
      <right/>
      <top/>
      <bottom style="thin">
        <color theme="0"/>
      </bottom>
      <diagonal/>
    </border>
    <border>
      <left/>
      <right style="medium">
        <color indexed="64"/>
      </right>
      <top/>
      <bottom style="thin">
        <color theme="0"/>
      </bottom>
      <diagonal/>
    </border>
    <border>
      <left/>
      <right/>
      <top style="thin">
        <color auto="1"/>
      </top>
      <bottom style="thin">
        <color auto="1"/>
      </bottom>
      <diagonal/>
    </border>
    <border>
      <left style="medium">
        <color indexed="64"/>
      </left>
      <right style="thin">
        <color theme="0"/>
      </right>
      <top/>
      <bottom/>
      <diagonal/>
    </border>
    <border>
      <left style="thin">
        <color auto="1"/>
      </left>
      <right style="medium">
        <color indexed="64"/>
      </right>
      <top style="thin">
        <color auto="1"/>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diagonal/>
    </border>
    <border>
      <left style="medium">
        <color indexed="64"/>
      </left>
      <right style="thin">
        <color indexed="64"/>
      </right>
      <top style="thin">
        <color theme="1"/>
      </top>
      <bottom/>
      <diagonal/>
    </border>
    <border>
      <left/>
      <right style="medium">
        <color indexed="64"/>
      </right>
      <top style="thin">
        <color theme="1"/>
      </top>
      <bottom/>
      <diagonal/>
    </border>
    <border>
      <left style="thin">
        <color auto="1"/>
      </left>
      <right style="medium">
        <color indexed="64"/>
      </right>
      <top style="thin">
        <color auto="1"/>
      </top>
      <bottom/>
      <diagonal/>
    </border>
    <border>
      <left style="thin">
        <color auto="1"/>
      </left>
      <right style="medium">
        <color indexed="64"/>
      </right>
      <top style="thin">
        <color theme="1"/>
      </top>
      <bottom/>
      <diagonal/>
    </border>
    <border>
      <left style="medium">
        <color indexed="64"/>
      </left>
      <right style="thin">
        <color auto="1"/>
      </right>
      <top style="thin">
        <color theme="1"/>
      </top>
      <bottom style="double">
        <color theme="1"/>
      </bottom>
      <diagonal/>
    </border>
    <border>
      <left style="thin">
        <color auto="1"/>
      </left>
      <right style="medium">
        <color indexed="64"/>
      </right>
      <top style="thin">
        <color theme="1"/>
      </top>
      <bottom style="double">
        <color theme="1"/>
      </bottom>
      <diagonal/>
    </border>
    <border>
      <left/>
      <right/>
      <top style="thin">
        <color auto="1"/>
      </top>
      <bottom/>
      <diagonal/>
    </border>
    <border>
      <left style="medium">
        <color indexed="64"/>
      </left>
      <right style="thin">
        <color auto="1"/>
      </right>
      <top style="thin">
        <color auto="1"/>
      </top>
      <bottom style="thin">
        <color auto="1"/>
      </bottom>
      <diagonal/>
    </border>
    <border>
      <left style="medium">
        <color indexed="64"/>
      </left>
      <right/>
      <top style="thin">
        <color theme="1"/>
      </top>
      <bottom/>
      <diagonal/>
    </border>
    <border>
      <left/>
      <right/>
      <top style="thin">
        <color auto="1"/>
      </top>
      <bottom style="thin">
        <color theme="1"/>
      </bottom>
      <diagonal/>
    </border>
    <border>
      <left/>
      <right/>
      <top style="thin">
        <color auto="1"/>
      </top>
      <bottom style="double">
        <color theme="1"/>
      </bottom>
      <diagonal/>
    </border>
    <border>
      <left style="medium">
        <color indexed="64"/>
      </left>
      <right style="thin">
        <color theme="0"/>
      </right>
      <top style="thin">
        <color theme="0"/>
      </top>
      <bottom/>
      <diagonal/>
    </border>
    <border>
      <left style="medium">
        <color indexed="64"/>
      </left>
      <right/>
      <top style="thin">
        <color auto="1"/>
      </top>
      <bottom style="thin">
        <color auto="1"/>
      </bottom>
      <diagonal/>
    </border>
    <border>
      <left style="medium">
        <color indexed="64"/>
      </left>
      <right/>
      <top style="thin">
        <color auto="1"/>
      </top>
      <bottom/>
      <diagonal/>
    </border>
    <border>
      <left style="thin">
        <color rgb="FF000000"/>
      </left>
      <right style="medium">
        <color indexed="64"/>
      </right>
      <top/>
      <bottom/>
      <diagonal/>
    </border>
    <border>
      <left style="thin">
        <color rgb="FF000000"/>
      </left>
      <right style="medium">
        <color indexed="64"/>
      </right>
      <top style="thin">
        <color theme="1"/>
      </top>
      <bottom/>
      <diagonal/>
    </border>
    <border>
      <left style="thin">
        <color rgb="FF000000"/>
      </left>
      <right style="medium">
        <color indexed="64"/>
      </right>
      <top style="medium">
        <color indexed="64"/>
      </top>
      <bottom style="medium">
        <color indexed="64"/>
      </bottom>
      <diagonal/>
    </border>
    <border>
      <left style="thin">
        <color rgb="FF000000"/>
      </left>
      <right style="medium">
        <color indexed="64"/>
      </right>
      <top/>
      <bottom style="thin">
        <color indexed="64"/>
      </bottom>
      <diagonal/>
    </border>
    <border>
      <left style="thin">
        <color rgb="FF000000"/>
      </left>
      <right style="medium">
        <color indexed="64"/>
      </right>
      <top style="thin">
        <color auto="1"/>
      </top>
      <bottom/>
      <diagonal/>
    </border>
    <border>
      <left style="medium">
        <color indexed="64"/>
      </left>
      <right style="thin">
        <color auto="1"/>
      </right>
      <top style="thin">
        <color auto="1"/>
      </top>
      <bottom/>
      <diagonal/>
    </border>
    <border>
      <left style="medium">
        <color indexed="64"/>
      </left>
      <right style="thin">
        <color theme="1"/>
      </right>
      <top style="thin">
        <color theme="1"/>
      </top>
      <bottom style="double">
        <color theme="1"/>
      </bottom>
      <diagonal/>
    </border>
    <border>
      <left style="thin">
        <color auto="1"/>
      </left>
      <right style="medium">
        <color indexed="64"/>
      </right>
      <top style="thin">
        <color auto="1"/>
      </top>
      <bottom style="double">
        <color theme="1"/>
      </bottom>
      <diagonal/>
    </border>
    <border>
      <left/>
      <right/>
      <top style="thin">
        <color theme="4"/>
      </top>
      <bottom style="thin">
        <color theme="4"/>
      </bottom>
      <diagonal/>
    </border>
    <border>
      <left/>
      <right/>
      <top/>
      <bottom style="thin">
        <color theme="4"/>
      </bottom>
      <diagonal/>
    </border>
    <border>
      <left/>
      <right style="thin">
        <color theme="4"/>
      </right>
      <top/>
      <bottom style="thin">
        <color theme="4"/>
      </bottom>
      <diagonal/>
    </border>
    <border>
      <left/>
      <right style="thin">
        <color theme="4"/>
      </right>
      <top style="thin">
        <color theme="4"/>
      </top>
      <bottom style="thin">
        <color theme="4"/>
      </bottom>
      <diagonal/>
    </border>
    <border>
      <left style="thin">
        <color theme="4"/>
      </left>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style="thin">
        <color theme="4"/>
      </left>
      <right style="thin">
        <color auto="1"/>
      </right>
      <top style="medium">
        <color indexed="64"/>
      </top>
      <bottom style="thin">
        <color indexed="64"/>
      </bottom>
      <diagonal/>
    </border>
    <border>
      <left style="thin">
        <color theme="4"/>
      </left>
      <right style="thin">
        <color auto="1"/>
      </right>
      <top style="thin">
        <color indexed="64"/>
      </top>
      <bottom style="thin">
        <color indexed="64"/>
      </bottom>
      <diagonal/>
    </border>
    <border>
      <left style="thin">
        <color theme="4"/>
      </left>
      <right/>
      <top/>
      <bottom style="medium">
        <color indexed="64"/>
      </bottom>
      <diagonal/>
    </border>
    <border>
      <left style="thin">
        <color theme="0"/>
      </left>
      <right/>
      <top style="medium">
        <color indexed="64"/>
      </top>
      <bottom style="thin">
        <color indexed="9"/>
      </bottom>
      <diagonal/>
    </border>
    <border>
      <left/>
      <right style="medium">
        <color indexed="64"/>
      </right>
      <top style="medium">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medium">
        <color indexed="64"/>
      </right>
      <top style="thin">
        <color indexed="9"/>
      </top>
      <bottom style="thin">
        <color indexed="64"/>
      </bottom>
      <diagonal/>
    </border>
    <border>
      <left style="medium">
        <color indexed="64"/>
      </left>
      <right style="thin">
        <color theme="0"/>
      </right>
      <top style="thin">
        <color indexed="64"/>
      </top>
      <bottom style="thin">
        <color indexed="64"/>
      </bottom>
      <diagonal/>
    </border>
    <border>
      <left style="thin">
        <color theme="0"/>
      </left>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auto="1"/>
      </right>
      <top/>
      <bottom style="thin">
        <color auto="1"/>
      </bottom>
      <diagonal/>
    </border>
    <border>
      <left style="thin">
        <color indexed="64"/>
      </left>
      <right/>
      <top style="medium">
        <color indexed="64"/>
      </top>
      <bottom/>
      <diagonal/>
    </border>
    <border>
      <left style="thin">
        <color theme="4"/>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style="thin">
        <color theme="4"/>
      </left>
      <right style="thin">
        <color theme="0"/>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style="thin">
        <color theme="0"/>
      </top>
      <bottom/>
      <diagonal/>
    </border>
    <border>
      <left/>
      <right style="thin">
        <color indexed="64"/>
      </right>
      <top style="thin">
        <color theme="0"/>
      </top>
      <bottom/>
      <diagonal/>
    </border>
  </borders>
  <cellStyleXfs count="26">
    <xf numFmtId="0" fontId="0" fillId="0" borderId="0"/>
    <xf numFmtId="0" fontId="1" fillId="0" borderId="0"/>
    <xf numFmtId="0" fontId="21" fillId="0" borderId="0" applyNumberFormat="0" applyFill="0" applyBorder="0" applyAlignment="0" applyProtection="0"/>
    <xf numFmtId="43" fontId="22" fillId="0" borderId="0" applyFont="0" applyFill="0" applyBorder="0" applyAlignment="0" applyProtection="0"/>
    <xf numFmtId="9" fontId="22" fillId="0" borderId="0" applyFont="0" applyFill="0" applyBorder="0" applyAlignment="0" applyProtection="0"/>
    <xf numFmtId="0" fontId="42" fillId="0" borderId="0"/>
    <xf numFmtId="0" fontId="42" fillId="0" borderId="0"/>
    <xf numFmtId="0" fontId="45" fillId="0" borderId="0"/>
    <xf numFmtId="0" fontId="45" fillId="0" borderId="0"/>
    <xf numFmtId="43" fontId="18" fillId="0" borderId="0" applyFont="0" applyFill="0" applyBorder="0" applyAlignment="0" applyProtection="0"/>
    <xf numFmtId="0" fontId="18" fillId="0" borderId="0"/>
    <xf numFmtId="43" fontId="22" fillId="0" borderId="0" applyFont="0" applyFill="0" applyBorder="0" applyAlignment="0" applyProtection="0"/>
    <xf numFmtId="0" fontId="94" fillId="0" borderId="0"/>
    <xf numFmtId="0" fontId="109" fillId="0" borderId="0"/>
    <xf numFmtId="0" fontId="1" fillId="0" borderId="0"/>
    <xf numFmtId="9" fontId="109" fillId="0" borderId="0" applyFont="0" applyFill="0" applyBorder="0" applyAlignment="0" applyProtection="0"/>
    <xf numFmtId="43" fontId="109" fillId="0" borderId="0" applyFont="0" applyFill="0" applyBorder="0" applyAlignment="0" applyProtection="0"/>
    <xf numFmtId="0" fontId="45" fillId="0" borderId="0"/>
    <xf numFmtId="9" fontId="107" fillId="0" borderId="0" applyFont="0" applyFill="0" applyBorder="0" applyAlignment="0" applyProtection="0"/>
    <xf numFmtId="0" fontId="55" fillId="0" borderId="0"/>
    <xf numFmtId="43" fontId="22" fillId="0" borderId="0" applyFont="0" applyFill="0" applyBorder="0" applyAlignment="0" applyProtection="0"/>
    <xf numFmtId="0" fontId="42" fillId="0" borderId="0"/>
    <xf numFmtId="0" fontId="42" fillId="0" borderId="0"/>
    <xf numFmtId="0" fontId="1" fillId="0" borderId="0">
      <alignment horizontal="left" vertical="center"/>
    </xf>
    <xf numFmtId="0" fontId="42" fillId="0" borderId="0"/>
    <xf numFmtId="0" fontId="42" fillId="0" borderId="0"/>
  </cellStyleXfs>
  <cellXfs count="2666">
    <xf numFmtId="0" fontId="0" fillId="0" borderId="0" xfId="0"/>
    <xf numFmtId="0" fontId="1" fillId="0" borderId="0" xfId="1"/>
    <xf numFmtId="0" fontId="1" fillId="2" borderId="1" xfId="1" applyFill="1" applyBorder="1" applyAlignment="1" applyProtection="1">
      <alignment horizontal="center"/>
    </xf>
    <xf numFmtId="0" fontId="1" fillId="2" borderId="0" xfId="1" applyFill="1" applyProtection="1"/>
    <xf numFmtId="0" fontId="1" fillId="2" borderId="0" xfId="1" applyFill="1" applyAlignment="1" applyProtection="1">
      <alignment horizontal="center"/>
    </xf>
    <xf numFmtId="0" fontId="1" fillId="2" borderId="0" xfId="1" applyFill="1" applyBorder="1" applyAlignment="1" applyProtection="1">
      <alignment horizontal="center"/>
    </xf>
    <xf numFmtId="0" fontId="2" fillId="3" borderId="0" xfId="1" applyFont="1" applyFill="1" applyAlignment="1" applyProtection="1">
      <alignment horizontal="center"/>
    </xf>
    <xf numFmtId="0" fontId="2" fillId="2" borderId="0" xfId="1" applyFont="1" applyFill="1" applyAlignment="1" applyProtection="1">
      <alignment horizontal="center"/>
    </xf>
    <xf numFmtId="0" fontId="1" fillId="2" borderId="0" xfId="1" applyFont="1" applyFill="1" applyProtection="1"/>
    <xf numFmtId="0" fontId="1" fillId="2" borderId="1" xfId="1" applyFill="1" applyBorder="1" applyProtection="1"/>
    <xf numFmtId="0" fontId="1" fillId="2" borderId="0" xfId="1" applyFill="1" applyAlignment="1" applyProtection="1">
      <alignment horizontal="left"/>
    </xf>
    <xf numFmtId="0" fontId="1" fillId="2" borderId="0" xfId="1" applyFont="1" applyFill="1" applyAlignment="1" applyProtection="1">
      <alignment horizontal="center"/>
    </xf>
    <xf numFmtId="0" fontId="4" fillId="2" borderId="0" xfId="1" applyFont="1" applyFill="1" applyAlignment="1" applyProtection="1">
      <alignment vertical="center"/>
    </xf>
    <xf numFmtId="0" fontId="1" fillId="2" borderId="1" xfId="1" applyFont="1" applyFill="1" applyBorder="1" applyAlignment="1" applyProtection="1">
      <alignment horizontal="left"/>
    </xf>
    <xf numFmtId="0" fontId="2" fillId="2" borderId="0" xfId="1" applyFont="1" applyFill="1" applyProtection="1"/>
    <xf numFmtId="0" fontId="1" fillId="2" borderId="0" xfId="1" applyFont="1" applyFill="1" applyAlignment="1" applyProtection="1">
      <alignment horizontal="left"/>
    </xf>
    <xf numFmtId="0" fontId="3" fillId="4" borderId="0" xfId="1" applyFont="1" applyFill="1" applyAlignment="1" applyProtection="1">
      <alignment horizontal="left"/>
    </xf>
    <xf numFmtId="0" fontId="1" fillId="2" borderId="0" xfId="1" applyFill="1" applyAlignment="1" applyProtection="1"/>
    <xf numFmtId="0" fontId="2" fillId="2" borderId="1" xfId="1" applyFont="1" applyFill="1" applyBorder="1" applyAlignment="1" applyProtection="1">
      <alignment horizontal="left"/>
    </xf>
    <xf numFmtId="0" fontId="1" fillId="2" borderId="0" xfId="1" applyFill="1" applyBorder="1" applyProtection="1"/>
    <xf numFmtId="0" fontId="1" fillId="2" borderId="1" xfId="1" applyFont="1" applyFill="1" applyBorder="1" applyAlignment="1" applyProtection="1">
      <alignment horizontal="center"/>
    </xf>
    <xf numFmtId="0" fontId="2" fillId="2" borderId="0" xfId="1" applyFont="1" applyFill="1" applyBorder="1" applyAlignment="1" applyProtection="1">
      <alignment horizontal="left"/>
    </xf>
    <xf numFmtId="0" fontId="2" fillId="2" borderId="0" xfId="1" applyFont="1" applyFill="1" applyBorder="1" applyProtection="1"/>
    <xf numFmtId="0" fontId="7" fillId="5" borderId="2" xfId="1" applyFont="1" applyFill="1" applyBorder="1" applyAlignment="1" applyProtection="1">
      <alignment horizontal="center" vertical="center" wrapText="1"/>
    </xf>
    <xf numFmtId="0" fontId="7" fillId="5" borderId="3" xfId="1" applyFont="1" applyFill="1" applyBorder="1" applyAlignment="1" applyProtection="1">
      <alignment horizontal="center" vertical="center" wrapText="1"/>
    </xf>
    <xf numFmtId="0" fontId="7" fillId="5" borderId="7" xfId="1" applyFont="1" applyFill="1" applyBorder="1" applyAlignment="1" applyProtection="1">
      <alignment horizontal="center" vertical="center" wrapText="1"/>
    </xf>
    <xf numFmtId="0" fontId="2" fillId="6" borderId="4" xfId="1" applyFont="1" applyFill="1" applyBorder="1" applyAlignment="1" applyProtection="1">
      <alignment horizontal="center" vertical="center" wrapText="1"/>
    </xf>
    <xf numFmtId="0" fontId="9" fillId="7" borderId="2" xfId="1" applyFont="1" applyFill="1" applyBorder="1" applyAlignment="1" applyProtection="1">
      <alignment horizontal="center" vertical="center"/>
    </xf>
    <xf numFmtId="0" fontId="9" fillId="7" borderId="8" xfId="1" applyFont="1" applyFill="1" applyBorder="1" applyAlignment="1" applyProtection="1">
      <alignment horizontal="centerContinuous" vertical="center"/>
    </xf>
    <xf numFmtId="0" fontId="9" fillId="7" borderId="6" xfId="1" applyFont="1" applyFill="1" applyBorder="1" applyAlignment="1" applyProtection="1">
      <alignment horizontal="centerContinuous" vertical="center"/>
    </xf>
    <xf numFmtId="0" fontId="1" fillId="0" borderId="15" xfId="1" applyBorder="1"/>
    <xf numFmtId="0" fontId="1" fillId="0" borderId="16" xfId="1" applyBorder="1"/>
    <xf numFmtId="0" fontId="12" fillId="0" borderId="0" xfId="1" applyFont="1" applyFill="1" applyBorder="1" applyAlignment="1">
      <alignment horizontal="center" vertical="center" wrapText="1"/>
    </xf>
    <xf numFmtId="0" fontId="1" fillId="0" borderId="0" xfId="1" applyFill="1" applyBorder="1"/>
    <xf numFmtId="0" fontId="14" fillId="9" borderId="2" xfId="1" applyFont="1" applyFill="1" applyBorder="1" applyAlignment="1" applyProtection="1">
      <alignment horizontal="center" vertical="center" wrapText="1"/>
    </xf>
    <xf numFmtId="0" fontId="8" fillId="10" borderId="25" xfId="1" applyFont="1" applyFill="1" applyBorder="1" applyAlignment="1" applyProtection="1">
      <alignment vertical="center"/>
    </xf>
    <xf numFmtId="0" fontId="18" fillId="0" borderId="0" xfId="1" applyFont="1"/>
    <xf numFmtId="0" fontId="1" fillId="0" borderId="0" xfId="1" applyBorder="1"/>
    <xf numFmtId="0" fontId="18" fillId="0" borderId="0" xfId="1" applyFont="1" applyBorder="1"/>
    <xf numFmtId="0" fontId="2" fillId="2" borderId="29" xfId="1" applyFont="1" applyFill="1" applyBorder="1" applyProtection="1"/>
    <xf numFmtId="0" fontId="1" fillId="2" borderId="29" xfId="1" applyFill="1" applyBorder="1" applyProtection="1"/>
    <xf numFmtId="0" fontId="13" fillId="0" borderId="0" xfId="1" applyFont="1" applyFill="1" applyBorder="1" applyAlignment="1">
      <alignment vertical="center" wrapText="1"/>
    </xf>
    <xf numFmtId="0" fontId="11" fillId="0" borderId="0" xfId="1" applyFont="1" applyFill="1" applyBorder="1" applyAlignment="1">
      <alignment vertical="center"/>
    </xf>
    <xf numFmtId="0" fontId="1" fillId="0" borderId="0" xfId="1" applyFill="1"/>
    <xf numFmtId="0" fontId="18" fillId="0" borderId="0" xfId="1" applyFont="1" applyBorder="1" applyAlignment="1"/>
    <xf numFmtId="0" fontId="0" fillId="0" borderId="30" xfId="0" applyFill="1" applyBorder="1"/>
    <xf numFmtId="0" fontId="0" fillId="0" borderId="0" xfId="0" applyFill="1" applyBorder="1"/>
    <xf numFmtId="0" fontId="0" fillId="0" borderId="0" xfId="0" applyBorder="1"/>
    <xf numFmtId="0" fontId="30" fillId="8" borderId="13" xfId="0" applyFont="1" applyFill="1" applyBorder="1" applyAlignment="1">
      <alignment horizontal="center" vertical="center" wrapText="1"/>
    </xf>
    <xf numFmtId="0" fontId="0" fillId="0" borderId="45" xfId="0" applyBorder="1"/>
    <xf numFmtId="0" fontId="0" fillId="0" borderId="31" xfId="0" applyBorder="1"/>
    <xf numFmtId="0" fontId="30" fillId="8" borderId="50" xfId="0" applyFont="1" applyFill="1" applyBorder="1" applyAlignment="1">
      <alignment vertical="top" wrapText="1"/>
    </xf>
    <xf numFmtId="0" fontId="30" fillId="8" borderId="51" xfId="0" applyFont="1" applyFill="1" applyBorder="1" applyAlignment="1">
      <alignment vertical="top" wrapText="1"/>
    </xf>
    <xf numFmtId="0" fontId="30" fillId="8" borderId="30" xfId="0" applyFont="1" applyFill="1" applyBorder="1" applyAlignment="1">
      <alignment horizontal="center" vertical="top" wrapText="1"/>
    </xf>
    <xf numFmtId="170" fontId="34" fillId="8" borderId="55" xfId="5" applyNumberFormat="1" applyFont="1" applyFill="1" applyBorder="1"/>
    <xf numFmtId="170" fontId="34" fillId="8" borderId="40" xfId="5" applyNumberFormat="1" applyFont="1" applyFill="1" applyBorder="1"/>
    <xf numFmtId="170" fontId="34" fillId="8" borderId="0" xfId="5" applyNumberFormat="1" applyFont="1" applyFill="1" applyBorder="1"/>
    <xf numFmtId="170" fontId="30" fillId="8" borderId="56" xfId="5" applyNumberFormat="1" applyFont="1" applyFill="1" applyBorder="1" applyAlignment="1">
      <alignment horizontal="center"/>
    </xf>
    <xf numFmtId="0" fontId="30" fillId="8" borderId="34" xfId="0" applyFont="1" applyFill="1" applyBorder="1" applyAlignment="1">
      <alignment horizontal="center" wrapText="1"/>
    </xf>
    <xf numFmtId="170" fontId="30" fillId="8" borderId="57" xfId="5" applyNumberFormat="1" applyFont="1" applyFill="1" applyBorder="1" applyAlignment="1">
      <alignment horizontal="center"/>
    </xf>
    <xf numFmtId="0" fontId="30" fillId="8" borderId="58" xfId="0" applyFont="1" applyFill="1" applyBorder="1" applyAlignment="1">
      <alignment vertical="top" wrapText="1"/>
    </xf>
    <xf numFmtId="0" fontId="30" fillId="8" borderId="59" xfId="0" applyFont="1" applyFill="1" applyBorder="1" applyAlignment="1">
      <alignment vertical="top" wrapText="1"/>
    </xf>
    <xf numFmtId="0" fontId="30" fillId="8" borderId="31" xfId="0" applyFont="1" applyFill="1" applyBorder="1" applyAlignment="1">
      <alignment horizontal="center" vertical="top" wrapText="1"/>
    </xf>
    <xf numFmtId="170" fontId="30" fillId="8" borderId="58" xfId="5" applyNumberFormat="1" applyFont="1" applyFill="1" applyBorder="1" applyAlignment="1">
      <alignment horizontal="center"/>
    </xf>
    <xf numFmtId="170" fontId="30" fillId="8" borderId="59" xfId="5" applyNumberFormat="1" applyFont="1" applyFill="1" applyBorder="1" applyAlignment="1">
      <alignment horizontal="center"/>
    </xf>
    <xf numFmtId="170" fontId="30" fillId="8" borderId="60" xfId="5" applyNumberFormat="1" applyFont="1" applyFill="1" applyBorder="1" applyAlignment="1">
      <alignment horizontal="center"/>
    </xf>
    <xf numFmtId="0" fontId="30" fillId="8" borderId="59" xfId="0" applyFont="1" applyFill="1" applyBorder="1" applyAlignment="1">
      <alignment horizontal="center" wrapText="1"/>
    </xf>
    <xf numFmtId="0" fontId="25" fillId="12" borderId="15" xfId="6" applyFont="1" applyFill="1" applyBorder="1"/>
    <xf numFmtId="0" fontId="25" fillId="12" borderId="40" xfId="6" applyFont="1" applyFill="1" applyBorder="1"/>
    <xf numFmtId="170" fontId="25" fillId="12" borderId="28" xfId="5" applyNumberFormat="1" applyFont="1" applyFill="1" applyBorder="1"/>
    <xf numFmtId="171" fontId="25" fillId="2" borderId="15" xfId="3" applyNumberFormat="1" applyFont="1" applyFill="1" applyBorder="1" applyAlignment="1">
      <alignment horizontal="right"/>
    </xf>
    <xf numFmtId="171" fontId="25" fillId="2" borderId="40" xfId="3" applyNumberFormat="1" applyFont="1" applyFill="1" applyBorder="1" applyAlignment="1">
      <alignment horizontal="right"/>
    </xf>
    <xf numFmtId="171" fontId="25" fillId="2" borderId="61" xfId="3" applyNumberFormat="1" applyFont="1" applyFill="1" applyBorder="1" applyAlignment="1">
      <alignment horizontal="right"/>
    </xf>
    <xf numFmtId="171" fontId="25" fillId="2" borderId="28" xfId="3" applyNumberFormat="1" applyFont="1" applyFill="1" applyBorder="1" applyAlignment="1">
      <alignment horizontal="right"/>
    </xf>
    <xf numFmtId="171" fontId="25" fillId="2" borderId="51" xfId="3" applyNumberFormat="1" applyFont="1" applyFill="1" applyBorder="1" applyAlignment="1">
      <alignment horizontal="right"/>
    </xf>
    <xf numFmtId="0" fontId="25" fillId="12" borderId="45" xfId="6" applyFont="1" applyFill="1" applyBorder="1"/>
    <xf numFmtId="0" fontId="25" fillId="12" borderId="59" xfId="6" applyFont="1" applyFill="1" applyBorder="1"/>
    <xf numFmtId="170" fontId="25" fillId="12" borderId="31" xfId="5" applyNumberFormat="1" applyFont="1" applyFill="1" applyBorder="1"/>
    <xf numFmtId="171" fontId="25" fillId="14" borderId="15" xfId="3" applyNumberFormat="1" applyFont="1" applyFill="1" applyBorder="1" applyAlignment="1">
      <alignment horizontal="right"/>
    </xf>
    <xf numFmtId="171" fontId="25" fillId="14" borderId="28" xfId="3" applyNumberFormat="1" applyFont="1" applyFill="1" applyBorder="1" applyAlignment="1">
      <alignment horizontal="right"/>
    </xf>
    <xf numFmtId="171" fontId="25" fillId="14" borderId="61" xfId="3" applyNumberFormat="1" applyFont="1" applyFill="1" applyBorder="1" applyAlignment="1">
      <alignment horizontal="right"/>
    </xf>
    <xf numFmtId="171" fontId="25" fillId="14" borderId="62" xfId="3" applyNumberFormat="1" applyFont="1" applyFill="1" applyBorder="1" applyAlignment="1">
      <alignment horizontal="right"/>
    </xf>
    <xf numFmtId="0" fontId="25" fillId="0" borderId="63" xfId="0" applyFont="1" applyBorder="1"/>
    <xf numFmtId="171" fontId="25" fillId="2" borderId="63" xfId="3" applyNumberFormat="1" applyFont="1" applyFill="1" applyBorder="1" applyAlignment="1">
      <alignment horizontal="right"/>
    </xf>
    <xf numFmtId="171" fontId="25" fillId="2" borderId="64" xfId="3" applyNumberFormat="1" applyFont="1" applyFill="1" applyBorder="1" applyAlignment="1">
      <alignment horizontal="right"/>
    </xf>
    <xf numFmtId="171" fontId="25" fillId="2" borderId="66" xfId="3" applyNumberFormat="1" applyFont="1" applyFill="1" applyBorder="1" applyAlignment="1">
      <alignment horizontal="right"/>
    </xf>
    <xf numFmtId="170" fontId="30" fillId="8" borderId="34" xfId="5" applyNumberFormat="1" applyFont="1" applyFill="1" applyBorder="1" applyAlignment="1">
      <alignment horizontal="center"/>
    </xf>
    <xf numFmtId="170" fontId="30" fillId="8" borderId="35" xfId="5" applyNumberFormat="1" applyFont="1" applyFill="1" applyBorder="1" applyAlignment="1">
      <alignment horizontal="center"/>
    </xf>
    <xf numFmtId="170" fontId="30" fillId="8" borderId="27" xfId="5" applyNumberFormat="1" applyFont="1" applyFill="1" applyBorder="1" applyAlignment="1">
      <alignment horizontal="center" vertical="center"/>
    </xf>
    <xf numFmtId="0" fontId="30" fillId="8" borderId="27" xfId="0" applyFont="1" applyFill="1" applyBorder="1" applyAlignment="1">
      <alignment horizontal="center" vertical="center" wrapText="1"/>
    </xf>
    <xf numFmtId="170" fontId="30" fillId="8" borderId="13" xfId="5" applyNumberFormat="1" applyFont="1" applyFill="1" applyBorder="1" applyAlignment="1">
      <alignment horizontal="center" vertical="center"/>
    </xf>
    <xf numFmtId="170" fontId="30" fillId="8" borderId="70" xfId="5" applyNumberFormat="1" applyFont="1" applyFill="1" applyBorder="1" applyAlignment="1">
      <alignment horizontal="center" vertical="center"/>
    </xf>
    <xf numFmtId="170" fontId="30" fillId="8" borderId="14" xfId="5" applyNumberFormat="1" applyFont="1" applyFill="1" applyBorder="1" applyAlignment="1">
      <alignment horizontal="center" vertical="center"/>
    </xf>
    <xf numFmtId="3" fontId="25" fillId="16" borderId="28" xfId="5" applyNumberFormat="1" applyFont="1" applyFill="1" applyBorder="1" applyAlignment="1">
      <alignment horizontal="center" vertical="center"/>
    </xf>
    <xf numFmtId="3" fontId="25" fillId="16" borderId="40" xfId="5" applyNumberFormat="1" applyFont="1" applyFill="1" applyBorder="1" applyAlignment="1">
      <alignment horizontal="center" vertical="center"/>
    </xf>
    <xf numFmtId="3" fontId="25" fillId="16" borderId="40" xfId="0" applyNumberFormat="1" applyFont="1" applyFill="1" applyBorder="1" applyAlignment="1">
      <alignment horizontal="center" vertical="center"/>
    </xf>
    <xf numFmtId="3" fontId="25" fillId="16" borderId="34" xfId="0" applyNumberFormat="1" applyFont="1" applyFill="1" applyBorder="1" applyAlignment="1">
      <alignment horizontal="center" vertical="center"/>
    </xf>
    <xf numFmtId="3" fontId="25" fillId="16" borderId="0" xfId="0" applyNumberFormat="1" applyFont="1" applyFill="1" applyBorder="1" applyAlignment="1">
      <alignment horizontal="center" vertical="center"/>
    </xf>
    <xf numFmtId="3" fontId="25" fillId="2" borderId="61" xfId="0" applyNumberFormat="1" applyFont="1" applyFill="1" applyBorder="1" applyAlignment="1">
      <alignment horizontal="center"/>
    </xf>
    <xf numFmtId="3" fontId="48" fillId="16" borderId="40" xfId="8" applyNumberFormat="1" applyFont="1" applyFill="1" applyBorder="1" applyAlignment="1">
      <alignment horizontal="center" vertical="center" wrapText="1"/>
    </xf>
    <xf numFmtId="3" fontId="48" fillId="16" borderId="0" xfId="8" applyNumberFormat="1" applyFont="1" applyFill="1" applyBorder="1" applyAlignment="1">
      <alignment horizontal="center" vertical="center" wrapText="1"/>
    </xf>
    <xf numFmtId="3" fontId="25" fillId="16" borderId="59" xfId="5" applyNumberFormat="1" applyFont="1" applyFill="1" applyBorder="1" applyAlignment="1">
      <alignment horizontal="center" vertical="center"/>
    </xf>
    <xf numFmtId="3" fontId="25" fillId="16" borderId="59" xfId="0" applyNumberFormat="1" applyFont="1" applyFill="1" applyBorder="1" applyAlignment="1">
      <alignment horizontal="center" vertical="center"/>
    </xf>
    <xf numFmtId="0" fontId="25" fillId="0" borderId="63" xfId="0" applyFont="1" applyBorder="1" applyAlignment="1">
      <alignment horizontal="left" vertical="center"/>
    </xf>
    <xf numFmtId="3" fontId="25" fillId="0" borderId="64" xfId="5" applyNumberFormat="1" applyFont="1" applyFill="1" applyBorder="1" applyAlignment="1">
      <alignment horizontal="center" vertical="center"/>
    </xf>
    <xf numFmtId="3" fontId="25" fillId="0" borderId="66" xfId="0" applyNumberFormat="1" applyFont="1" applyBorder="1" applyAlignment="1">
      <alignment horizontal="center" vertical="center"/>
    </xf>
    <xf numFmtId="170" fontId="30" fillId="8" borderId="27" xfId="5" applyNumberFormat="1" applyFont="1" applyFill="1" applyBorder="1" applyAlignment="1">
      <alignment horizontal="center"/>
    </xf>
    <xf numFmtId="170" fontId="30" fillId="8" borderId="27" xfId="5" applyNumberFormat="1" applyFont="1" applyFill="1" applyBorder="1" applyAlignment="1"/>
    <xf numFmtId="170" fontId="30" fillId="8" borderId="13" xfId="5" applyNumberFormat="1" applyFont="1" applyFill="1" applyBorder="1" applyAlignment="1">
      <alignment horizontal="center"/>
    </xf>
    <xf numFmtId="170" fontId="30" fillId="8" borderId="14" xfId="5" applyNumberFormat="1" applyFont="1" applyFill="1" applyBorder="1" applyAlignment="1">
      <alignment horizontal="center"/>
    </xf>
    <xf numFmtId="3" fontId="25" fillId="2" borderId="28" xfId="5" applyNumberFormat="1" applyFont="1" applyFill="1" applyBorder="1" applyAlignment="1">
      <alignment horizontal="center" vertical="center"/>
    </xf>
    <xf numFmtId="3" fontId="25" fillId="2" borderId="40" xfId="5" applyNumberFormat="1" applyFont="1" applyFill="1" applyBorder="1" applyAlignment="1">
      <alignment horizontal="center" vertical="center"/>
    </xf>
    <xf numFmtId="3" fontId="25" fillId="2" borderId="59" xfId="5" applyNumberFormat="1" applyFont="1" applyFill="1" applyBorder="1" applyAlignment="1">
      <alignment horizontal="center" vertical="center"/>
    </xf>
    <xf numFmtId="3" fontId="25" fillId="0" borderId="76" xfId="0" applyNumberFormat="1" applyFont="1" applyBorder="1" applyAlignment="1">
      <alignment horizontal="center" vertical="center"/>
    </xf>
    <xf numFmtId="3" fontId="25" fillId="0" borderId="32" xfId="0" applyNumberFormat="1" applyFont="1" applyBorder="1" applyAlignment="1">
      <alignment horizontal="center" vertical="center"/>
    </xf>
    <xf numFmtId="0" fontId="25" fillId="0" borderId="0" xfId="0" applyFont="1" applyFill="1" applyBorder="1" applyAlignment="1">
      <alignment horizontal="center" vertical="center"/>
    </xf>
    <xf numFmtId="0" fontId="30" fillId="8" borderId="77" xfId="0" applyFont="1" applyFill="1" applyBorder="1" applyAlignment="1">
      <alignment horizontal="center" vertical="top" wrapText="1"/>
    </xf>
    <xf numFmtId="170" fontId="30" fillId="8" borderId="18" xfId="5" applyNumberFormat="1" applyFont="1" applyFill="1" applyBorder="1" applyAlignment="1">
      <alignment horizontal="center"/>
    </xf>
    <xf numFmtId="3" fontId="25" fillId="16" borderId="80" xfId="0" applyNumberFormat="1" applyFont="1" applyFill="1" applyBorder="1" applyAlignment="1">
      <alignment horizontal="center"/>
    </xf>
    <xf numFmtId="3" fontId="25" fillId="2" borderId="80" xfId="5" applyNumberFormat="1" applyFont="1" applyFill="1" applyBorder="1" applyAlignment="1">
      <alignment horizontal="center"/>
    </xf>
    <xf numFmtId="172" fontId="25" fillId="16" borderId="80" xfId="0" applyNumberFormat="1" applyFont="1" applyFill="1" applyBorder="1" applyAlignment="1">
      <alignment horizontal="center"/>
    </xf>
    <xf numFmtId="3" fontId="25" fillId="2" borderId="28" xfId="5" applyNumberFormat="1" applyFont="1" applyFill="1" applyBorder="1" applyAlignment="1">
      <alignment horizontal="center"/>
    </xf>
    <xf numFmtId="3" fontId="25" fillId="0" borderId="64" xfId="5" applyNumberFormat="1" applyFont="1" applyFill="1" applyBorder="1" applyAlignment="1">
      <alignment horizontal="center"/>
    </xf>
    <xf numFmtId="170" fontId="30" fillId="8" borderId="17" xfId="5" applyNumberFormat="1" applyFont="1" applyFill="1" applyBorder="1" applyAlignment="1">
      <alignment horizontal="center"/>
    </xf>
    <xf numFmtId="170" fontId="30" fillId="8" borderId="18" xfId="5" applyNumberFormat="1" applyFont="1" applyFill="1" applyBorder="1" applyAlignment="1">
      <alignment horizontal="center" vertical="center"/>
    </xf>
    <xf numFmtId="3" fontId="25" fillId="16" borderId="28" xfId="5" applyNumberFormat="1" applyFont="1" applyFill="1" applyBorder="1" applyAlignment="1">
      <alignment horizontal="center"/>
    </xf>
    <xf numFmtId="3" fontId="25" fillId="2" borderId="40" xfId="0" applyNumberFormat="1" applyFont="1" applyFill="1" applyBorder="1" applyAlignment="1">
      <alignment horizontal="center"/>
    </xf>
    <xf numFmtId="3" fontId="25" fillId="2" borderId="0" xfId="0" applyNumberFormat="1" applyFont="1" applyFill="1" applyBorder="1" applyAlignment="1">
      <alignment horizontal="center"/>
    </xf>
    <xf numFmtId="3" fontId="25" fillId="2" borderId="40" xfId="5" applyNumberFormat="1" applyFont="1" applyFill="1" applyBorder="1" applyAlignment="1">
      <alignment horizontal="center"/>
    </xf>
    <xf numFmtId="3" fontId="25" fillId="14" borderId="28" xfId="0" applyNumberFormat="1" applyFont="1" applyFill="1" applyBorder="1" applyAlignment="1">
      <alignment horizontal="center"/>
    </xf>
    <xf numFmtId="3" fontId="25" fillId="2" borderId="28" xfId="0" applyNumberFormat="1" applyFont="1" applyFill="1" applyBorder="1" applyAlignment="1">
      <alignment horizontal="center" vertical="center"/>
    </xf>
    <xf numFmtId="3" fontId="25" fillId="2" borderId="55" xfId="0" applyNumberFormat="1" applyFont="1" applyFill="1" applyBorder="1" applyAlignment="1">
      <alignment horizontal="center" vertical="center"/>
    </xf>
    <xf numFmtId="3" fontId="25" fillId="2" borderId="40" xfId="0" applyNumberFormat="1" applyFont="1" applyFill="1" applyBorder="1" applyAlignment="1">
      <alignment horizontal="center" vertical="center"/>
    </xf>
    <xf numFmtId="3" fontId="25" fillId="2" borderId="80" xfId="0" applyNumberFormat="1" applyFont="1" applyFill="1" applyBorder="1" applyAlignment="1">
      <alignment horizontal="center" vertical="center"/>
    </xf>
    <xf numFmtId="3" fontId="25" fillId="2" borderId="16" xfId="0" applyNumberFormat="1" applyFont="1" applyFill="1" applyBorder="1" applyAlignment="1">
      <alignment horizontal="center" vertical="center"/>
    </xf>
    <xf numFmtId="0" fontId="25" fillId="12" borderId="80" xfId="6" applyFont="1" applyFill="1" applyBorder="1"/>
    <xf numFmtId="170" fontId="25" fillId="12" borderId="0" xfId="5" applyNumberFormat="1" applyFont="1" applyFill="1" applyBorder="1"/>
    <xf numFmtId="3" fontId="25" fillId="14" borderId="28" xfId="5" applyNumberFormat="1" applyFont="1" applyFill="1" applyBorder="1" applyAlignment="1">
      <alignment horizontal="center"/>
    </xf>
    <xf numFmtId="3" fontId="25" fillId="14" borderId="40" xfId="0" applyNumberFormat="1" applyFont="1" applyFill="1" applyBorder="1" applyAlignment="1">
      <alignment horizontal="center"/>
    </xf>
    <xf numFmtId="3" fontId="25" fillId="14" borderId="80" xfId="0" applyNumberFormat="1" applyFont="1" applyFill="1" applyBorder="1" applyAlignment="1">
      <alignment horizontal="center"/>
    </xf>
    <xf numFmtId="3" fontId="25" fillId="14" borderId="0" xfId="0" applyNumberFormat="1" applyFont="1" applyFill="1" applyBorder="1" applyAlignment="1">
      <alignment horizontal="center"/>
    </xf>
    <xf numFmtId="3" fontId="25" fillId="14" borderId="40" xfId="5" applyNumberFormat="1" applyFont="1" applyFill="1" applyBorder="1" applyAlignment="1">
      <alignment horizontal="center"/>
    </xf>
    <xf numFmtId="3" fontId="25" fillId="14" borderId="0" xfId="5" applyNumberFormat="1" applyFont="1" applyFill="1" applyBorder="1" applyAlignment="1">
      <alignment horizontal="center"/>
    </xf>
    <xf numFmtId="3" fontId="25" fillId="14" borderId="28" xfId="0" applyNumberFormat="1" applyFont="1" applyFill="1" applyBorder="1" applyAlignment="1">
      <alignment horizontal="center" vertical="center"/>
    </xf>
    <xf numFmtId="3" fontId="25" fillId="14" borderId="55" xfId="0" applyNumberFormat="1" applyFont="1" applyFill="1" applyBorder="1" applyAlignment="1">
      <alignment horizontal="center" vertical="center"/>
    </xf>
    <xf numFmtId="3" fontId="25" fillId="14" borderId="40" xfId="0" applyNumberFormat="1" applyFont="1" applyFill="1" applyBorder="1" applyAlignment="1">
      <alignment horizontal="center" vertical="center"/>
    </xf>
    <xf numFmtId="3" fontId="25" fillId="0" borderId="64" xfId="0" applyNumberFormat="1" applyFont="1" applyBorder="1" applyAlignment="1">
      <alignment horizontal="center"/>
    </xf>
    <xf numFmtId="3" fontId="25" fillId="2" borderId="32" xfId="0" applyNumberFormat="1" applyFont="1" applyFill="1" applyBorder="1" applyAlignment="1">
      <alignment horizontal="center"/>
    </xf>
    <xf numFmtId="3" fontId="25" fillId="0" borderId="64" xfId="0" applyNumberFormat="1" applyFont="1" applyFill="1" applyBorder="1" applyAlignment="1">
      <alignment horizontal="center"/>
    </xf>
    <xf numFmtId="3" fontId="25" fillId="2" borderId="64" xfId="0" applyNumberFormat="1" applyFont="1" applyFill="1" applyBorder="1" applyAlignment="1">
      <alignment horizontal="center"/>
    </xf>
    <xf numFmtId="170" fontId="30" fillId="8" borderId="66" xfId="5" applyNumberFormat="1" applyFont="1" applyFill="1" applyBorder="1" applyAlignment="1">
      <alignment horizontal="center"/>
    </xf>
    <xf numFmtId="170" fontId="30" fillId="8" borderId="10" xfId="5" applyNumberFormat="1" applyFont="1" applyFill="1" applyBorder="1" applyAlignment="1">
      <alignment horizontal="center"/>
    </xf>
    <xf numFmtId="170" fontId="30" fillId="8" borderId="11" xfId="5" applyNumberFormat="1" applyFont="1" applyFill="1" applyBorder="1" applyAlignment="1">
      <alignment horizontal="center"/>
    </xf>
    <xf numFmtId="3" fontId="25" fillId="16" borderId="40" xfId="0" applyNumberFormat="1" applyFont="1" applyFill="1" applyBorder="1" applyAlignment="1">
      <alignment horizontal="center"/>
    </xf>
    <xf numFmtId="3" fontId="25" fillId="16" borderId="0" xfId="0" applyNumberFormat="1" applyFont="1" applyFill="1" applyBorder="1" applyAlignment="1">
      <alignment horizontal="center"/>
    </xf>
    <xf numFmtId="3" fontId="25" fillId="2" borderId="16" xfId="0" applyNumberFormat="1" applyFont="1" applyFill="1" applyBorder="1" applyAlignment="1">
      <alignment horizontal="center"/>
    </xf>
    <xf numFmtId="3" fontId="25" fillId="0" borderId="32" xfId="0" applyNumberFormat="1" applyFont="1" applyBorder="1" applyAlignment="1">
      <alignment horizontal="center"/>
    </xf>
    <xf numFmtId="3" fontId="25" fillId="0" borderId="74" xfId="0" applyNumberFormat="1" applyFont="1" applyBorder="1" applyAlignment="1">
      <alignment horizontal="center"/>
    </xf>
    <xf numFmtId="3" fontId="25" fillId="0" borderId="66" xfId="0" applyNumberFormat="1" applyFont="1" applyBorder="1" applyAlignment="1">
      <alignment horizontal="center"/>
    </xf>
    <xf numFmtId="170" fontId="30" fillId="8" borderId="33" xfId="5" applyNumberFormat="1" applyFont="1" applyFill="1" applyBorder="1" applyAlignment="1">
      <alignment horizontal="center" wrapText="1"/>
    </xf>
    <xf numFmtId="170" fontId="30" fillId="8" borderId="33" xfId="5" applyNumberFormat="1" applyFont="1" applyFill="1" applyBorder="1" applyAlignment="1">
      <alignment horizontal="center"/>
    </xf>
    <xf numFmtId="170" fontId="30" fillId="8" borderId="37" xfId="5" applyNumberFormat="1" applyFont="1" applyFill="1" applyBorder="1" applyAlignment="1">
      <alignment horizontal="center"/>
    </xf>
    <xf numFmtId="170" fontId="30" fillId="8" borderId="62" xfId="5" applyNumberFormat="1" applyFont="1" applyFill="1" applyBorder="1" applyAlignment="1">
      <alignment horizontal="center"/>
    </xf>
    <xf numFmtId="170" fontId="30" fillId="8" borderId="84" xfId="5" applyNumberFormat="1" applyFont="1" applyFill="1" applyBorder="1" applyAlignment="1">
      <alignment horizontal="center"/>
    </xf>
    <xf numFmtId="3" fontId="25" fillId="16" borderId="51" xfId="0" applyNumberFormat="1" applyFont="1" applyFill="1" applyBorder="1" applyAlignment="1">
      <alignment horizontal="center"/>
    </xf>
    <xf numFmtId="3" fontId="25" fillId="2" borderId="55" xfId="0" applyNumberFormat="1" applyFont="1" applyFill="1" applyBorder="1"/>
    <xf numFmtId="3" fontId="25" fillId="2" borderId="40" xfId="0" applyNumberFormat="1" applyFont="1" applyFill="1" applyBorder="1"/>
    <xf numFmtId="3" fontId="25" fillId="2" borderId="77" xfId="0" applyNumberFormat="1" applyFont="1" applyFill="1" applyBorder="1" applyAlignment="1">
      <alignment horizontal="center"/>
    </xf>
    <xf numFmtId="3" fontId="25" fillId="2" borderId="80" xfId="0" applyNumberFormat="1" applyFont="1" applyFill="1" applyBorder="1" applyAlignment="1">
      <alignment horizontal="center"/>
    </xf>
    <xf numFmtId="0" fontId="25" fillId="12" borderId="28" xfId="6" applyFont="1" applyFill="1" applyBorder="1"/>
    <xf numFmtId="3" fontId="25" fillId="16" borderId="59" xfId="0" applyNumberFormat="1" applyFont="1" applyFill="1" applyBorder="1" applyAlignment="1">
      <alignment horizontal="center"/>
    </xf>
    <xf numFmtId="3" fontId="25" fillId="2" borderId="85" xfId="0" applyNumberFormat="1" applyFont="1" applyFill="1" applyBorder="1" applyAlignment="1">
      <alignment horizontal="center"/>
    </xf>
    <xf numFmtId="0" fontId="25" fillId="0" borderId="76" xfId="0" applyFont="1" applyBorder="1"/>
    <xf numFmtId="3" fontId="25" fillId="0" borderId="76" xfId="0" applyNumberFormat="1" applyFont="1" applyBorder="1"/>
    <xf numFmtId="3" fontId="25" fillId="0" borderId="32" xfId="0" applyNumberFormat="1" applyFont="1" applyBorder="1"/>
    <xf numFmtId="170" fontId="53" fillId="8" borderId="63" xfId="5" applyNumberFormat="1" applyFont="1" applyFill="1" applyBorder="1"/>
    <xf numFmtId="170" fontId="53" fillId="8" borderId="64" xfId="5" applyNumberFormat="1" applyFont="1" applyFill="1" applyBorder="1" applyAlignment="1">
      <alignment horizontal="center"/>
    </xf>
    <xf numFmtId="170" fontId="25" fillId="12" borderId="15" xfId="5" applyNumberFormat="1" applyFont="1" applyFill="1" applyBorder="1"/>
    <xf numFmtId="0" fontId="25" fillId="12" borderId="81" xfId="6" applyFont="1" applyFill="1" applyBorder="1"/>
    <xf numFmtId="170" fontId="53" fillId="8" borderId="13" xfId="5" applyNumberFormat="1" applyFont="1" applyFill="1" applyBorder="1" applyAlignment="1">
      <alignment horizontal="center"/>
    </xf>
    <xf numFmtId="170" fontId="25" fillId="2" borderId="0" xfId="5" applyNumberFormat="1" applyFont="1" applyFill="1" applyBorder="1" applyAlignment="1">
      <alignment horizontal="left"/>
    </xf>
    <xf numFmtId="170" fontId="25" fillId="2" borderId="16" xfId="5" applyNumberFormat="1" applyFont="1" applyFill="1" applyBorder="1" applyAlignment="1">
      <alignment horizontal="left"/>
    </xf>
    <xf numFmtId="170" fontId="25" fillId="2" borderId="0" xfId="5" applyNumberFormat="1" applyFont="1" applyFill="1" applyBorder="1" applyAlignment="1"/>
    <xf numFmtId="170" fontId="25" fillId="2" borderId="16" xfId="5" applyNumberFormat="1" applyFont="1" applyFill="1" applyBorder="1" applyAlignment="1"/>
    <xf numFmtId="170" fontId="25" fillId="12" borderId="45" xfId="5" applyNumberFormat="1" applyFont="1" applyFill="1" applyBorder="1"/>
    <xf numFmtId="170" fontId="25" fillId="2" borderId="31" xfId="5" applyNumberFormat="1" applyFont="1" applyFill="1" applyBorder="1" applyAlignment="1"/>
    <xf numFmtId="170" fontId="25" fillId="2" borderId="46" xfId="5" applyNumberFormat="1" applyFont="1" applyFill="1" applyBorder="1" applyAlignment="1"/>
    <xf numFmtId="0" fontId="32" fillId="8" borderId="34" xfId="0" applyFont="1" applyFill="1" applyBorder="1" applyAlignment="1">
      <alignment horizontal="center" vertical="top" wrapText="1"/>
    </xf>
    <xf numFmtId="0" fontId="32" fillId="8" borderId="34" xfId="0" applyFont="1" applyFill="1" applyBorder="1" applyAlignment="1">
      <alignment horizontal="center" vertical="top"/>
    </xf>
    <xf numFmtId="0" fontId="20" fillId="12" borderId="35" xfId="6" applyFont="1" applyFill="1" applyBorder="1"/>
    <xf numFmtId="0" fontId="20" fillId="12" borderId="34" xfId="6" applyFont="1" applyFill="1" applyBorder="1"/>
    <xf numFmtId="170" fontId="20" fillId="12" borderId="35" xfId="5" applyNumberFormat="1" applyFont="1" applyFill="1" applyBorder="1"/>
    <xf numFmtId="0" fontId="20" fillId="12" borderId="28" xfId="6" applyFont="1" applyFill="1" applyBorder="1"/>
    <xf numFmtId="0" fontId="20" fillId="12" borderId="40" xfId="6" applyFont="1" applyFill="1" applyBorder="1"/>
    <xf numFmtId="170" fontId="20" fillId="12" borderId="28" xfId="5" applyNumberFormat="1" applyFont="1" applyFill="1" applyBorder="1"/>
    <xf numFmtId="0" fontId="20" fillId="12" borderId="28" xfId="9" applyNumberFormat="1" applyFont="1" applyFill="1" applyBorder="1"/>
    <xf numFmtId="0" fontId="20" fillId="12" borderId="33" xfId="6" applyFont="1" applyFill="1" applyBorder="1"/>
    <xf numFmtId="170" fontId="20" fillId="12" borderId="37" xfId="5" applyNumberFormat="1" applyFont="1" applyFill="1" applyBorder="1"/>
    <xf numFmtId="0" fontId="20" fillId="2" borderId="13" xfId="0" applyFont="1" applyFill="1" applyBorder="1" applyAlignment="1">
      <alignment horizontal="left"/>
    </xf>
    <xf numFmtId="0" fontId="20" fillId="2" borderId="13" xfId="0" applyFont="1" applyFill="1" applyBorder="1" applyAlignment="1">
      <alignment horizontal="center"/>
    </xf>
    <xf numFmtId="1" fontId="20" fillId="0" borderId="0" xfId="0" applyNumberFormat="1" applyFont="1" applyFill="1" applyBorder="1" applyAlignment="1">
      <alignment horizontal="right"/>
    </xf>
    <xf numFmtId="1" fontId="20" fillId="14" borderId="37" xfId="0" applyNumberFormat="1" applyFont="1" applyFill="1" applyBorder="1" applyAlignment="1">
      <alignment horizontal="right"/>
    </xf>
    <xf numFmtId="1" fontId="20" fillId="14" borderId="83" xfId="0" applyNumberFormat="1" applyFont="1" applyFill="1" applyBorder="1" applyAlignment="1">
      <alignment horizontal="right"/>
    </xf>
    <xf numFmtId="1" fontId="20" fillId="14" borderId="38" xfId="0" applyNumberFormat="1" applyFont="1" applyFill="1" applyBorder="1" applyAlignment="1">
      <alignment horizontal="right"/>
    </xf>
    <xf numFmtId="1" fontId="20" fillId="0" borderId="38" xfId="0" applyNumberFormat="1" applyFont="1" applyFill="1" applyBorder="1" applyAlignment="1">
      <alignment horizontal="right"/>
    </xf>
    <xf numFmtId="1" fontId="20" fillId="0" borderId="37" xfId="9" applyNumberFormat="1" applyFont="1" applyFill="1" applyBorder="1" applyAlignment="1">
      <alignment horizontal="right"/>
    </xf>
    <xf numFmtId="1" fontId="20" fillId="2" borderId="37" xfId="9" applyNumberFormat="1" applyFont="1" applyFill="1" applyBorder="1" applyAlignment="1">
      <alignment horizontal="right"/>
    </xf>
    <xf numFmtId="170" fontId="19" fillId="12" borderId="0" xfId="5" applyNumberFormat="1" applyFont="1" applyFill="1" applyBorder="1"/>
    <xf numFmtId="0" fontId="32" fillId="8" borderId="18" xfId="0" applyFont="1" applyFill="1" applyBorder="1" applyAlignment="1">
      <alignment horizontal="center" vertical="top" wrapText="1"/>
    </xf>
    <xf numFmtId="0" fontId="32" fillId="8" borderId="19" xfId="0" applyFont="1" applyFill="1" applyBorder="1" applyAlignment="1">
      <alignment horizontal="center" vertical="top" wrapText="1"/>
    </xf>
    <xf numFmtId="0" fontId="32" fillId="8" borderId="17" xfId="0" applyFont="1" applyFill="1" applyBorder="1" applyAlignment="1">
      <alignment horizontal="center" vertical="top" wrapText="1"/>
    </xf>
    <xf numFmtId="0" fontId="20" fillId="12" borderId="15" xfId="6" applyFont="1" applyFill="1" applyBorder="1"/>
    <xf numFmtId="170" fontId="20" fillId="12" borderId="40" xfId="5" applyNumberFormat="1" applyFont="1" applyFill="1" applyBorder="1"/>
    <xf numFmtId="170" fontId="20" fillId="2" borderId="28" xfId="5" applyNumberFormat="1" applyFont="1" applyFill="1" applyBorder="1" applyAlignment="1">
      <alignment horizontal="center"/>
    </xf>
    <xf numFmtId="170" fontId="20" fillId="2" borderId="40" xfId="5" applyNumberFormat="1" applyFont="1" applyFill="1" applyBorder="1" applyAlignment="1">
      <alignment horizontal="center"/>
    </xf>
    <xf numFmtId="170" fontId="20" fillId="2" borderId="0" xfId="5" applyNumberFormat="1" applyFont="1" applyFill="1" applyBorder="1" applyAlignment="1">
      <alignment horizontal="center"/>
    </xf>
    <xf numFmtId="170" fontId="20" fillId="2" borderId="16" xfId="5" applyNumberFormat="1" applyFont="1" applyFill="1" applyBorder="1" applyAlignment="1">
      <alignment horizontal="center"/>
    </xf>
    <xf numFmtId="170" fontId="20" fillId="12" borderId="0" xfId="5" applyNumberFormat="1" applyFont="1" applyFill="1" applyBorder="1"/>
    <xf numFmtId="3" fontId="20" fillId="2" borderId="15" xfId="5" applyNumberFormat="1" applyFont="1" applyFill="1" applyBorder="1" applyAlignment="1">
      <alignment horizontal="center"/>
    </xf>
    <xf numFmtId="3" fontId="20" fillId="2" borderId="28" xfId="5" applyNumberFormat="1" applyFont="1" applyFill="1" applyBorder="1" applyAlignment="1">
      <alignment horizontal="center"/>
    </xf>
    <xf numFmtId="3" fontId="20" fillId="2" borderId="61" xfId="5" applyNumberFormat="1" applyFont="1" applyFill="1" applyBorder="1" applyAlignment="1">
      <alignment horizontal="center"/>
    </xf>
    <xf numFmtId="0" fontId="20" fillId="2" borderId="76" xfId="0" applyFont="1" applyFill="1" applyBorder="1" applyAlignment="1">
      <alignment horizontal="left"/>
    </xf>
    <xf numFmtId="0" fontId="20" fillId="2" borderId="64" xfId="0" applyFont="1" applyFill="1" applyBorder="1" applyAlignment="1">
      <alignment horizontal="center"/>
    </xf>
    <xf numFmtId="0" fontId="20" fillId="2" borderId="32" xfId="0" applyFont="1" applyFill="1" applyBorder="1" applyAlignment="1">
      <alignment horizontal="center"/>
    </xf>
    <xf numFmtId="170" fontId="20" fillId="2" borderId="32" xfId="0" applyNumberFormat="1" applyFont="1" applyFill="1" applyBorder="1" applyAlignment="1">
      <alignment horizontal="center"/>
    </xf>
    <xf numFmtId="170" fontId="20" fillId="2" borderId="66" xfId="0" applyNumberFormat="1" applyFont="1" applyFill="1" applyBorder="1" applyAlignment="1">
      <alignment horizontal="center"/>
    </xf>
    <xf numFmtId="3" fontId="20" fillId="2" borderId="76" xfId="5" applyNumberFormat="1" applyFont="1" applyFill="1" applyBorder="1" applyAlignment="1">
      <alignment horizontal="center"/>
    </xf>
    <xf numFmtId="3" fontId="20" fillId="2" borderId="32" xfId="5" applyNumberFormat="1" applyFont="1" applyFill="1" applyBorder="1" applyAlignment="1">
      <alignment horizontal="center"/>
    </xf>
    <xf numFmtId="3" fontId="20" fillId="2" borderId="66" xfId="5" applyNumberFormat="1" applyFont="1" applyFill="1" applyBorder="1" applyAlignment="1">
      <alignment horizontal="center"/>
    </xf>
    <xf numFmtId="0" fontId="32" fillId="8" borderId="35" xfId="0" applyFont="1" applyFill="1" applyBorder="1" applyAlignment="1">
      <alignment horizontal="center" vertical="top" wrapText="1"/>
    </xf>
    <xf numFmtId="3" fontId="20" fillId="0" borderId="37" xfId="5" applyNumberFormat="1" applyFont="1" applyFill="1" applyBorder="1" applyAlignment="1">
      <alignment horizontal="center"/>
    </xf>
    <xf numFmtId="0" fontId="32" fillId="8" borderId="13" xfId="0" applyFont="1" applyFill="1" applyBorder="1" applyAlignment="1">
      <alignment horizontal="center" vertical="top" wrapText="1"/>
    </xf>
    <xf numFmtId="0" fontId="32" fillId="8" borderId="14" xfId="0" applyFont="1" applyFill="1" applyBorder="1" applyAlignment="1">
      <alignment horizontal="center" vertical="top" wrapText="1"/>
    </xf>
    <xf numFmtId="174" fontId="54" fillId="2" borderId="0" xfId="11" applyNumberFormat="1" applyFont="1" applyFill="1" applyBorder="1" applyAlignment="1">
      <alignment horizontal="right" vertical="center"/>
    </xf>
    <xf numFmtId="174" fontId="54" fillId="2" borderId="16" xfId="11" applyNumberFormat="1" applyFont="1" applyFill="1" applyBorder="1" applyAlignment="1">
      <alignment horizontal="right" vertical="center"/>
    </xf>
    <xf numFmtId="0" fontId="20" fillId="12" borderId="45" xfId="6" applyFont="1" applyFill="1" applyBorder="1"/>
    <xf numFmtId="0" fontId="20" fillId="12" borderId="62" xfId="6" applyFont="1" applyFill="1" applyBorder="1"/>
    <xf numFmtId="170" fontId="20" fillId="12" borderId="59" xfId="5" applyNumberFormat="1" applyFont="1" applyFill="1" applyBorder="1"/>
    <xf numFmtId="174" fontId="54" fillId="2" borderId="31" xfId="11" applyNumberFormat="1" applyFont="1" applyFill="1" applyBorder="1" applyAlignment="1">
      <alignment horizontal="right" vertical="center"/>
    </xf>
    <xf numFmtId="174" fontId="54" fillId="2" borderId="46" xfId="11" applyNumberFormat="1" applyFont="1" applyFill="1" applyBorder="1" applyAlignment="1">
      <alignment horizontal="right" vertical="center"/>
    </xf>
    <xf numFmtId="0" fontId="18" fillId="0" borderId="0" xfId="1" applyFont="1" applyFill="1" applyBorder="1"/>
    <xf numFmtId="0" fontId="10" fillId="9" borderId="63" xfId="1" applyFont="1" applyFill="1" applyBorder="1" applyAlignment="1">
      <alignment wrapText="1"/>
    </xf>
    <xf numFmtId="0" fontId="10" fillId="9" borderId="65" xfId="1" applyFont="1" applyFill="1" applyBorder="1" applyAlignment="1">
      <alignment wrapText="1"/>
    </xf>
    <xf numFmtId="0" fontId="1" fillId="9" borderId="43" xfId="1" applyFill="1" applyBorder="1"/>
    <xf numFmtId="0" fontId="16" fillId="9" borderId="30" xfId="1" applyFont="1" applyFill="1" applyBorder="1"/>
    <xf numFmtId="0" fontId="1" fillId="9" borderId="30" xfId="1" applyFill="1" applyBorder="1"/>
    <xf numFmtId="0" fontId="1" fillId="9" borderId="44" xfId="1" applyFill="1" applyBorder="1"/>
    <xf numFmtId="0" fontId="10" fillId="9" borderId="86" xfId="1" applyFont="1" applyFill="1" applyBorder="1" applyAlignment="1">
      <alignment wrapText="1"/>
    </xf>
    <xf numFmtId="0" fontId="10" fillId="9" borderId="30" xfId="1" applyFont="1" applyFill="1" applyBorder="1" applyAlignment="1">
      <alignment horizontal="right"/>
    </xf>
    <xf numFmtId="0" fontId="10" fillId="9" borderId="31" xfId="1" applyFont="1" applyFill="1" applyBorder="1" applyAlignment="1">
      <alignment horizontal="center" vertical="center"/>
    </xf>
    <xf numFmtId="0" fontId="10" fillId="9" borderId="48" xfId="1" applyFont="1" applyFill="1" applyBorder="1" applyAlignment="1">
      <alignment horizontal="center" vertical="center" wrapText="1"/>
    </xf>
    <xf numFmtId="0" fontId="10" fillId="9" borderId="43" xfId="1" applyFont="1" applyFill="1" applyBorder="1"/>
    <xf numFmtId="0" fontId="10" fillId="9" borderId="30" xfId="1" applyFont="1" applyFill="1" applyBorder="1"/>
    <xf numFmtId="0" fontId="10" fillId="9" borderId="47" xfId="1" applyFont="1" applyFill="1" applyBorder="1"/>
    <xf numFmtId="0" fontId="23" fillId="9" borderId="30" xfId="0" applyFont="1" applyFill="1" applyBorder="1"/>
    <xf numFmtId="0" fontId="17" fillId="2" borderId="1" xfId="1" applyFont="1" applyFill="1" applyBorder="1" applyAlignment="1" applyProtection="1">
      <alignment horizontal="left"/>
    </xf>
    <xf numFmtId="2" fontId="25" fillId="0" borderId="0" xfId="0" applyNumberFormat="1" applyFont="1" applyFill="1" applyBorder="1" applyAlignment="1">
      <alignment horizontal="center" vertical="center"/>
    </xf>
    <xf numFmtId="0" fontId="10" fillId="9" borderId="92" xfId="1" applyFont="1" applyFill="1" applyBorder="1" applyAlignment="1">
      <alignment wrapText="1"/>
    </xf>
    <xf numFmtId="0" fontId="1" fillId="9" borderId="47" xfId="1" applyFill="1" applyBorder="1"/>
    <xf numFmtId="0" fontId="1" fillId="18" borderId="0" xfId="1" applyFill="1" applyBorder="1"/>
    <xf numFmtId="0" fontId="10" fillId="9" borderId="0" xfId="1" applyFont="1" applyFill="1" applyBorder="1" applyAlignment="1">
      <alignment horizontal="center" vertical="center"/>
    </xf>
    <xf numFmtId="0" fontId="10" fillId="9" borderId="49" xfId="1" applyFont="1" applyFill="1" applyBorder="1" applyAlignment="1">
      <alignment horizontal="center" vertical="center" wrapText="1"/>
    </xf>
    <xf numFmtId="0" fontId="10" fillId="9" borderId="92" xfId="1" applyFont="1" applyFill="1" applyBorder="1"/>
    <xf numFmtId="0" fontId="10" fillId="9" borderId="92" xfId="1" applyFont="1" applyFill="1" applyBorder="1" applyAlignment="1"/>
    <xf numFmtId="0" fontId="20" fillId="12" borderId="103" xfId="6" applyFont="1" applyFill="1" applyBorder="1"/>
    <xf numFmtId="3" fontId="20" fillId="0" borderId="103" xfId="5" applyNumberFormat="1" applyFont="1" applyFill="1" applyBorder="1" applyAlignment="1">
      <alignment horizontal="center"/>
    </xf>
    <xf numFmtId="0" fontId="1" fillId="0" borderId="0" xfId="1" applyFill="1" applyBorder="1" applyAlignment="1">
      <alignment wrapText="1"/>
    </xf>
    <xf numFmtId="4" fontId="25" fillId="0" borderId="0" xfId="0" applyNumberFormat="1" applyFont="1" applyFill="1" applyBorder="1" applyAlignment="1">
      <alignment horizontal="center"/>
    </xf>
    <xf numFmtId="0" fontId="10" fillId="9" borderId="44" xfId="1" applyFont="1" applyFill="1" applyBorder="1" applyAlignment="1">
      <alignment wrapText="1"/>
    </xf>
    <xf numFmtId="0" fontId="10" fillId="9" borderId="47" xfId="1" applyFont="1" applyFill="1" applyBorder="1" applyAlignment="1">
      <alignment wrapText="1"/>
    </xf>
    <xf numFmtId="0" fontId="64" fillId="2" borderId="0" xfId="0" applyFont="1" applyFill="1"/>
    <xf numFmtId="0" fontId="64" fillId="2" borderId="0" xfId="0" applyFont="1" applyFill="1" applyBorder="1"/>
    <xf numFmtId="0" fontId="64" fillId="19" borderId="112" xfId="0" applyFont="1" applyFill="1" applyBorder="1" applyAlignment="1">
      <alignment horizontal="center"/>
    </xf>
    <xf numFmtId="0" fontId="64" fillId="19" borderId="112" xfId="0" applyFont="1" applyFill="1" applyBorder="1"/>
    <xf numFmtId="0" fontId="64" fillId="2" borderId="114" xfId="0" applyFont="1" applyFill="1" applyBorder="1"/>
    <xf numFmtId="171" fontId="64" fillId="2" borderId="114" xfId="3" applyNumberFormat="1" applyFont="1" applyFill="1" applyBorder="1"/>
    <xf numFmtId="0" fontId="64" fillId="2" borderId="116" xfId="0" applyFont="1" applyFill="1" applyBorder="1"/>
    <xf numFmtId="171" fontId="64" fillId="2" borderId="116" xfId="3" applyNumberFormat="1" applyFont="1" applyFill="1" applyBorder="1"/>
    <xf numFmtId="0" fontId="64" fillId="2" borderId="118" xfId="0" applyFont="1" applyFill="1" applyBorder="1"/>
    <xf numFmtId="171" fontId="64" fillId="2" borderId="118" xfId="3" applyNumberFormat="1" applyFont="1" applyFill="1" applyBorder="1"/>
    <xf numFmtId="0" fontId="64" fillId="2" borderId="0" xfId="0" applyFont="1" applyFill="1" applyBorder="1" applyAlignment="1">
      <alignment horizontal="center" textRotation="90" wrapText="1"/>
    </xf>
    <xf numFmtId="0" fontId="66" fillId="2" borderId="38" xfId="0" applyFont="1" applyFill="1" applyBorder="1"/>
    <xf numFmtId="167" fontId="64" fillId="20" borderId="119" xfId="0" applyNumberFormat="1" applyFont="1" applyFill="1" applyBorder="1" applyAlignment="1">
      <alignment vertical="center"/>
    </xf>
    <xf numFmtId="4" fontId="64" fillId="2" borderId="120" xfId="0" applyNumberFormat="1" applyFont="1" applyFill="1" applyBorder="1" applyAlignment="1">
      <alignment horizontal="center"/>
    </xf>
    <xf numFmtId="180" fontId="64" fillId="2" borderId="120" xfId="0" applyNumberFormat="1" applyFont="1" applyFill="1" applyBorder="1" applyAlignment="1">
      <alignment horizontal="center"/>
    </xf>
    <xf numFmtId="3" fontId="64" fillId="2" borderId="121" xfId="0" applyNumberFormat="1" applyFont="1" applyFill="1" applyBorder="1" applyAlignment="1">
      <alignment horizontal="center"/>
    </xf>
    <xf numFmtId="176" fontId="64" fillId="2" borderId="122" xfId="0" applyNumberFormat="1" applyFont="1" applyFill="1" applyBorder="1" applyAlignment="1">
      <alignment horizontal="center"/>
    </xf>
    <xf numFmtId="167" fontId="64" fillId="20" borderId="39" xfId="0" applyNumberFormat="1" applyFont="1" applyFill="1" applyBorder="1" applyAlignment="1">
      <alignment vertical="center"/>
    </xf>
    <xf numFmtId="180" fontId="64" fillId="2" borderId="39" xfId="0" applyNumberFormat="1" applyFont="1" applyFill="1" applyBorder="1" applyAlignment="1">
      <alignment horizontal="center"/>
    </xf>
    <xf numFmtId="4" fontId="64" fillId="2" borderId="123" xfId="0" applyNumberFormat="1" applyFont="1" applyFill="1" applyBorder="1" applyAlignment="1">
      <alignment horizontal="center"/>
    </xf>
    <xf numFmtId="180" fontId="64" fillId="2" borderId="122" xfId="0" applyNumberFormat="1" applyFont="1" applyFill="1" applyBorder="1" applyAlignment="1">
      <alignment horizontal="center"/>
    </xf>
    <xf numFmtId="181" fontId="64" fillId="2" borderId="39" xfId="0" applyNumberFormat="1" applyFont="1" applyFill="1" applyBorder="1" applyAlignment="1">
      <alignment horizontal="center"/>
    </xf>
    <xf numFmtId="3" fontId="64" fillId="2" borderId="123" xfId="0" applyNumberFormat="1" applyFont="1" applyFill="1" applyBorder="1" applyAlignment="1">
      <alignment horizontal="center"/>
    </xf>
    <xf numFmtId="181" fontId="64" fillId="2" borderId="122" xfId="0" applyNumberFormat="1" applyFont="1" applyFill="1" applyBorder="1" applyAlignment="1">
      <alignment horizontal="center"/>
    </xf>
    <xf numFmtId="3" fontId="64" fillId="2" borderId="39" xfId="0" applyNumberFormat="1" applyFont="1" applyFill="1" applyBorder="1" applyAlignment="1">
      <alignment horizontal="center"/>
    </xf>
    <xf numFmtId="4" fontId="64" fillId="2" borderId="39" xfId="0" applyNumberFormat="1" applyFont="1" applyFill="1" applyBorder="1" applyAlignment="1">
      <alignment horizontal="center"/>
    </xf>
    <xf numFmtId="182" fontId="64" fillId="2" borderId="124" xfId="0" applyNumberFormat="1" applyFont="1" applyFill="1" applyBorder="1" applyAlignment="1">
      <alignment horizontal="center"/>
    </xf>
    <xf numFmtId="183" fontId="64" fillId="2" borderId="125" xfId="0" applyNumberFormat="1" applyFont="1" applyFill="1" applyBorder="1" applyAlignment="1">
      <alignment horizontal="center"/>
    </xf>
    <xf numFmtId="182" fontId="64" fillId="2" borderId="125" xfId="0" applyNumberFormat="1" applyFont="1" applyFill="1" applyBorder="1" applyAlignment="1">
      <alignment horizontal="center"/>
    </xf>
    <xf numFmtId="167" fontId="64" fillId="20" borderId="126" xfId="0" applyNumberFormat="1" applyFont="1" applyFill="1" applyBorder="1" applyAlignment="1">
      <alignment vertical="center"/>
    </xf>
    <xf numFmtId="184" fontId="64" fillId="2" borderId="120" xfId="0" applyNumberFormat="1" applyFont="1" applyFill="1" applyBorder="1" applyAlignment="1">
      <alignment horizontal="center"/>
    </xf>
    <xf numFmtId="165" fontId="64" fillId="2" borderId="120" xfId="0" applyNumberFormat="1" applyFont="1" applyFill="1" applyBorder="1" applyAlignment="1">
      <alignment horizontal="center"/>
    </xf>
    <xf numFmtId="185" fontId="64" fillId="2" borderId="121" xfId="0" applyNumberFormat="1" applyFont="1" applyFill="1" applyBorder="1" applyAlignment="1">
      <alignment horizontal="center"/>
    </xf>
    <xf numFmtId="1" fontId="64" fillId="2" borderId="122" xfId="0" applyNumberFormat="1" applyFont="1" applyFill="1" applyBorder="1" applyAlignment="1">
      <alignment horizontal="center"/>
    </xf>
    <xf numFmtId="184" fontId="64" fillId="2" borderId="39" xfId="0" applyNumberFormat="1" applyFont="1" applyFill="1" applyBorder="1" applyAlignment="1">
      <alignment horizontal="center"/>
    </xf>
    <xf numFmtId="2" fontId="64" fillId="2" borderId="39" xfId="0" applyNumberFormat="1" applyFont="1" applyFill="1" applyBorder="1" applyAlignment="1">
      <alignment horizontal="center"/>
    </xf>
    <xf numFmtId="167" fontId="64" fillId="2" borderId="123" xfId="0" applyNumberFormat="1" applyFont="1" applyFill="1" applyBorder="1" applyAlignment="1">
      <alignment horizontal="center"/>
    </xf>
    <xf numFmtId="184" fontId="64" fillId="2" borderId="122" xfId="0" applyNumberFormat="1" applyFont="1" applyFill="1" applyBorder="1" applyAlignment="1">
      <alignment horizontal="center"/>
    </xf>
    <xf numFmtId="165" fontId="64" fillId="2" borderId="39" xfId="0" applyNumberFormat="1" applyFont="1" applyFill="1" applyBorder="1" applyAlignment="1">
      <alignment horizontal="center"/>
    </xf>
    <xf numFmtId="167" fontId="64" fillId="2" borderId="39" xfId="0" applyNumberFormat="1" applyFont="1" applyFill="1" applyBorder="1" applyAlignment="1">
      <alignment horizontal="center"/>
    </xf>
    <xf numFmtId="165" fontId="64" fillId="2" borderId="123" xfId="0" applyNumberFormat="1" applyFont="1" applyFill="1" applyBorder="1" applyAlignment="1">
      <alignment horizontal="center"/>
    </xf>
    <xf numFmtId="167" fontId="64" fillId="2" borderId="122" xfId="0" applyNumberFormat="1" applyFont="1" applyFill="1" applyBorder="1" applyAlignment="1">
      <alignment horizontal="center"/>
    </xf>
    <xf numFmtId="186" fontId="64" fillId="2" borderId="123" xfId="0" applyNumberFormat="1" applyFont="1" applyFill="1" applyBorder="1" applyAlignment="1">
      <alignment horizontal="center"/>
    </xf>
    <xf numFmtId="185" fontId="64" fillId="2" borderId="39" xfId="0" applyNumberFormat="1" applyFont="1" applyFill="1" applyBorder="1" applyAlignment="1">
      <alignment horizontal="center"/>
    </xf>
    <xf numFmtId="2" fontId="64" fillId="2" borderId="124" xfId="0" applyNumberFormat="1" applyFont="1" applyFill="1" applyBorder="1" applyAlignment="1">
      <alignment horizontal="center"/>
    </xf>
    <xf numFmtId="165" fontId="64" fillId="2" borderId="125" xfId="0" applyNumberFormat="1" applyFont="1" applyFill="1" applyBorder="1" applyAlignment="1">
      <alignment horizontal="center"/>
    </xf>
    <xf numFmtId="167" fontId="64" fillId="2" borderId="125" xfId="0" applyNumberFormat="1" applyFont="1" applyFill="1" applyBorder="1" applyAlignment="1">
      <alignment horizontal="center"/>
    </xf>
    <xf numFmtId="184" fontId="64" fillId="2" borderId="125" xfId="0" applyNumberFormat="1" applyFont="1" applyFill="1" applyBorder="1" applyAlignment="1">
      <alignment horizontal="center"/>
    </xf>
    <xf numFmtId="1" fontId="64" fillId="2" borderId="125" xfId="0" applyNumberFormat="1" applyFont="1" applyFill="1" applyBorder="1" applyAlignment="1">
      <alignment horizontal="center"/>
    </xf>
    <xf numFmtId="0" fontId="68" fillId="2" borderId="38" xfId="0" applyFont="1" applyFill="1" applyBorder="1" applyAlignment="1">
      <alignment horizontal="center"/>
    </xf>
    <xf numFmtId="165" fontId="64" fillId="2" borderId="121" xfId="0" applyNumberFormat="1" applyFont="1" applyFill="1" applyBorder="1" applyAlignment="1">
      <alignment horizontal="center"/>
    </xf>
    <xf numFmtId="165" fontId="64" fillId="2" borderId="122" xfId="0" applyNumberFormat="1" applyFont="1" applyFill="1" applyBorder="1" applyAlignment="1">
      <alignment horizontal="center"/>
    </xf>
    <xf numFmtId="1" fontId="64" fillId="2" borderId="123" xfId="0" applyNumberFormat="1" applyFont="1" applyFill="1" applyBorder="1" applyAlignment="1">
      <alignment horizontal="center"/>
    </xf>
    <xf numFmtId="2" fontId="64" fillId="2" borderId="122" xfId="0" applyNumberFormat="1" applyFont="1" applyFill="1" applyBorder="1" applyAlignment="1">
      <alignment horizontal="center"/>
    </xf>
    <xf numFmtId="165" fontId="64" fillId="2" borderId="124" xfId="0" applyNumberFormat="1" applyFont="1" applyFill="1" applyBorder="1" applyAlignment="1">
      <alignment horizontal="center"/>
    </xf>
    <xf numFmtId="187" fontId="64" fillId="2" borderId="125" xfId="0" applyNumberFormat="1" applyFont="1" applyFill="1" applyBorder="1" applyAlignment="1">
      <alignment horizontal="center"/>
    </xf>
    <xf numFmtId="167" fontId="64" fillId="2" borderId="120" xfId="0" applyNumberFormat="1" applyFont="1" applyFill="1" applyBorder="1" applyAlignment="1">
      <alignment horizontal="center"/>
    </xf>
    <xf numFmtId="187" fontId="64" fillId="2" borderId="120" xfId="0" applyNumberFormat="1" applyFont="1" applyFill="1" applyBorder="1" applyAlignment="1">
      <alignment horizontal="center"/>
    </xf>
    <xf numFmtId="0" fontId="64" fillId="2" borderId="120" xfId="0" applyFont="1" applyFill="1" applyBorder="1" applyAlignment="1">
      <alignment horizontal="center"/>
    </xf>
    <xf numFmtId="187" fontId="64" fillId="2" borderId="121" xfId="0" applyNumberFormat="1" applyFont="1" applyFill="1" applyBorder="1" applyAlignment="1">
      <alignment horizontal="center"/>
    </xf>
    <xf numFmtId="187" fontId="64" fillId="2" borderId="123" xfId="0" applyNumberFormat="1" applyFont="1" applyFill="1" applyBorder="1" applyAlignment="1">
      <alignment horizontal="center"/>
    </xf>
    <xf numFmtId="1" fontId="64" fillId="2" borderId="39" xfId="0" applyNumberFormat="1" applyFont="1" applyFill="1" applyBorder="1" applyAlignment="1">
      <alignment horizontal="center"/>
    </xf>
    <xf numFmtId="170" fontId="64" fillId="2" borderId="39" xfId="0" applyNumberFormat="1" applyFont="1" applyFill="1" applyBorder="1" applyAlignment="1">
      <alignment horizontal="center"/>
    </xf>
    <xf numFmtId="1" fontId="64" fillId="2" borderId="124" xfId="0" applyNumberFormat="1" applyFont="1" applyFill="1" applyBorder="1" applyAlignment="1">
      <alignment horizontal="center"/>
    </xf>
    <xf numFmtId="170" fontId="64" fillId="2" borderId="125" xfId="0" applyNumberFormat="1" applyFont="1" applyFill="1" applyBorder="1" applyAlignment="1">
      <alignment horizontal="center"/>
    </xf>
    <xf numFmtId="172" fontId="25" fillId="16" borderId="33" xfId="5" applyNumberFormat="1" applyFont="1" applyFill="1" applyBorder="1" applyAlignment="1">
      <alignment horizontal="center"/>
    </xf>
    <xf numFmtId="172" fontId="25" fillId="16" borderId="96" xfId="5" applyNumberFormat="1" applyFont="1" applyFill="1" applyBorder="1" applyAlignment="1">
      <alignment horizontal="center"/>
    </xf>
    <xf numFmtId="170" fontId="53" fillId="8" borderId="93" xfId="5" applyNumberFormat="1" applyFont="1" applyFill="1" applyBorder="1" applyAlignment="1">
      <alignment horizontal="center"/>
    </xf>
    <xf numFmtId="170" fontId="53" fillId="8" borderId="70" xfId="5" applyNumberFormat="1" applyFont="1" applyFill="1" applyBorder="1" applyAlignment="1">
      <alignment horizontal="center"/>
    </xf>
    <xf numFmtId="170" fontId="53" fillId="8" borderId="90" xfId="5" applyNumberFormat="1" applyFont="1" applyFill="1" applyBorder="1" applyAlignment="1">
      <alignment horizontal="center"/>
    </xf>
    <xf numFmtId="169" fontId="25" fillId="0" borderId="0" xfId="0" applyNumberFormat="1" applyFont="1" applyFill="1" applyBorder="1" applyAlignment="1">
      <alignment horizontal="center"/>
    </xf>
    <xf numFmtId="166" fontId="69" fillId="0" borderId="127" xfId="0" applyNumberFormat="1" applyFont="1" applyBorder="1" applyAlignment="1">
      <alignment horizontal="center"/>
    </xf>
    <xf numFmtId="166" fontId="69" fillId="0" borderId="39" xfId="0" applyNumberFormat="1" applyFont="1" applyBorder="1" applyAlignment="1">
      <alignment horizontal="center"/>
    </xf>
    <xf numFmtId="0" fontId="69" fillId="0" borderId="39" xfId="0" applyFont="1" applyBorder="1" applyAlignment="1"/>
    <xf numFmtId="0" fontId="69" fillId="19" borderId="39" xfId="0" applyFont="1" applyFill="1" applyBorder="1" applyAlignment="1"/>
    <xf numFmtId="0" fontId="69" fillId="19" borderId="39" xfId="0" applyFont="1" applyFill="1" applyBorder="1" applyAlignment="1">
      <alignment horizontal="left"/>
    </xf>
    <xf numFmtId="0" fontId="69" fillId="19" borderId="128" xfId="0" applyFont="1" applyFill="1" applyBorder="1" applyAlignment="1">
      <alignment vertical="center"/>
    </xf>
    <xf numFmtId="0" fontId="69" fillId="19" borderId="129" xfId="0" applyFont="1" applyFill="1" applyBorder="1" applyAlignment="1">
      <alignment vertical="center"/>
    </xf>
    <xf numFmtId="0" fontId="69" fillId="19" borderId="130" xfId="0" applyFont="1" applyFill="1" applyBorder="1" applyAlignment="1">
      <alignment vertical="center"/>
    </xf>
    <xf numFmtId="0" fontId="69" fillId="19" borderId="128" xfId="0" applyFont="1" applyFill="1" applyBorder="1" applyAlignment="1"/>
    <xf numFmtId="165" fontId="25" fillId="0" borderId="0" xfId="0" applyNumberFormat="1" applyFont="1" applyFill="1" applyBorder="1" applyAlignment="1">
      <alignment horizontal="center" vertical="center"/>
    </xf>
    <xf numFmtId="166" fontId="35" fillId="0" borderId="0" xfId="0" applyNumberFormat="1" applyFont="1" applyFill="1" applyBorder="1" applyAlignment="1">
      <alignment horizontal="center"/>
    </xf>
    <xf numFmtId="165" fontId="25" fillId="0" borderId="0" xfId="0" applyNumberFormat="1" applyFont="1" applyFill="1" applyBorder="1" applyAlignment="1">
      <alignment horizontal="center"/>
    </xf>
    <xf numFmtId="0" fontId="30" fillId="0" borderId="0" xfId="0" applyFont="1" applyFill="1" applyBorder="1" applyAlignment="1">
      <alignment horizontal="center" vertical="center" wrapText="1"/>
    </xf>
    <xf numFmtId="168" fontId="25" fillId="0" borderId="0" xfId="0" applyNumberFormat="1" applyFont="1" applyFill="1" applyBorder="1" applyAlignment="1">
      <alignment horizontal="center"/>
    </xf>
    <xf numFmtId="0" fontId="25" fillId="0" borderId="93" xfId="0" applyFont="1" applyFill="1" applyBorder="1" applyAlignment="1">
      <alignment horizontal="center" vertical="center"/>
    </xf>
    <xf numFmtId="164" fontId="25" fillId="0" borderId="0" xfId="0" applyNumberFormat="1" applyFont="1" applyFill="1" applyBorder="1" applyAlignment="1">
      <alignment horizontal="center"/>
    </xf>
    <xf numFmtId="166" fontId="25" fillId="0" borderId="0" xfId="0" applyNumberFormat="1" applyFont="1" applyFill="1" applyBorder="1" applyAlignment="1">
      <alignment horizontal="center"/>
    </xf>
    <xf numFmtId="0" fontId="32" fillId="0" borderId="0" xfId="0" applyFont="1" applyFill="1" applyBorder="1" applyAlignment="1">
      <alignment horizontal="center" vertical="center" wrapText="1"/>
    </xf>
    <xf numFmtId="0" fontId="0" fillId="0" borderId="0" xfId="0" applyFill="1" applyBorder="1" applyAlignment="1"/>
    <xf numFmtId="168" fontId="69" fillId="0" borderId="39" xfId="0" applyNumberFormat="1" applyFont="1" applyBorder="1" applyAlignment="1">
      <alignment horizontal="center"/>
    </xf>
    <xf numFmtId="166" fontId="69" fillId="0" borderId="39" xfId="0" applyNumberFormat="1" applyFont="1" applyBorder="1" applyAlignment="1">
      <alignment horizontal="center" vertical="center"/>
    </xf>
    <xf numFmtId="0" fontId="28" fillId="0" borderId="0" xfId="0" applyFont="1" applyFill="1" applyBorder="1" applyAlignment="1" applyProtection="1">
      <alignment horizontal="left" vertical="center" wrapText="1" indent="1"/>
    </xf>
    <xf numFmtId="0" fontId="37" fillId="0" borderId="0" xfId="0" applyFont="1" applyFill="1" applyBorder="1" applyAlignment="1">
      <alignment horizontal="center" vertical="center" wrapText="1"/>
    </xf>
    <xf numFmtId="0" fontId="69" fillId="0" borderId="131" xfId="0" applyFont="1" applyBorder="1" applyAlignment="1"/>
    <xf numFmtId="0" fontId="69" fillId="0" borderId="132" xfId="0" applyFont="1" applyBorder="1" applyAlignment="1"/>
    <xf numFmtId="0" fontId="69" fillId="19" borderId="132" xfId="0" applyFont="1" applyFill="1" applyBorder="1" applyAlignment="1"/>
    <xf numFmtId="0" fontId="69" fillId="19" borderId="132" xfId="0" applyFont="1" applyFill="1" applyBorder="1" applyAlignment="1">
      <alignment horizontal="left"/>
    </xf>
    <xf numFmtId="0" fontId="69" fillId="19" borderId="133" xfId="0" applyFont="1" applyFill="1" applyBorder="1" applyAlignment="1">
      <alignment horizontal="left"/>
    </xf>
    <xf numFmtId="0" fontId="0" fillId="0" borderId="15" xfId="0" applyBorder="1"/>
    <xf numFmtId="168" fontId="69" fillId="0" borderId="134" xfId="0" applyNumberFormat="1" applyFont="1" applyBorder="1" applyAlignment="1">
      <alignment horizontal="center"/>
    </xf>
    <xf numFmtId="166" fontId="69" fillId="0" borderId="134" xfId="0" applyNumberFormat="1" applyFont="1" applyBorder="1" applyAlignment="1">
      <alignment horizontal="center"/>
    </xf>
    <xf numFmtId="0" fontId="69" fillId="19" borderId="135" xfId="0" applyFont="1" applyFill="1" applyBorder="1" applyAlignment="1">
      <alignment vertical="center"/>
    </xf>
    <xf numFmtId="0" fontId="69" fillId="19" borderId="136" xfId="0" applyFont="1" applyFill="1" applyBorder="1" applyAlignment="1"/>
    <xf numFmtId="0" fontId="25" fillId="0" borderId="99" xfId="0" applyFont="1" applyFill="1" applyBorder="1" applyAlignment="1">
      <alignment horizontal="center" vertical="center"/>
    </xf>
    <xf numFmtId="165" fontId="25" fillId="0" borderId="31" xfId="0" applyNumberFormat="1" applyFont="1" applyFill="1" applyBorder="1" applyAlignment="1">
      <alignment horizontal="center" vertical="center"/>
    </xf>
    <xf numFmtId="166" fontId="69" fillId="0" borderId="136" xfId="0" applyNumberFormat="1" applyFont="1" applyBorder="1" applyAlignment="1">
      <alignment horizontal="center"/>
    </xf>
    <xf numFmtId="166" fontId="69" fillId="0" borderId="137" xfId="0" applyNumberFormat="1" applyFont="1" applyBorder="1" applyAlignment="1">
      <alignment horizontal="center"/>
    </xf>
    <xf numFmtId="0" fontId="69" fillId="19" borderId="39" xfId="0" applyFont="1" applyFill="1" applyBorder="1"/>
    <xf numFmtId="0" fontId="69" fillId="19" borderId="39" xfId="0" applyFont="1" applyFill="1" applyBorder="1" applyAlignment="1">
      <alignment horizontal="center"/>
    </xf>
    <xf numFmtId="0" fontId="69" fillId="19" borderId="128" xfId="0" applyFont="1" applyFill="1" applyBorder="1" applyAlignment="1">
      <alignment horizontal="center" vertical="center"/>
    </xf>
    <xf numFmtId="4" fontId="69" fillId="0" borderId="39" xfId="0" applyNumberFormat="1" applyFont="1" applyBorder="1" applyAlignment="1">
      <alignment horizontal="center"/>
    </xf>
    <xf numFmtId="0" fontId="69" fillId="19" borderId="129" xfId="0" applyFont="1" applyFill="1" applyBorder="1" applyAlignment="1">
      <alignment horizontal="center" vertical="center"/>
    </xf>
    <xf numFmtId="0" fontId="69" fillId="19" borderId="128" xfId="0" applyFont="1" applyFill="1" applyBorder="1" applyAlignment="1">
      <alignment vertical="center" wrapText="1"/>
    </xf>
    <xf numFmtId="0" fontId="69" fillId="19" borderId="129" xfId="0" applyFont="1" applyFill="1" applyBorder="1" applyAlignment="1">
      <alignment vertical="center" wrapText="1"/>
    </xf>
    <xf numFmtId="0" fontId="69" fillId="19" borderId="130" xfId="0" applyFont="1" applyFill="1" applyBorder="1" applyAlignment="1">
      <alignment vertical="center" wrapText="1"/>
    </xf>
    <xf numFmtId="0" fontId="69" fillId="24" borderId="39" xfId="0" applyFont="1" applyFill="1" applyBorder="1" applyAlignment="1">
      <alignment horizontal="center"/>
    </xf>
    <xf numFmtId="166" fontId="69" fillId="0" borderId="128" xfId="0" applyNumberFormat="1" applyFont="1" applyBorder="1" applyAlignment="1">
      <alignment horizontal="center"/>
    </xf>
    <xf numFmtId="0" fontId="69" fillId="19" borderId="138" xfId="0" applyFont="1" applyFill="1" applyBorder="1" applyAlignment="1">
      <alignment vertical="center" wrapText="1"/>
    </xf>
    <xf numFmtId="0" fontId="69" fillId="19" borderId="139" xfId="0" applyFont="1" applyFill="1" applyBorder="1" applyAlignment="1"/>
    <xf numFmtId="4" fontId="69" fillId="0" borderId="41" xfId="0" applyNumberFormat="1" applyFont="1" applyBorder="1" applyAlignment="1">
      <alignment horizontal="center"/>
    </xf>
    <xf numFmtId="4" fontId="69" fillId="0" borderId="42" xfId="0" applyNumberFormat="1" applyFont="1" applyBorder="1" applyAlignment="1">
      <alignment horizontal="center"/>
    </xf>
    <xf numFmtId="0" fontId="69" fillId="19" borderId="140" xfId="0" applyFont="1" applyFill="1" applyBorder="1" applyAlignment="1">
      <alignment vertical="center" wrapText="1"/>
    </xf>
    <xf numFmtId="0" fontId="69" fillId="19" borderId="141" xfId="0" applyFont="1" applyFill="1" applyBorder="1" applyAlignment="1"/>
    <xf numFmtId="166" fontId="69" fillId="0" borderId="142" xfId="0" applyNumberFormat="1" applyFont="1" applyBorder="1" applyAlignment="1">
      <alignment horizontal="center"/>
    </xf>
    <xf numFmtId="0" fontId="69" fillId="19" borderId="143" xfId="0" applyFont="1" applyFill="1" applyBorder="1" applyAlignment="1">
      <alignment vertical="center" wrapText="1"/>
    </xf>
    <xf numFmtId="0" fontId="69" fillId="19" borderId="144" xfId="0" applyFont="1" applyFill="1" applyBorder="1" applyAlignment="1"/>
    <xf numFmtId="166" fontId="69" fillId="0" borderId="145" xfId="0" applyNumberFormat="1" applyFont="1" applyBorder="1" applyAlignment="1">
      <alignment horizontal="center"/>
    </xf>
    <xf numFmtId="0" fontId="69" fillId="19" borderId="130" xfId="0" applyFont="1" applyFill="1" applyBorder="1" applyAlignment="1"/>
    <xf numFmtId="4" fontId="69" fillId="0" borderId="130" xfId="0" applyNumberFormat="1" applyFont="1" applyBorder="1" applyAlignment="1">
      <alignment horizontal="center"/>
    </xf>
    <xf numFmtId="0" fontId="69" fillId="19" borderId="130" xfId="0" applyFont="1" applyFill="1" applyBorder="1" applyAlignment="1">
      <alignment horizontal="center" vertical="center"/>
    </xf>
    <xf numFmtId="0" fontId="69" fillId="19" borderId="128" xfId="0" applyFont="1" applyFill="1" applyBorder="1" applyAlignment="1">
      <alignment horizontal="left" vertical="center" wrapText="1"/>
    </xf>
    <xf numFmtId="0" fontId="69" fillId="19" borderId="129" xfId="0" applyFont="1" applyFill="1" applyBorder="1" applyAlignment="1">
      <alignment horizontal="left" vertical="center" wrapText="1"/>
    </xf>
    <xf numFmtId="0" fontId="69" fillId="19" borderId="130" xfId="0" applyFont="1" applyFill="1" applyBorder="1" applyAlignment="1">
      <alignment horizontal="left" vertical="center" wrapText="1"/>
    </xf>
    <xf numFmtId="0" fontId="69" fillId="0" borderId="39" xfId="0" applyFont="1" applyBorder="1" applyAlignment="1">
      <alignment horizontal="left" wrapText="1"/>
    </xf>
    <xf numFmtId="0" fontId="69" fillId="0" borderId="39" xfId="0" applyFont="1" applyBorder="1"/>
    <xf numFmtId="0" fontId="69" fillId="19" borderId="39" xfId="0" applyFont="1" applyFill="1" applyBorder="1" applyAlignment="1">
      <alignment horizontal="left" wrapText="1"/>
    </xf>
    <xf numFmtId="0" fontId="69" fillId="2" borderId="39" xfId="0" applyFont="1" applyFill="1" applyBorder="1"/>
    <xf numFmtId="164" fontId="69" fillId="0" borderId="39" xfId="0" applyNumberFormat="1" applyFont="1" applyBorder="1" applyAlignment="1">
      <alignment horizontal="center"/>
    </xf>
    <xf numFmtId="165" fontId="69" fillId="0" borderId="39" xfId="0" applyNumberFormat="1" applyFont="1" applyBorder="1" applyAlignment="1">
      <alignment horizontal="center"/>
    </xf>
    <xf numFmtId="0" fontId="75" fillId="0" borderId="155" xfId="0" applyFont="1" applyBorder="1" applyAlignment="1">
      <alignment horizontal="left" vertical="center" wrapText="1"/>
    </xf>
    <xf numFmtId="0" fontId="75" fillId="0" borderId="155" xfId="0" applyFont="1" applyBorder="1" applyAlignment="1">
      <alignment horizontal="center" vertical="center" wrapText="1"/>
    </xf>
    <xf numFmtId="0" fontId="75" fillId="0" borderId="154" xfId="0" applyFont="1" applyBorder="1" applyAlignment="1">
      <alignment horizontal="center" vertical="center" wrapText="1"/>
    </xf>
    <xf numFmtId="0" fontId="75" fillId="0" borderId="152" xfId="0" applyFont="1" applyBorder="1" applyAlignment="1">
      <alignment horizontal="left" vertical="center" wrapText="1"/>
    </xf>
    <xf numFmtId="0" fontId="78" fillId="0" borderId="154" xfId="0" applyFont="1" applyBorder="1" applyAlignment="1">
      <alignment horizontal="left" vertical="center" wrapText="1"/>
    </xf>
    <xf numFmtId="0" fontId="78" fillId="0" borderId="154" xfId="0" applyFont="1" applyBorder="1" applyAlignment="1">
      <alignment horizontal="center" vertical="center" wrapText="1"/>
    </xf>
    <xf numFmtId="0" fontId="75" fillId="0" borderId="152" xfId="0" applyFont="1" applyBorder="1" applyAlignment="1">
      <alignment horizontal="center" vertical="center" wrapText="1"/>
    </xf>
    <xf numFmtId="0" fontId="78" fillId="0" borderId="155" xfId="0" applyFont="1" applyBorder="1" applyAlignment="1">
      <alignment horizontal="left" vertical="center" wrapText="1"/>
    </xf>
    <xf numFmtId="0" fontId="75" fillId="0" borderId="152" xfId="0" applyFont="1" applyBorder="1" applyAlignment="1">
      <alignment horizontal="center" vertical="center" wrapText="1"/>
    </xf>
    <xf numFmtId="0" fontId="0" fillId="0" borderId="154" xfId="0" applyBorder="1" applyAlignment="1">
      <alignment vertical="center" wrapText="1"/>
    </xf>
    <xf numFmtId="0" fontId="83" fillId="0" borderId="155" xfId="0" applyFont="1" applyBorder="1" applyAlignment="1">
      <alignment horizontal="center" vertical="center" wrapText="1"/>
    </xf>
    <xf numFmtId="0" fontId="78" fillId="0" borderId="155" xfId="0" applyFont="1" applyBorder="1" applyAlignment="1">
      <alignment horizontal="left" vertical="center" wrapText="1" indent="1"/>
    </xf>
    <xf numFmtId="0" fontId="78" fillId="0" borderId="155" xfId="0" applyFont="1" applyBorder="1" applyAlignment="1">
      <alignment horizontal="center" vertical="center" wrapText="1"/>
    </xf>
    <xf numFmtId="0" fontId="78" fillId="0" borderId="152" xfId="0" applyFont="1" applyBorder="1" applyAlignment="1">
      <alignment horizontal="center" vertical="center" wrapText="1"/>
    </xf>
    <xf numFmtId="0" fontId="0" fillId="0" borderId="0" xfId="0" applyAlignment="1"/>
    <xf numFmtId="0" fontId="75" fillId="0" borderId="48" xfId="0" applyFont="1" applyBorder="1"/>
    <xf numFmtId="0" fontId="75" fillId="0" borderId="49" xfId="0" applyFont="1" applyBorder="1" applyAlignment="1">
      <alignment horizontal="center" vertical="center" wrapText="1"/>
    </xf>
    <xf numFmtId="0" fontId="0" fillId="0" borderId="155" xfId="0" applyBorder="1" applyAlignment="1">
      <alignment vertical="center" wrapText="1"/>
    </xf>
    <xf numFmtId="0" fontId="75" fillId="0" borderId="165" xfId="0" applyFont="1" applyBorder="1" applyAlignment="1">
      <alignment horizontal="left" vertical="center" wrapText="1"/>
    </xf>
    <xf numFmtId="0" fontId="75" fillId="0" borderId="167" xfId="0" applyFont="1" applyBorder="1" applyAlignment="1">
      <alignment horizontal="left" vertical="center" wrapText="1"/>
    </xf>
    <xf numFmtId="0" fontId="78" fillId="0" borderId="168" xfId="0" applyFont="1" applyBorder="1" applyAlignment="1">
      <alignment horizontal="center" vertical="center" wrapText="1"/>
    </xf>
    <xf numFmtId="0" fontId="78" fillId="0" borderId="168" xfId="0" applyFont="1" applyBorder="1" applyAlignment="1">
      <alignment horizontal="left" vertical="center" wrapText="1"/>
    </xf>
    <xf numFmtId="0" fontId="78" fillId="0" borderId="169" xfId="0" applyFont="1" applyBorder="1" applyAlignment="1">
      <alignment horizontal="center" vertical="center" wrapText="1"/>
    </xf>
    <xf numFmtId="0" fontId="78" fillId="0" borderId="46" xfId="0" applyFont="1" applyBorder="1" applyAlignment="1">
      <alignment horizontal="center" vertical="center" wrapText="1"/>
    </xf>
    <xf numFmtId="0" fontId="23" fillId="9" borderId="43" xfId="0" applyFont="1" applyFill="1" applyBorder="1"/>
    <xf numFmtId="0" fontId="23" fillId="9" borderId="15" xfId="0" applyFont="1" applyFill="1" applyBorder="1"/>
    <xf numFmtId="0" fontId="23" fillId="9" borderId="0" xfId="0" applyFont="1" applyFill="1" applyBorder="1"/>
    <xf numFmtId="2" fontId="35" fillId="0" borderId="39" xfId="0" applyNumberFormat="1" applyFont="1" applyFill="1" applyBorder="1" applyAlignment="1">
      <alignment horizontal="center" vertical="center"/>
    </xf>
    <xf numFmtId="0" fontId="32" fillId="9" borderId="103" xfId="0" applyFont="1" applyFill="1" applyBorder="1" applyAlignment="1">
      <alignment horizontal="center" vertical="top" wrapText="1"/>
    </xf>
    <xf numFmtId="0" fontId="32" fillId="9" borderId="94" xfId="0" applyFont="1" applyFill="1" applyBorder="1" applyAlignment="1">
      <alignment horizontal="center" vertical="top" wrapText="1"/>
    </xf>
    <xf numFmtId="0" fontId="14" fillId="9" borderId="177" xfId="1" applyFont="1" applyFill="1" applyBorder="1" applyAlignment="1" applyProtection="1">
      <alignment horizontal="center" vertical="center" wrapText="1"/>
    </xf>
    <xf numFmtId="0" fontId="8" fillId="10" borderId="178" xfId="1" applyFont="1" applyFill="1" applyBorder="1" applyAlignment="1" applyProtection="1">
      <alignment vertical="center"/>
    </xf>
    <xf numFmtId="0" fontId="8" fillId="10" borderId="179" xfId="1" applyFont="1" applyFill="1" applyBorder="1" applyAlignment="1" applyProtection="1">
      <alignment vertical="center"/>
    </xf>
    <xf numFmtId="3" fontId="1" fillId="2" borderId="96" xfId="1" applyNumberFormat="1" applyFont="1" applyFill="1" applyBorder="1" applyAlignment="1" applyProtection="1">
      <alignment horizontal="center" vertical="center"/>
    </xf>
    <xf numFmtId="3" fontId="1" fillId="2" borderId="101" xfId="1" applyNumberFormat="1" applyFont="1" applyFill="1" applyBorder="1" applyAlignment="1" applyProtection="1">
      <alignment horizontal="center" vertical="center"/>
    </xf>
    <xf numFmtId="0" fontId="1" fillId="2" borderId="96" xfId="1" applyFont="1" applyFill="1" applyBorder="1" applyAlignment="1" applyProtection="1">
      <alignment horizontal="left" vertical="center" indent="1"/>
    </xf>
    <xf numFmtId="3" fontId="1" fillId="2" borderId="98" xfId="1" applyNumberFormat="1" applyFont="1" applyFill="1" applyBorder="1" applyAlignment="1" applyProtection="1">
      <alignment horizontal="center" vertical="center"/>
    </xf>
    <xf numFmtId="3" fontId="1" fillId="2" borderId="100" xfId="1" applyNumberFormat="1" applyFont="1" applyFill="1" applyBorder="1" applyAlignment="1" applyProtection="1">
      <alignment horizontal="center" vertical="center"/>
    </xf>
    <xf numFmtId="0" fontId="1" fillId="0" borderId="63" xfId="1" applyBorder="1"/>
    <xf numFmtId="0" fontId="1" fillId="0" borderId="65" xfId="1" applyBorder="1"/>
    <xf numFmtId="0" fontId="1" fillId="0" borderId="86" xfId="1" applyBorder="1"/>
    <xf numFmtId="0" fontId="9" fillId="9" borderId="96" xfId="1" applyFont="1" applyFill="1" applyBorder="1" applyAlignment="1" applyProtection="1">
      <alignment vertical="center" wrapText="1"/>
    </xf>
    <xf numFmtId="0" fontId="87" fillId="10" borderId="96" xfId="1" applyFont="1" applyFill="1" applyBorder="1" applyAlignment="1" applyProtection="1">
      <alignment horizontal="left" vertical="center" indent="1"/>
    </xf>
    <xf numFmtId="0" fontId="9" fillId="10" borderId="96" xfId="1" applyFont="1" applyFill="1" applyBorder="1" applyAlignment="1" applyProtection="1">
      <alignment vertical="center"/>
    </xf>
    <xf numFmtId="0" fontId="1" fillId="2" borderId="96" xfId="1" applyFont="1" applyFill="1" applyBorder="1" applyAlignment="1" applyProtection="1">
      <alignment vertical="center" wrapText="1"/>
    </xf>
    <xf numFmtId="0" fontId="15" fillId="2" borderId="96" xfId="1" applyFont="1" applyFill="1" applyBorder="1" applyAlignment="1" applyProtection="1">
      <alignment vertical="center" wrapText="1"/>
    </xf>
    <xf numFmtId="0" fontId="1" fillId="2" borderId="96" xfId="1" applyFont="1" applyFill="1" applyBorder="1" applyAlignment="1" applyProtection="1">
      <alignment horizontal="center" vertical="center"/>
    </xf>
    <xf numFmtId="0" fontId="69" fillId="0" borderId="132" xfId="0" applyFont="1" applyFill="1" applyBorder="1" applyAlignment="1"/>
    <xf numFmtId="0" fontId="69" fillId="0" borderId="132" xfId="0" applyFont="1" applyFill="1" applyBorder="1" applyAlignment="1">
      <alignment horizontal="left"/>
    </xf>
    <xf numFmtId="0" fontId="25" fillId="0" borderId="96" xfId="0" applyFont="1" applyFill="1" applyBorder="1" applyAlignment="1">
      <alignment vertical="center"/>
    </xf>
    <xf numFmtId="0" fontId="25" fillId="0" borderId="98" xfId="0" applyFont="1" applyFill="1" applyBorder="1" applyAlignment="1">
      <alignment vertical="center"/>
    </xf>
    <xf numFmtId="2" fontId="78" fillId="0" borderId="154" xfId="0" applyNumberFormat="1" applyFont="1" applyBorder="1" applyAlignment="1">
      <alignment horizontal="center" vertical="center" wrapText="1"/>
    </xf>
    <xf numFmtId="3" fontId="25" fillId="0" borderId="65" xfId="0" applyNumberFormat="1" applyFont="1" applyBorder="1" applyAlignment="1">
      <alignment horizontal="center" vertical="center"/>
    </xf>
    <xf numFmtId="0" fontId="64" fillId="2" borderId="0" xfId="0" applyFont="1" applyFill="1" applyAlignment="1">
      <alignment horizontal="left"/>
    </xf>
    <xf numFmtId="0" fontId="68" fillId="3" borderId="114" xfId="0" applyFont="1" applyFill="1" applyBorder="1" applyAlignment="1">
      <alignment horizontal="left" vertical="center" wrapText="1"/>
    </xf>
    <xf numFmtId="0" fontId="68" fillId="3" borderId="183" xfId="0" applyFont="1" applyFill="1" applyBorder="1" applyAlignment="1">
      <alignment horizontal="left" vertical="center" wrapText="1"/>
    </xf>
    <xf numFmtId="0" fontId="68" fillId="3" borderId="118" xfId="0" applyFont="1" applyFill="1" applyBorder="1" applyAlignment="1">
      <alignment horizontal="left" vertical="center"/>
    </xf>
    <xf numFmtId="0" fontId="68" fillId="3" borderId="118" xfId="0" applyFont="1" applyFill="1" applyBorder="1" applyAlignment="1">
      <alignment horizontal="left" vertical="center" wrapText="1"/>
    </xf>
    <xf numFmtId="0" fontId="68" fillId="3" borderId="184" xfId="0" applyFont="1" applyFill="1" applyBorder="1" applyAlignment="1">
      <alignment horizontal="left" vertical="center"/>
    </xf>
    <xf numFmtId="0" fontId="68" fillId="3" borderId="185" xfId="0" applyFont="1" applyFill="1" applyBorder="1" applyAlignment="1">
      <alignment horizontal="left" vertical="center"/>
    </xf>
    <xf numFmtId="0" fontId="89" fillId="2" borderId="0" xfId="0" applyFont="1" applyFill="1" applyAlignment="1">
      <alignment horizontal="left"/>
    </xf>
    <xf numFmtId="1" fontId="64" fillId="2" borderId="114" xfId="0" applyNumberFormat="1" applyFont="1" applyFill="1" applyBorder="1" applyAlignment="1">
      <alignment horizontal="center"/>
    </xf>
    <xf numFmtId="2" fontId="64" fillId="2" borderId="114" xfId="0" applyNumberFormat="1" applyFont="1" applyFill="1" applyBorder="1" applyAlignment="1">
      <alignment horizontal="center"/>
    </xf>
    <xf numFmtId="1" fontId="64" fillId="2" borderId="116" xfId="0" applyNumberFormat="1" applyFont="1" applyFill="1" applyBorder="1" applyAlignment="1">
      <alignment horizontal="center"/>
    </xf>
    <xf numFmtId="2" fontId="64" fillId="2" borderId="116" xfId="0" applyNumberFormat="1" applyFont="1" applyFill="1" applyBorder="1" applyAlignment="1">
      <alignment horizontal="center"/>
    </xf>
    <xf numFmtId="2" fontId="64" fillId="20" borderId="116" xfId="3" applyNumberFormat="1" applyFont="1" applyFill="1" applyBorder="1" applyAlignment="1"/>
    <xf numFmtId="3" fontId="64" fillId="20" borderId="116" xfId="3" applyNumberFormat="1" applyFont="1" applyFill="1" applyBorder="1" applyAlignment="1">
      <alignment horizontal="center" vertical="center"/>
    </xf>
    <xf numFmtId="0" fontId="90" fillId="2" borderId="0" xfId="0" applyFont="1" applyFill="1" applyAlignment="1">
      <alignment horizontal="left"/>
    </xf>
    <xf numFmtId="0" fontId="68" fillId="3" borderId="113" xfId="0" applyFont="1" applyFill="1" applyBorder="1" applyAlignment="1">
      <alignment horizontal="left" vertical="center" wrapText="1"/>
    </xf>
    <xf numFmtId="0" fontId="68" fillId="3" borderId="112" xfId="0" applyFont="1" applyFill="1" applyBorder="1" applyAlignment="1">
      <alignment horizontal="left" vertical="center" wrapText="1"/>
    </xf>
    <xf numFmtId="2" fontId="64" fillId="2" borderId="118" xfId="0" applyNumberFormat="1" applyFont="1" applyFill="1" applyBorder="1" applyAlignment="1">
      <alignment horizontal="center"/>
    </xf>
    <xf numFmtId="2" fontId="64" fillId="2" borderId="186" xfId="3" applyNumberFormat="1" applyFont="1" applyFill="1" applyBorder="1" applyAlignment="1">
      <alignment horizontal="center"/>
    </xf>
    <xf numFmtId="3" fontId="64" fillId="2" borderId="186" xfId="3" applyNumberFormat="1" applyFont="1" applyFill="1" applyBorder="1" applyAlignment="1">
      <alignment horizontal="center" vertical="center"/>
    </xf>
    <xf numFmtId="0" fontId="68" fillId="2" borderId="0" xfId="0" applyFont="1" applyFill="1" applyBorder="1" applyAlignment="1">
      <alignment horizontal="left" vertical="center" wrapText="1"/>
    </xf>
    <xf numFmtId="1" fontId="68" fillId="2" borderId="0" xfId="0" applyNumberFormat="1" applyFont="1" applyFill="1" applyBorder="1" applyAlignment="1">
      <alignment horizontal="left" vertical="center" wrapText="1"/>
    </xf>
    <xf numFmtId="2" fontId="64" fillId="2" borderId="0" xfId="0" applyNumberFormat="1" applyFont="1" applyFill="1" applyBorder="1" applyAlignment="1">
      <alignment horizontal="center"/>
    </xf>
    <xf numFmtId="170" fontId="64" fillId="2" borderId="0" xfId="0" applyNumberFormat="1" applyFont="1" applyFill="1" applyBorder="1" applyAlignment="1">
      <alignment horizontal="center"/>
    </xf>
    <xf numFmtId="1" fontId="64" fillId="2" borderId="0" xfId="0" applyNumberFormat="1" applyFont="1" applyFill="1" applyBorder="1" applyAlignment="1">
      <alignment horizontal="center"/>
    </xf>
    <xf numFmtId="0" fontId="64" fillId="2" borderId="0" xfId="0" applyFont="1" applyFill="1" applyBorder="1" applyAlignment="1">
      <alignment horizontal="left"/>
    </xf>
    <xf numFmtId="2" fontId="68" fillId="3" borderId="118" xfId="0" applyNumberFormat="1" applyFont="1" applyFill="1" applyBorder="1" applyAlignment="1">
      <alignment horizontal="left" vertical="center"/>
    </xf>
    <xf numFmtId="4" fontId="64" fillId="2" borderId="116" xfId="3" applyNumberFormat="1" applyFont="1" applyFill="1" applyBorder="1" applyAlignment="1">
      <alignment horizontal="center"/>
    </xf>
    <xf numFmtId="0" fontId="91" fillId="2" borderId="0" xfId="0" applyFont="1" applyFill="1"/>
    <xf numFmtId="2" fontId="64" fillId="20" borderId="116" xfId="3" applyNumberFormat="1" applyFont="1" applyFill="1" applyBorder="1"/>
    <xf numFmtId="2" fontId="64" fillId="20" borderId="185" xfId="3" applyNumberFormat="1" applyFont="1" applyFill="1" applyBorder="1"/>
    <xf numFmtId="3" fontId="64" fillId="20" borderId="185" xfId="3" applyNumberFormat="1" applyFont="1" applyFill="1" applyBorder="1" applyAlignment="1">
      <alignment horizontal="center" vertical="center"/>
    </xf>
    <xf numFmtId="1" fontId="64" fillId="2" borderId="118" xfId="0" applyNumberFormat="1" applyFont="1" applyFill="1" applyBorder="1" applyAlignment="1">
      <alignment horizontal="center"/>
    </xf>
    <xf numFmtId="167" fontId="64" fillId="2" borderId="186" xfId="3" applyNumberFormat="1" applyFont="1" applyFill="1" applyBorder="1" applyAlignment="1">
      <alignment horizontal="center"/>
    </xf>
    <xf numFmtId="2" fontId="64" fillId="20" borderId="118" xfId="0" applyNumberFormat="1" applyFont="1" applyFill="1" applyBorder="1" applyAlignment="1">
      <alignment horizontal="center"/>
    </xf>
    <xf numFmtId="1" fontId="64" fillId="2" borderId="0" xfId="0" applyNumberFormat="1" applyFont="1" applyFill="1"/>
    <xf numFmtId="171" fontId="64" fillId="2" borderId="0" xfId="3" applyNumberFormat="1" applyFont="1" applyFill="1"/>
    <xf numFmtId="171" fontId="68" fillId="3" borderId="118" xfId="3" applyNumberFormat="1" applyFont="1" applyFill="1" applyBorder="1" applyAlignment="1">
      <alignment horizontal="left" vertical="center"/>
    </xf>
    <xf numFmtId="0" fontId="98" fillId="19" borderId="188" xfId="0" applyFont="1" applyFill="1" applyBorder="1" applyAlignment="1">
      <alignment horizontal="center" vertical="center" wrapText="1"/>
    </xf>
    <xf numFmtId="0" fontId="98" fillId="25" borderId="189" xfId="0" applyFont="1" applyFill="1" applyBorder="1" applyAlignment="1">
      <alignment vertical="center" wrapText="1"/>
    </xf>
    <xf numFmtId="0" fontId="98" fillId="0" borderId="154" xfId="0" applyFont="1" applyBorder="1" applyAlignment="1">
      <alignment vertical="center" wrapText="1"/>
    </xf>
    <xf numFmtId="0" fontId="98" fillId="0" borderId="190" xfId="0" applyFont="1" applyBorder="1" applyAlignment="1">
      <alignment horizontal="center" vertical="center" wrapText="1"/>
    </xf>
    <xf numFmtId="0" fontId="98" fillId="0" borderId="190" xfId="0" applyFont="1" applyBorder="1" applyAlignment="1">
      <alignment vertical="center" wrapText="1"/>
    </xf>
    <xf numFmtId="0" fontId="98" fillId="26" borderId="189" xfId="0" applyFont="1" applyFill="1" applyBorder="1" applyAlignment="1">
      <alignment vertical="center" wrapText="1"/>
    </xf>
    <xf numFmtId="0" fontId="98" fillId="26" borderId="191" xfId="0" applyFont="1" applyFill="1" applyBorder="1" applyAlignment="1">
      <alignment vertical="center" wrapText="1"/>
    </xf>
    <xf numFmtId="0" fontId="98" fillId="0" borderId="187" xfId="0" applyFont="1" applyBorder="1" applyAlignment="1">
      <alignment vertical="center" wrapText="1"/>
    </xf>
    <xf numFmtId="0" fontId="98" fillId="0" borderId="192" xfId="0" applyFont="1" applyBorder="1" applyAlignment="1">
      <alignment vertical="center" wrapText="1"/>
    </xf>
    <xf numFmtId="0" fontId="98" fillId="27" borderId="191" xfId="0" applyFont="1" applyFill="1" applyBorder="1" applyAlignment="1">
      <alignment vertical="center" wrapText="1"/>
    </xf>
    <xf numFmtId="0" fontId="98" fillId="19" borderId="195" xfId="0" applyFont="1" applyFill="1" applyBorder="1" applyAlignment="1">
      <alignment horizontal="center" vertical="center" wrapText="1"/>
    </xf>
    <xf numFmtId="0" fontId="98" fillId="19" borderId="155" xfId="0" applyFont="1" applyFill="1" applyBorder="1" applyAlignment="1">
      <alignment horizontal="center" vertical="center" wrapText="1"/>
    </xf>
    <xf numFmtId="0" fontId="0" fillId="19" borderId="154" xfId="0" applyFill="1" applyBorder="1" applyAlignment="1">
      <alignment vertical="center" wrapText="1"/>
    </xf>
    <xf numFmtId="0" fontId="98" fillId="19" borderId="154" xfId="0" applyFont="1" applyFill="1" applyBorder="1" applyAlignment="1">
      <alignment vertical="center" wrapText="1"/>
    </xf>
    <xf numFmtId="0" fontId="98" fillId="19" borderId="154" xfId="0" applyFont="1" applyFill="1" applyBorder="1" applyAlignment="1">
      <alignment horizontal="center" vertical="center" wrapText="1"/>
    </xf>
    <xf numFmtId="0" fontId="100" fillId="26" borderId="154" xfId="0" applyFont="1" applyFill="1" applyBorder="1" applyAlignment="1">
      <alignment vertical="center" wrapText="1"/>
    </xf>
    <xf numFmtId="0" fontId="3" fillId="0" borderId="154" xfId="0" applyFont="1" applyBorder="1" applyAlignment="1">
      <alignment vertical="center" wrapText="1"/>
    </xf>
    <xf numFmtId="0" fontId="100" fillId="0" borderId="154" xfId="0" applyFont="1" applyBorder="1" applyAlignment="1">
      <alignment vertical="center" wrapText="1"/>
    </xf>
    <xf numFmtId="0" fontId="98" fillId="27" borderId="189" xfId="0" applyFont="1" applyFill="1" applyBorder="1" applyAlignment="1">
      <alignment vertical="center" wrapText="1"/>
    </xf>
    <xf numFmtId="0" fontId="100" fillId="0" borderId="154" xfId="0" applyFont="1" applyBorder="1" applyAlignment="1">
      <alignment horizontal="center" vertical="center" wrapText="1"/>
    </xf>
    <xf numFmtId="0" fontId="3" fillId="0" borderId="190" xfId="0" applyFont="1" applyBorder="1" applyAlignment="1">
      <alignment vertical="center" wrapText="1"/>
    </xf>
    <xf numFmtId="0" fontId="96" fillId="0" borderId="154" xfId="0" applyFont="1" applyBorder="1" applyAlignment="1">
      <alignment vertical="center" wrapText="1"/>
    </xf>
    <xf numFmtId="0" fontId="100" fillId="0" borderId="187" xfId="0" applyFont="1" applyBorder="1" applyAlignment="1">
      <alignment horizontal="center" vertical="center" wrapText="1"/>
    </xf>
    <xf numFmtId="0" fontId="3" fillId="0" borderId="192" xfId="0" applyFont="1" applyBorder="1" applyAlignment="1">
      <alignment vertical="center" wrapText="1"/>
    </xf>
    <xf numFmtId="0" fontId="7" fillId="13" borderId="2" xfId="1" applyFont="1" applyFill="1" applyBorder="1" applyAlignment="1" applyProtection="1">
      <alignment horizontal="center" vertical="center" wrapText="1"/>
    </xf>
    <xf numFmtId="170" fontId="30" fillId="8" borderId="53" xfId="5" applyNumberFormat="1" applyFont="1" applyFill="1" applyBorder="1" applyAlignment="1">
      <alignment horizontal="center"/>
    </xf>
    <xf numFmtId="170" fontId="30" fillId="8" borderId="67" xfId="5" applyNumberFormat="1" applyFont="1" applyFill="1" applyBorder="1" applyAlignment="1">
      <alignment horizontal="center"/>
    </xf>
    <xf numFmtId="170" fontId="30" fillId="8" borderId="68" xfId="5" applyNumberFormat="1" applyFont="1" applyFill="1" applyBorder="1" applyAlignment="1">
      <alignment horizontal="center"/>
    </xf>
    <xf numFmtId="170" fontId="30" fillId="8" borderId="67" xfId="5" applyNumberFormat="1" applyFont="1" applyFill="1" applyBorder="1" applyAlignment="1">
      <alignment horizontal="center" wrapText="1"/>
    </xf>
    <xf numFmtId="170" fontId="30" fillId="8" borderId="53" xfId="5" applyNumberFormat="1" applyFont="1" applyFill="1" applyBorder="1" applyAlignment="1">
      <alignment horizontal="center" wrapText="1"/>
    </xf>
    <xf numFmtId="170" fontId="30" fillId="8" borderId="54" xfId="5" applyNumberFormat="1" applyFont="1" applyFill="1" applyBorder="1" applyAlignment="1">
      <alignment horizontal="center" wrapText="1"/>
    </xf>
    <xf numFmtId="0" fontId="101" fillId="8" borderId="111" xfId="0" applyFont="1" applyFill="1" applyBorder="1" applyAlignment="1" applyProtection="1">
      <alignment horizontal="center" vertical="center" wrapText="1"/>
    </xf>
    <xf numFmtId="0" fontId="101" fillId="8" borderId="208" xfId="0" applyFont="1" applyFill="1" applyBorder="1" applyAlignment="1" applyProtection="1">
      <alignment horizontal="center" vertical="center" wrapText="1"/>
    </xf>
    <xf numFmtId="3" fontId="103" fillId="28" borderId="209" xfId="0" applyNumberFormat="1" applyFont="1" applyFill="1" applyBorder="1" applyAlignment="1" applyProtection="1">
      <alignment horizontal="center" vertical="center" wrapText="1"/>
    </xf>
    <xf numFmtId="3" fontId="103" fillId="29" borderId="209" xfId="0" applyNumberFormat="1" applyFont="1" applyFill="1" applyBorder="1" applyAlignment="1" applyProtection="1">
      <alignment horizontal="center" vertical="center" wrapText="1"/>
    </xf>
    <xf numFmtId="3" fontId="103" fillId="2" borderId="209" xfId="0" applyNumberFormat="1" applyFont="1" applyFill="1" applyBorder="1" applyAlignment="1" applyProtection="1">
      <alignment horizontal="center" vertical="center" wrapText="1"/>
    </xf>
    <xf numFmtId="3" fontId="103" fillId="2" borderId="210" xfId="0" applyNumberFormat="1" applyFont="1" applyFill="1" applyBorder="1" applyAlignment="1" applyProtection="1">
      <alignment horizontal="center" vertical="center"/>
    </xf>
    <xf numFmtId="3" fontId="29" fillId="30" borderId="209" xfId="0" applyNumberFormat="1" applyFont="1" applyFill="1" applyBorder="1" applyAlignment="1" applyProtection="1">
      <alignment horizontal="center" vertical="center"/>
    </xf>
    <xf numFmtId="3" fontId="103" fillId="3" borderId="209" xfId="0" applyNumberFormat="1" applyFont="1" applyFill="1" applyBorder="1" applyAlignment="1" applyProtection="1">
      <alignment horizontal="center" vertical="center" wrapText="1"/>
    </xf>
    <xf numFmtId="0" fontId="103" fillId="3" borderId="209" xfId="0" applyFont="1" applyFill="1" applyBorder="1" applyAlignment="1" applyProtection="1">
      <alignment horizontal="center" vertical="center"/>
    </xf>
    <xf numFmtId="3" fontId="103" fillId="2" borderId="209" xfId="0" applyNumberFormat="1" applyFont="1" applyFill="1" applyBorder="1" applyAlignment="1" applyProtection="1">
      <alignment horizontal="center" vertical="center"/>
    </xf>
    <xf numFmtId="0" fontId="102" fillId="0" borderId="209" xfId="0" applyFont="1" applyBorder="1" applyAlignment="1" applyProtection="1">
      <alignment horizontal="left" vertical="center" indent="1"/>
    </xf>
    <xf numFmtId="0" fontId="103" fillId="0" borderId="209" xfId="0" applyFont="1" applyBorder="1" applyAlignment="1" applyProtection="1">
      <alignment horizontal="left" vertical="center" indent="1"/>
    </xf>
    <xf numFmtId="3" fontId="29" fillId="31" borderId="209" xfId="0" applyNumberFormat="1" applyFont="1" applyFill="1" applyBorder="1" applyAlignment="1" applyProtection="1">
      <alignment horizontal="center" vertical="center"/>
    </xf>
    <xf numFmtId="3" fontId="102" fillId="14" borderId="209" xfId="0" applyNumberFormat="1" applyFont="1" applyFill="1" applyBorder="1" applyAlignment="1" applyProtection="1">
      <alignment horizontal="center" vertical="center" wrapText="1"/>
    </xf>
    <xf numFmtId="3" fontId="103" fillId="14" borderId="209" xfId="0" applyNumberFormat="1" applyFont="1" applyFill="1" applyBorder="1" applyAlignment="1" applyProtection="1">
      <alignment horizontal="center" vertical="center" wrapText="1"/>
    </xf>
    <xf numFmtId="0" fontId="102" fillId="2" borderId="0" xfId="0" applyFont="1" applyFill="1" applyProtection="1"/>
    <xf numFmtId="0" fontId="103" fillId="2" borderId="0" xfId="0" applyFont="1" applyFill="1" applyProtection="1"/>
    <xf numFmtId="0" fontId="26" fillId="8" borderId="111" xfId="0" applyFont="1" applyFill="1" applyBorder="1" applyAlignment="1" applyProtection="1">
      <alignment horizontal="center" vertical="center"/>
    </xf>
    <xf numFmtId="0" fontId="26" fillId="8" borderId="212" xfId="0" applyFont="1" applyFill="1" applyBorder="1" applyAlignment="1" applyProtection="1">
      <alignment horizontal="center" vertical="center"/>
    </xf>
    <xf numFmtId="0" fontId="104" fillId="32" borderId="213" xfId="0" applyFont="1" applyFill="1" applyBorder="1" applyAlignment="1" applyProtection="1">
      <alignment horizontal="center" vertical="center"/>
    </xf>
    <xf numFmtId="0" fontId="104" fillId="32" borderId="214" xfId="0" applyFont="1" applyFill="1" applyBorder="1" applyAlignment="1" applyProtection="1">
      <alignment horizontal="left" vertical="center" indent="1"/>
    </xf>
    <xf numFmtId="0" fontId="103" fillId="2" borderId="214" xfId="0" applyFont="1" applyFill="1" applyBorder="1" applyProtection="1"/>
    <xf numFmtId="0" fontId="29" fillId="32" borderId="214" xfId="0" applyFont="1" applyFill="1" applyBorder="1" applyAlignment="1" applyProtection="1">
      <alignment horizontal="center" vertical="center"/>
    </xf>
    <xf numFmtId="0" fontId="29" fillId="32" borderId="90" xfId="0" applyFont="1" applyFill="1" applyBorder="1" applyAlignment="1" applyProtection="1">
      <alignment horizontal="center" vertical="center"/>
    </xf>
    <xf numFmtId="0" fontId="104" fillId="32" borderId="37" xfId="0" applyFont="1" applyFill="1" applyBorder="1" applyAlignment="1" applyProtection="1">
      <alignment horizontal="left" vertical="center" indent="1"/>
    </xf>
    <xf numFmtId="0" fontId="104" fillId="32" borderId="83" xfId="0" applyFont="1" applyFill="1" applyBorder="1" applyAlignment="1" applyProtection="1">
      <alignment horizontal="left" vertical="center" indent="1"/>
    </xf>
    <xf numFmtId="0" fontId="103" fillId="2" borderId="83" xfId="0" applyFont="1" applyFill="1" applyBorder="1" applyProtection="1"/>
    <xf numFmtId="0" fontId="103" fillId="2" borderId="38" xfId="0" applyFont="1" applyFill="1" applyBorder="1" applyProtection="1"/>
    <xf numFmtId="3" fontId="29" fillId="33" borderId="215" xfId="0" applyNumberFormat="1" applyFont="1" applyFill="1" applyBorder="1" applyAlignment="1" applyProtection="1">
      <alignment horizontal="center" vertical="center"/>
    </xf>
    <xf numFmtId="3" fontId="29" fillId="33" borderId="216" xfId="0" applyNumberFormat="1" applyFont="1" applyFill="1" applyBorder="1" applyAlignment="1" applyProtection="1">
      <alignment horizontal="center" vertical="center"/>
    </xf>
    <xf numFmtId="3" fontId="29" fillId="32" borderId="216" xfId="0" applyNumberFormat="1" applyFont="1" applyFill="1" applyBorder="1" applyAlignment="1" applyProtection="1">
      <alignment horizontal="center" vertical="center"/>
    </xf>
    <xf numFmtId="0" fontId="104" fillId="32" borderId="209" xfId="0" applyFont="1" applyFill="1" applyBorder="1" applyAlignment="1" applyProtection="1">
      <alignment horizontal="center" vertical="center"/>
    </xf>
    <xf numFmtId="0" fontId="104" fillId="32" borderId="93" xfId="0" applyFont="1" applyFill="1" applyBorder="1" applyAlignment="1" applyProtection="1">
      <alignment horizontal="left" vertical="center" indent="1"/>
    </xf>
    <xf numFmtId="0" fontId="103" fillId="2" borderId="90" xfId="0" applyFont="1" applyFill="1" applyBorder="1" applyProtection="1"/>
    <xf numFmtId="3" fontId="29" fillId="33" borderId="209" xfId="0" applyNumberFormat="1" applyFont="1" applyFill="1" applyBorder="1" applyAlignment="1" applyProtection="1">
      <alignment horizontal="center" vertical="center"/>
    </xf>
    <xf numFmtId="3" fontId="29" fillId="29" borderId="209" xfId="0" applyNumberFormat="1" applyFont="1" applyFill="1" applyBorder="1" applyAlignment="1" applyProtection="1">
      <alignment horizontal="center" vertical="center"/>
    </xf>
    <xf numFmtId="3" fontId="29" fillId="32" borderId="209" xfId="0" applyNumberFormat="1" applyFont="1" applyFill="1" applyBorder="1" applyAlignment="1" applyProtection="1">
      <alignment horizontal="center" vertical="center"/>
    </xf>
    <xf numFmtId="3" fontId="29" fillId="3" borderId="209" xfId="0" applyNumberFormat="1" applyFont="1" applyFill="1" applyBorder="1" applyAlignment="1" applyProtection="1">
      <alignment horizontal="center" vertical="center"/>
    </xf>
    <xf numFmtId="0" fontId="104" fillId="32" borderId="103" xfId="0" applyFont="1" applyFill="1" applyBorder="1" applyAlignment="1" applyProtection="1">
      <alignment horizontal="left" vertical="center" indent="1"/>
    </xf>
    <xf numFmtId="0" fontId="104" fillId="32" borderId="102" xfId="0" applyFont="1" applyFill="1" applyBorder="1" applyAlignment="1" applyProtection="1">
      <alignment horizontal="left" vertical="center" indent="1"/>
    </xf>
    <xf numFmtId="0" fontId="103" fillId="2" borderId="102" xfId="0" applyFont="1" applyFill="1" applyBorder="1" applyProtection="1"/>
    <xf numFmtId="0" fontId="103" fillId="2" borderId="91" xfId="0" applyFont="1" applyFill="1" applyBorder="1" applyProtection="1"/>
    <xf numFmtId="0" fontId="104" fillId="14" borderId="213" xfId="0" applyFont="1" applyFill="1" applyBorder="1" applyAlignment="1" applyProtection="1">
      <alignment horizontal="center" vertical="center"/>
    </xf>
    <xf numFmtId="0" fontId="103" fillId="14" borderId="214" xfId="0" applyFont="1" applyFill="1" applyBorder="1" applyProtection="1"/>
    <xf numFmtId="0" fontId="103" fillId="14" borderId="90" xfId="0" applyFont="1" applyFill="1" applyBorder="1" applyProtection="1"/>
    <xf numFmtId="3" fontId="104" fillId="14" borderId="217" xfId="0" applyNumberFormat="1" applyFont="1" applyFill="1" applyBorder="1" applyAlignment="1" applyProtection="1">
      <alignment horizontal="center" vertical="center"/>
    </xf>
    <xf numFmtId="3" fontId="104" fillId="14" borderId="218" xfId="0" applyNumberFormat="1" applyFont="1" applyFill="1" applyBorder="1" applyAlignment="1" applyProtection="1">
      <alignment horizontal="center" vertical="center"/>
    </xf>
    <xf numFmtId="3" fontId="29" fillId="32" borderId="214" xfId="0" applyNumberFormat="1" applyFont="1" applyFill="1" applyBorder="1" applyAlignment="1" applyProtection="1">
      <alignment horizontal="center" vertical="center"/>
    </xf>
    <xf numFmtId="3" fontId="29" fillId="32" borderId="90" xfId="0" applyNumberFormat="1" applyFont="1" applyFill="1" applyBorder="1" applyAlignment="1" applyProtection="1">
      <alignment horizontal="center" vertical="center"/>
    </xf>
    <xf numFmtId="3" fontId="29" fillId="6" borderId="216" xfId="0" applyNumberFormat="1" applyFont="1" applyFill="1" applyBorder="1" applyAlignment="1" applyProtection="1">
      <alignment horizontal="center" vertical="center"/>
    </xf>
    <xf numFmtId="3" fontId="29" fillId="6" borderId="209" xfId="0" applyNumberFormat="1" applyFont="1" applyFill="1" applyBorder="1" applyAlignment="1" applyProtection="1">
      <alignment horizontal="center" vertical="center"/>
    </xf>
    <xf numFmtId="0" fontId="104" fillId="14" borderId="209" xfId="0" applyFont="1" applyFill="1" applyBorder="1" applyAlignment="1" applyProtection="1">
      <alignment horizontal="center" vertical="center"/>
    </xf>
    <xf numFmtId="0" fontId="103" fillId="14" borderId="102" xfId="0" applyFont="1" applyFill="1" applyBorder="1" applyProtection="1"/>
    <xf numFmtId="0" fontId="103" fillId="14" borderId="91" xfId="0" applyFont="1" applyFill="1" applyBorder="1" applyProtection="1"/>
    <xf numFmtId="3" fontId="103" fillId="3" borderId="216" xfId="0" applyNumberFormat="1" applyFont="1" applyFill="1" applyBorder="1" applyAlignment="1" applyProtection="1">
      <alignment horizontal="center" vertical="center" wrapText="1"/>
    </xf>
    <xf numFmtId="0" fontId="104" fillId="2" borderId="209" xfId="0" applyFont="1" applyFill="1" applyBorder="1" applyAlignment="1" applyProtection="1">
      <alignment horizontal="center" vertical="center"/>
    </xf>
    <xf numFmtId="3" fontId="29" fillId="2" borderId="216" xfId="0" applyNumberFormat="1" applyFont="1" applyFill="1" applyBorder="1" applyAlignment="1" applyProtection="1">
      <alignment horizontal="center" vertical="center"/>
    </xf>
    <xf numFmtId="3" fontId="29" fillId="2" borderId="209" xfId="0" applyNumberFormat="1" applyFont="1" applyFill="1" applyBorder="1" applyAlignment="1" applyProtection="1">
      <alignment horizontal="center" vertical="center"/>
    </xf>
    <xf numFmtId="0" fontId="104" fillId="2" borderId="213" xfId="0" applyFont="1" applyFill="1" applyBorder="1" applyAlignment="1" applyProtection="1">
      <alignment horizontal="center" vertical="center"/>
    </xf>
    <xf numFmtId="0" fontId="104" fillId="32" borderId="214" xfId="0" applyFont="1" applyFill="1" applyBorder="1" applyAlignment="1" applyProtection="1">
      <alignment vertical="center"/>
    </xf>
    <xf numFmtId="3" fontId="29" fillId="31" borderId="216" xfId="0" applyNumberFormat="1" applyFont="1" applyFill="1" applyBorder="1" applyAlignment="1" applyProtection="1">
      <alignment horizontal="center" vertical="center"/>
    </xf>
    <xf numFmtId="0" fontId="102" fillId="14" borderId="209" xfId="0" applyFont="1" applyFill="1" applyBorder="1" applyAlignment="1" applyProtection="1">
      <alignment horizontal="center" vertical="center"/>
    </xf>
    <xf numFmtId="3" fontId="102" fillId="14" borderId="209" xfId="0" applyNumberFormat="1" applyFont="1" applyFill="1" applyBorder="1" applyAlignment="1" applyProtection="1">
      <alignment horizontal="center" vertical="center"/>
    </xf>
    <xf numFmtId="170" fontId="30" fillId="8" borderId="98" xfId="5" applyNumberFormat="1" applyFont="1" applyFill="1" applyBorder="1" applyAlignment="1">
      <alignment horizontal="center" vertical="center"/>
    </xf>
    <xf numFmtId="170" fontId="30" fillId="8" borderId="93" xfId="5" applyNumberFormat="1" applyFont="1" applyFill="1" applyBorder="1" applyAlignment="1">
      <alignment horizontal="center"/>
    </xf>
    <xf numFmtId="170" fontId="30" fillId="8" borderId="214" xfId="5" applyNumberFormat="1" applyFont="1" applyFill="1" applyBorder="1" applyAlignment="1">
      <alignment horizontal="center"/>
    </xf>
    <xf numFmtId="170" fontId="30" fillId="8" borderId="90" xfId="5" applyNumberFormat="1" applyFont="1" applyFill="1" applyBorder="1" applyAlignment="1">
      <alignment horizontal="center"/>
    </xf>
    <xf numFmtId="0" fontId="30" fillId="8" borderId="93" xfId="0" applyFont="1" applyFill="1" applyBorder="1" applyAlignment="1">
      <alignment horizontal="center" wrapText="1"/>
    </xf>
    <xf numFmtId="0" fontId="30" fillId="8" borderId="214" xfId="0" applyFont="1" applyFill="1" applyBorder="1" applyAlignment="1">
      <alignment horizontal="center" wrapText="1"/>
    </xf>
    <xf numFmtId="0" fontId="30" fillId="8" borderId="90" xfId="0" applyFont="1" applyFill="1" applyBorder="1" applyAlignment="1">
      <alignment horizontal="center" wrapText="1"/>
    </xf>
    <xf numFmtId="0" fontId="9" fillId="7" borderId="6" xfId="1" applyFont="1" applyFill="1" applyBorder="1" applyAlignment="1" applyProtection="1">
      <alignment horizontal="center" vertical="center"/>
    </xf>
    <xf numFmtId="0" fontId="9" fillId="7" borderId="3" xfId="1" applyFont="1" applyFill="1" applyBorder="1" applyAlignment="1" applyProtection="1">
      <alignment horizontal="center" vertical="center"/>
    </xf>
    <xf numFmtId="0" fontId="12" fillId="0" borderId="0" xfId="1" applyFont="1" applyFill="1" applyBorder="1" applyAlignment="1">
      <alignment vertical="center" wrapText="1"/>
    </xf>
    <xf numFmtId="0" fontId="11" fillId="0" borderId="0" xfId="1" applyFont="1" applyFill="1" applyBorder="1" applyAlignment="1">
      <alignment vertical="center" wrapText="1"/>
    </xf>
    <xf numFmtId="0" fontId="1" fillId="0" borderId="0" xfId="1" applyFont="1" applyBorder="1"/>
    <xf numFmtId="0" fontId="1" fillId="0" borderId="0" xfId="1" applyFont="1" applyBorder="1" applyAlignment="1"/>
    <xf numFmtId="0" fontId="12" fillId="0" borderId="0" xfId="1" applyFont="1" applyFill="1" applyBorder="1" applyAlignment="1">
      <alignment vertical="center" wrapText="1"/>
    </xf>
    <xf numFmtId="0" fontId="11" fillId="0" borderId="0" xfId="1" applyFont="1" applyFill="1" applyBorder="1" applyAlignment="1">
      <alignment vertical="center" wrapText="1"/>
    </xf>
    <xf numFmtId="0" fontId="1" fillId="0" borderId="0" xfId="1" applyAlignment="1">
      <alignment horizontal="center"/>
    </xf>
    <xf numFmtId="0" fontId="7" fillId="18" borderId="2" xfId="1" applyFont="1" applyFill="1" applyBorder="1" applyAlignment="1" applyProtection="1">
      <alignment horizontal="center" vertical="center" wrapText="1"/>
    </xf>
    <xf numFmtId="0" fontId="7" fillId="18" borderId="3" xfId="1" applyFont="1" applyFill="1" applyBorder="1" applyAlignment="1" applyProtection="1">
      <alignment horizontal="center" vertical="center" wrapText="1"/>
    </xf>
    <xf numFmtId="0" fontId="0" fillId="34" borderId="5" xfId="0" applyFill="1" applyBorder="1" applyAlignment="1">
      <alignment horizontal="center" vertical="center"/>
    </xf>
    <xf numFmtId="0" fontId="9" fillId="34" borderId="4" xfId="1" applyFont="1" applyFill="1" applyBorder="1" applyAlignment="1" applyProtection="1">
      <alignment horizontal="center" vertical="center"/>
    </xf>
    <xf numFmtId="0" fontId="9" fillId="34" borderId="3" xfId="1" applyFont="1" applyFill="1" applyBorder="1" applyAlignment="1" applyProtection="1">
      <alignment horizontal="center" vertical="center"/>
    </xf>
    <xf numFmtId="0" fontId="9" fillId="34" borderId="5" xfId="1" applyFont="1" applyFill="1" applyBorder="1" applyAlignment="1" applyProtection="1">
      <alignment horizontal="center" vertical="center"/>
    </xf>
    <xf numFmtId="0" fontId="10" fillId="9" borderId="43" xfId="1" applyFont="1" applyFill="1" applyBorder="1" applyAlignment="1">
      <alignment wrapText="1"/>
    </xf>
    <xf numFmtId="0" fontId="10" fillId="9" borderId="30" xfId="1" applyFont="1" applyFill="1" applyBorder="1" applyAlignment="1">
      <alignment wrapText="1"/>
    </xf>
    <xf numFmtId="0" fontId="2" fillId="2" borderId="29" xfId="1" applyFont="1" applyFill="1" applyBorder="1" applyAlignment="1" applyProtection="1">
      <alignment horizontal="left"/>
    </xf>
    <xf numFmtId="0" fontId="0" fillId="34" borderId="25" xfId="0" applyFill="1" applyBorder="1" applyAlignment="1">
      <alignment horizontal="center" vertical="center"/>
    </xf>
    <xf numFmtId="0" fontId="7" fillId="18" borderId="219" xfId="1" applyFont="1" applyFill="1" applyBorder="1" applyAlignment="1" applyProtection="1">
      <alignment horizontal="center" vertical="center" wrapText="1"/>
    </xf>
    <xf numFmtId="0" fontId="7" fillId="18" borderId="175" xfId="1" applyFont="1" applyFill="1" applyBorder="1" applyAlignment="1" applyProtection="1">
      <alignment horizontal="center" vertical="center" wrapText="1"/>
    </xf>
    <xf numFmtId="0" fontId="1" fillId="2" borderId="15" xfId="1" applyFill="1" applyBorder="1" applyProtection="1"/>
    <xf numFmtId="0" fontId="1" fillId="2" borderId="16" xfId="1" applyFill="1" applyBorder="1" applyProtection="1"/>
    <xf numFmtId="0" fontId="2" fillId="2" borderId="220" xfId="1" applyFont="1" applyFill="1" applyBorder="1" applyAlignment="1" applyProtection="1">
      <alignment horizontal="left"/>
    </xf>
    <xf numFmtId="0" fontId="2" fillId="2" borderId="221" xfId="1" applyFont="1" applyFill="1" applyBorder="1" applyAlignment="1" applyProtection="1">
      <alignment horizontal="left"/>
    </xf>
    <xf numFmtId="0" fontId="1" fillId="0" borderId="15" xfId="1" applyFont="1" applyBorder="1"/>
    <xf numFmtId="0" fontId="1" fillId="0" borderId="45" xfId="1" applyBorder="1"/>
    <xf numFmtId="0" fontId="1" fillId="0" borderId="46" xfId="1" applyBorder="1"/>
    <xf numFmtId="0" fontId="7" fillId="18" borderId="222" xfId="1" applyFont="1" applyFill="1" applyBorder="1" applyAlignment="1" applyProtection="1">
      <alignment horizontal="center" vertical="center" wrapText="1"/>
    </xf>
    <xf numFmtId="0" fontId="2" fillId="2" borderId="16" xfId="1" applyFont="1" applyFill="1" applyBorder="1" applyAlignment="1" applyProtection="1">
      <alignment horizontal="left"/>
    </xf>
    <xf numFmtId="0" fontId="2" fillId="2" borderId="49" xfId="1" applyFont="1" applyFill="1" applyBorder="1" applyAlignment="1" applyProtection="1">
      <alignment horizontal="left"/>
    </xf>
    <xf numFmtId="0" fontId="1" fillId="0" borderId="1" xfId="1" applyFill="1" applyBorder="1" applyProtection="1"/>
    <xf numFmtId="0" fontId="1" fillId="0" borderId="0" xfId="1" applyFill="1" applyProtection="1"/>
    <xf numFmtId="0" fontId="1" fillId="0" borderId="220" xfId="1" applyFill="1" applyBorder="1" applyProtection="1"/>
    <xf numFmtId="0" fontId="1" fillId="0" borderId="16" xfId="1" applyFill="1" applyBorder="1" applyProtection="1"/>
    <xf numFmtId="0" fontId="2" fillId="0" borderId="220" xfId="1" applyFont="1" applyFill="1" applyBorder="1" applyProtection="1"/>
    <xf numFmtId="0" fontId="2" fillId="0" borderId="221" xfId="1" applyFont="1" applyFill="1" applyBorder="1" applyProtection="1"/>
    <xf numFmtId="0" fontId="1" fillId="0" borderId="15" xfId="1" applyFill="1" applyBorder="1" applyProtection="1"/>
    <xf numFmtId="0" fontId="1" fillId="0" borderId="221" xfId="1" applyFill="1" applyBorder="1" applyProtection="1"/>
    <xf numFmtId="0" fontId="1" fillId="0" borderId="15" xfId="1" applyFill="1" applyBorder="1"/>
    <xf numFmtId="0" fontId="1" fillId="0" borderId="223" xfId="1" applyFill="1" applyBorder="1" applyProtection="1"/>
    <xf numFmtId="0" fontId="1" fillId="0" borderId="46" xfId="1" applyFill="1" applyBorder="1" applyProtection="1"/>
    <xf numFmtId="0" fontId="7" fillId="18" borderId="224" xfId="1" applyFont="1" applyFill="1" applyBorder="1" applyAlignment="1" applyProtection="1">
      <alignment horizontal="center" vertical="center" wrapText="1"/>
    </xf>
    <xf numFmtId="0" fontId="1" fillId="0" borderId="31" xfId="1" applyBorder="1"/>
    <xf numFmtId="0" fontId="7" fillId="18" borderId="43" xfId="1" applyFont="1" applyFill="1" applyBorder="1" applyAlignment="1" applyProtection="1">
      <alignment horizontal="center" vertical="center" wrapText="1"/>
    </xf>
    <xf numFmtId="0" fontId="7" fillId="18" borderId="44" xfId="1" applyFont="1" applyFill="1" applyBorder="1" applyAlignment="1" applyProtection="1">
      <alignment horizontal="center" vertical="center" wrapText="1"/>
    </xf>
    <xf numFmtId="0" fontId="9" fillId="34" borderId="86" xfId="1" applyFont="1" applyFill="1" applyBorder="1" applyAlignment="1" applyProtection="1">
      <alignment horizontal="center" vertical="center"/>
    </xf>
    <xf numFmtId="0" fontId="24" fillId="34" borderId="63" xfId="0" applyFont="1" applyFill="1" applyBorder="1" applyAlignment="1">
      <alignment horizontal="left" vertical="center"/>
    </xf>
    <xf numFmtId="0" fontId="2" fillId="2" borderId="15" xfId="1" applyFont="1" applyFill="1" applyBorder="1" applyProtection="1"/>
    <xf numFmtId="0" fontId="2" fillId="2" borderId="16" xfId="1" applyFont="1" applyFill="1" applyBorder="1" applyProtection="1"/>
    <xf numFmtId="0" fontId="2" fillId="0" borderId="15" xfId="1" applyFont="1" applyFill="1" applyBorder="1" applyProtection="1"/>
    <xf numFmtId="0" fontId="2" fillId="0" borderId="16" xfId="1" applyFont="1" applyFill="1" applyBorder="1" applyProtection="1"/>
    <xf numFmtId="0" fontId="4" fillId="0" borderId="16" xfId="1" applyFont="1" applyFill="1" applyBorder="1" applyAlignment="1" applyProtection="1"/>
    <xf numFmtId="0" fontId="1" fillId="0" borderId="45" xfId="1" applyFill="1" applyBorder="1"/>
    <xf numFmtId="0" fontId="7" fillId="18" borderId="226" xfId="1" applyFont="1" applyFill="1" applyBorder="1" applyAlignment="1" applyProtection="1">
      <alignment horizontal="center" vertical="center" wrapText="1"/>
    </xf>
    <xf numFmtId="0" fontId="2" fillId="0" borderId="0" xfId="1" applyFont="1" applyFill="1" applyProtection="1"/>
    <xf numFmtId="0" fontId="4" fillId="0" borderId="0" xfId="1" applyFont="1" applyFill="1" applyBorder="1" applyAlignment="1" applyProtection="1"/>
    <xf numFmtId="0" fontId="1" fillId="0" borderId="16" xfId="1" applyFill="1" applyBorder="1"/>
    <xf numFmtId="0" fontId="4" fillId="0" borderId="15" xfId="1" applyFont="1" applyFill="1" applyBorder="1" applyAlignment="1" applyProtection="1"/>
    <xf numFmtId="0" fontId="4" fillId="0" borderId="45" xfId="1" applyFont="1" applyFill="1" applyBorder="1" applyAlignment="1" applyProtection="1"/>
    <xf numFmtId="0" fontId="7" fillId="18" borderId="227" xfId="1" applyFont="1" applyFill="1" applyBorder="1" applyAlignment="1" applyProtection="1">
      <alignment horizontal="center" vertical="center" wrapText="1"/>
    </xf>
    <xf numFmtId="0" fontId="1" fillId="0" borderId="0" xfId="1" applyFill="1" applyBorder="1" applyProtection="1"/>
    <xf numFmtId="0" fontId="1" fillId="0" borderId="31" xfId="1" applyFill="1" applyBorder="1" applyProtection="1"/>
    <xf numFmtId="0" fontId="1" fillId="2" borderId="15" xfId="1" applyFont="1" applyFill="1" applyBorder="1" applyProtection="1"/>
    <xf numFmtId="0" fontId="1" fillId="0" borderId="0" xfId="1" applyFont="1" applyFill="1" applyProtection="1"/>
    <xf numFmtId="0" fontId="2" fillId="0" borderId="0" xfId="1" applyFont="1" applyFill="1" applyAlignment="1" applyProtection="1">
      <alignment horizontal="center"/>
    </xf>
    <xf numFmtId="0" fontId="4" fillId="0" borderId="0" xfId="1" applyFont="1" applyFill="1" applyAlignment="1" applyProtection="1">
      <alignment vertical="center"/>
    </xf>
    <xf numFmtId="0" fontId="1" fillId="0" borderId="1" xfId="1" applyFill="1" applyBorder="1" applyAlignment="1" applyProtection="1">
      <alignment horizontal="center"/>
    </xf>
    <xf numFmtId="0" fontId="1" fillId="0" borderId="0" xfId="1" applyFill="1" applyAlignment="1" applyProtection="1">
      <alignment horizontal="left"/>
    </xf>
    <xf numFmtId="0" fontId="1" fillId="0" borderId="0" xfId="1" applyFill="1" applyAlignment="1" applyProtection="1">
      <alignment horizontal="center"/>
    </xf>
    <xf numFmtId="0" fontId="1" fillId="0" borderId="29" xfId="1" applyFill="1" applyBorder="1" applyProtection="1"/>
    <xf numFmtId="0" fontId="3" fillId="0" borderId="0" xfId="1" applyFont="1" applyFill="1"/>
    <xf numFmtId="0" fontId="1" fillId="0" borderId="15" xfId="1" applyFont="1" applyFill="1" applyBorder="1" applyProtection="1"/>
    <xf numFmtId="0" fontId="18" fillId="9" borderId="30" xfId="1" applyFont="1" applyFill="1" applyBorder="1"/>
    <xf numFmtId="0" fontId="10" fillId="9" borderId="63" xfId="1" applyFont="1" applyFill="1" applyBorder="1" applyAlignment="1">
      <alignment vertical="center" wrapText="1"/>
    </xf>
    <xf numFmtId="0" fontId="18" fillId="9" borderId="44" xfId="1" applyFont="1" applyFill="1" applyBorder="1"/>
    <xf numFmtId="0" fontId="10" fillId="9" borderId="43" xfId="1" applyFont="1" applyFill="1" applyBorder="1" applyAlignment="1">
      <alignment vertical="center" wrapText="1"/>
    </xf>
    <xf numFmtId="0" fontId="9" fillId="35" borderId="5" xfId="1" applyFont="1" applyFill="1" applyBorder="1" applyAlignment="1" applyProtection="1">
      <alignment horizontal="center" vertical="center"/>
    </xf>
    <xf numFmtId="0" fontId="105" fillId="35" borderId="5" xfId="1" applyFont="1" applyFill="1" applyBorder="1" applyAlignment="1" applyProtection="1">
      <alignment horizontal="center" vertical="center"/>
    </xf>
    <xf numFmtId="0" fontId="7" fillId="36" borderId="43" xfId="1" applyFont="1" applyFill="1" applyBorder="1" applyAlignment="1" applyProtection="1">
      <alignment horizontal="center" vertical="center" wrapText="1"/>
    </xf>
    <xf numFmtId="0" fontId="7" fillId="36" borderId="44" xfId="1" applyFont="1" applyFill="1" applyBorder="1" applyAlignment="1" applyProtection="1">
      <alignment horizontal="center" vertical="center" wrapText="1"/>
    </xf>
    <xf numFmtId="0" fontId="7" fillId="36" borderId="30" xfId="1" applyFont="1" applyFill="1" applyBorder="1" applyAlignment="1" applyProtection="1">
      <alignment horizontal="center" vertical="center" wrapText="1"/>
    </xf>
    <xf numFmtId="0" fontId="105" fillId="35" borderId="3" xfId="1" applyFont="1" applyFill="1" applyBorder="1" applyAlignment="1" applyProtection="1">
      <alignment horizontal="left" vertical="top"/>
    </xf>
    <xf numFmtId="0" fontId="2" fillId="11" borderId="15" xfId="1" applyFont="1" applyFill="1" applyBorder="1" applyProtection="1"/>
    <xf numFmtId="0" fontId="1" fillId="11" borderId="15" xfId="1" applyFill="1" applyBorder="1"/>
    <xf numFmtId="0" fontId="18" fillId="3" borderId="16" xfId="1" applyFont="1" applyFill="1" applyBorder="1" applyProtection="1"/>
    <xf numFmtId="0" fontId="1" fillId="3" borderId="0" xfId="1" applyFill="1" applyBorder="1" applyProtection="1"/>
    <xf numFmtId="0" fontId="7" fillId="36" borderId="226" xfId="1" applyFont="1" applyFill="1" applyBorder="1" applyAlignment="1" applyProtection="1">
      <alignment horizontal="center" vertical="center" wrapText="1"/>
    </xf>
    <xf numFmtId="0" fontId="1" fillId="36" borderId="44" xfId="1" applyFill="1" applyBorder="1"/>
    <xf numFmtId="0" fontId="4" fillId="2" borderId="15" xfId="1" applyFont="1" applyFill="1" applyBorder="1" applyAlignment="1" applyProtection="1">
      <alignment vertical="center"/>
    </xf>
    <xf numFmtId="0" fontId="1" fillId="0" borderId="45" xfId="1" applyFont="1" applyFill="1" applyBorder="1" applyProtection="1"/>
    <xf numFmtId="0" fontId="1" fillId="0" borderId="46" xfId="1" applyFill="1" applyBorder="1"/>
    <xf numFmtId="0" fontId="1" fillId="36" borderId="0" xfId="1" applyFill="1" applyBorder="1"/>
    <xf numFmtId="0" fontId="105" fillId="35" borderId="25" xfId="1" applyFont="1" applyFill="1" applyBorder="1" applyAlignment="1" applyProtection="1">
      <alignment horizontal="left" vertical="top"/>
    </xf>
    <xf numFmtId="0" fontId="105" fillId="35" borderId="225" xfId="1" applyFont="1" applyFill="1" applyBorder="1" applyAlignment="1" applyProtection="1">
      <alignment horizontal="center" vertical="center"/>
    </xf>
    <xf numFmtId="0" fontId="105" fillId="35" borderId="25" xfId="1" applyFont="1" applyFill="1" applyBorder="1" applyAlignment="1" applyProtection="1">
      <alignment horizontal="center" vertical="center"/>
    </xf>
    <xf numFmtId="0" fontId="9" fillId="15" borderId="25" xfId="1" applyFont="1" applyFill="1" applyBorder="1" applyAlignment="1" applyProtection="1">
      <alignment horizontal="center" vertical="center"/>
    </xf>
    <xf numFmtId="0" fontId="2" fillId="2" borderId="15" xfId="1" applyFont="1" applyFill="1" applyBorder="1" applyAlignment="1" applyProtection="1">
      <alignment horizontal="center"/>
    </xf>
    <xf numFmtId="0" fontId="2" fillId="2" borderId="16" xfId="1" applyFont="1" applyFill="1" applyBorder="1" applyAlignment="1" applyProtection="1">
      <alignment horizontal="center"/>
    </xf>
    <xf numFmtId="0" fontId="2" fillId="3" borderId="15" xfId="1" applyFont="1" applyFill="1" applyBorder="1" applyAlignment="1" applyProtection="1">
      <alignment horizontal="center"/>
    </xf>
    <xf numFmtId="0" fontId="23" fillId="9" borderId="63" xfId="0" applyFont="1" applyFill="1" applyBorder="1"/>
    <xf numFmtId="0" fontId="0" fillId="9" borderId="86" xfId="0" applyFill="1" applyBorder="1"/>
    <xf numFmtId="0" fontId="7" fillId="0" borderId="7" xfId="0" applyFont="1" applyFill="1" applyBorder="1" applyAlignment="1" applyProtection="1">
      <alignment horizontal="center" vertical="center" wrapText="1"/>
    </xf>
    <xf numFmtId="0" fontId="0" fillId="0" borderId="0" xfId="0" applyFill="1" applyProtection="1"/>
    <xf numFmtId="0" fontId="2" fillId="0" borderId="0" xfId="0" applyFont="1" applyFill="1" applyAlignment="1" applyProtection="1">
      <alignment horizontal="center"/>
    </xf>
    <xf numFmtId="0" fontId="23" fillId="9" borderId="65" xfId="0" applyFont="1" applyFill="1" applyBorder="1"/>
    <xf numFmtId="0" fontId="1" fillId="9" borderId="65" xfId="1" applyFill="1" applyBorder="1"/>
    <xf numFmtId="0" fontId="1" fillId="9" borderId="86" xfId="1" applyFill="1" applyBorder="1"/>
    <xf numFmtId="0" fontId="7" fillId="38" borderId="5" xfId="1" applyFont="1" applyFill="1" applyBorder="1" applyAlignment="1" applyProtection="1">
      <alignment horizontal="center" vertical="center" wrapText="1"/>
    </xf>
    <xf numFmtId="0" fontId="2" fillId="38" borderId="4" xfId="1" applyFont="1" applyFill="1" applyBorder="1" applyAlignment="1" applyProtection="1">
      <alignment horizontal="center" vertical="center" wrapText="1"/>
    </xf>
    <xf numFmtId="0" fontId="7" fillId="38" borderId="3" xfId="1" applyFont="1" applyFill="1" applyBorder="1" applyAlignment="1" applyProtection="1">
      <alignment horizontal="center" vertical="center" wrapText="1"/>
    </xf>
    <xf numFmtId="0" fontId="7" fillId="38" borderId="7" xfId="1" applyFont="1" applyFill="1" applyBorder="1" applyAlignment="1" applyProtection="1">
      <alignment horizontal="center" vertical="center" wrapText="1"/>
    </xf>
    <xf numFmtId="0" fontId="9" fillId="39" borderId="3" xfId="1" applyFont="1" applyFill="1" applyBorder="1" applyAlignment="1" applyProtection="1">
      <alignment horizontal="center" vertical="center"/>
    </xf>
    <xf numFmtId="0" fontId="9" fillId="39" borderId="5" xfId="1" applyFont="1" applyFill="1" applyBorder="1" applyAlignment="1" applyProtection="1">
      <alignment horizontal="center" vertical="center"/>
    </xf>
    <xf numFmtId="0" fontId="9" fillId="39" borderId="4" xfId="1" applyFont="1" applyFill="1" applyBorder="1" applyAlignment="1" applyProtection="1">
      <alignment horizontal="center" vertical="center"/>
    </xf>
    <xf numFmtId="0" fontId="2" fillId="0" borderId="0" xfId="0" applyFont="1" applyFill="1" applyProtection="1"/>
    <xf numFmtId="0" fontId="2" fillId="0" borderId="1" xfId="1" applyFont="1" applyFill="1" applyBorder="1" applyProtection="1"/>
    <xf numFmtId="0" fontId="1" fillId="0" borderId="0" xfId="1" applyFont="1" applyFill="1" applyAlignment="1" applyProtection="1">
      <alignment horizontal="left"/>
    </xf>
    <xf numFmtId="0" fontId="2" fillId="0" borderId="15" xfId="1" applyFont="1" applyFill="1" applyBorder="1" applyAlignment="1" applyProtection="1">
      <alignment horizontal="center"/>
    </xf>
    <xf numFmtId="0" fontId="0" fillId="0" borderId="0" xfId="0" applyFont="1" applyFill="1" applyProtection="1"/>
    <xf numFmtId="0" fontId="1" fillId="0" borderId="16" xfId="1" applyFont="1" applyFill="1" applyBorder="1" applyProtection="1"/>
    <xf numFmtId="0" fontId="3" fillId="0" borderId="0" xfId="1" applyFont="1" applyFill="1" applyProtection="1"/>
    <xf numFmtId="0" fontId="2" fillId="0" borderId="45" xfId="1" applyFont="1" applyFill="1" applyBorder="1" applyAlignment="1" applyProtection="1">
      <alignment horizontal="center"/>
    </xf>
    <xf numFmtId="0" fontId="2" fillId="3" borderId="16" xfId="1" applyFont="1" applyFill="1" applyBorder="1" applyAlignment="1" applyProtection="1">
      <alignment horizontal="center"/>
    </xf>
    <xf numFmtId="0" fontId="4" fillId="0" borderId="15" xfId="1" applyFont="1" applyFill="1" applyBorder="1" applyAlignment="1" applyProtection="1">
      <alignment vertical="center"/>
    </xf>
    <xf numFmtId="0" fontId="2" fillId="0" borderId="16" xfId="1" applyFont="1" applyFill="1" applyBorder="1" applyAlignment="1" applyProtection="1">
      <alignment horizontal="center"/>
    </xf>
    <xf numFmtId="0" fontId="2" fillId="0" borderId="46" xfId="1" applyFont="1" applyFill="1" applyBorder="1" applyAlignment="1" applyProtection="1">
      <alignment horizontal="center"/>
    </xf>
    <xf numFmtId="0" fontId="1" fillId="0" borderId="16" xfId="1" applyFont="1" applyFill="1" applyBorder="1" applyAlignment="1" applyProtection="1">
      <alignment horizontal="left"/>
    </xf>
    <xf numFmtId="0" fontId="1" fillId="0" borderId="16" xfId="1" applyFont="1" applyFill="1" applyBorder="1" applyAlignment="1" applyProtection="1">
      <alignment horizontal="center"/>
    </xf>
    <xf numFmtId="0" fontId="1" fillId="0" borderId="46" xfId="1" applyFont="1" applyFill="1" applyBorder="1" applyAlignment="1" applyProtection="1">
      <alignment horizontal="center"/>
    </xf>
    <xf numFmtId="0" fontId="1" fillId="0" borderId="15" xfId="1" applyFont="1" applyFill="1" applyBorder="1" applyAlignment="1" applyProtection="1">
      <alignment horizontal="left"/>
    </xf>
    <xf numFmtId="0" fontId="1" fillId="0" borderId="15" xfId="1" applyFont="1" applyFill="1" applyBorder="1" applyAlignment="1" applyProtection="1">
      <alignment horizontal="center"/>
    </xf>
    <xf numFmtId="0" fontId="1" fillId="0" borderId="45" xfId="1" applyFont="1" applyFill="1" applyBorder="1" applyAlignment="1" applyProtection="1">
      <alignment horizontal="center"/>
    </xf>
    <xf numFmtId="0" fontId="1" fillId="0" borderId="45" xfId="1" applyFill="1" applyBorder="1" applyProtection="1"/>
    <xf numFmtId="0" fontId="107" fillId="0" borderId="15" xfId="1" applyFont="1" applyFill="1" applyBorder="1" applyAlignment="1" applyProtection="1">
      <alignment horizontal="center"/>
    </xf>
    <xf numFmtId="0" fontId="2" fillId="2" borderId="0" xfId="1" applyFont="1" applyFill="1" applyBorder="1" applyAlignment="1" applyProtection="1">
      <alignment horizontal="center"/>
    </xf>
    <xf numFmtId="0" fontId="2" fillId="0" borderId="0" xfId="1" applyFont="1" applyFill="1" applyBorder="1" applyProtection="1"/>
    <xf numFmtId="0" fontId="7" fillId="41" borderId="227" xfId="1" applyFont="1" applyFill="1" applyBorder="1" applyAlignment="1" applyProtection="1">
      <alignment horizontal="center" vertical="center" wrapText="1"/>
    </xf>
    <xf numFmtId="0" fontId="7" fillId="41" borderId="175" xfId="1" applyFont="1" applyFill="1" applyBorder="1" applyAlignment="1" applyProtection="1">
      <alignment horizontal="center" vertical="center" wrapText="1"/>
    </xf>
    <xf numFmtId="0" fontId="7" fillId="41" borderId="63" xfId="1" applyFont="1" applyFill="1" applyBorder="1" applyAlignment="1" applyProtection="1">
      <alignment horizontal="center" vertical="center" wrapText="1"/>
    </xf>
    <xf numFmtId="0" fontId="7" fillId="41" borderId="228" xfId="1" applyFont="1" applyFill="1" applyBorder="1" applyAlignment="1" applyProtection="1">
      <alignment horizontal="center" vertical="center" wrapText="1"/>
    </xf>
    <xf numFmtId="0" fontId="7" fillId="42" borderId="63" xfId="1" applyFont="1" applyFill="1" applyBorder="1" applyAlignment="1" applyProtection="1">
      <alignment horizontal="center" vertical="center" wrapText="1"/>
    </xf>
    <xf numFmtId="0" fontId="2" fillId="42" borderId="86" xfId="1" applyFont="1" applyFill="1" applyBorder="1" applyAlignment="1" applyProtection="1">
      <alignment horizontal="center" vertical="center" wrapText="1"/>
    </xf>
    <xf numFmtId="0" fontId="2" fillId="42" borderId="63" xfId="1" applyFont="1" applyFill="1" applyBorder="1" applyAlignment="1" applyProtection="1">
      <alignment horizontal="center" vertical="center" wrapText="1"/>
    </xf>
    <xf numFmtId="0" fontId="7" fillId="42" borderId="228" xfId="1" applyFont="1" applyFill="1" applyBorder="1" applyAlignment="1" applyProtection="1">
      <alignment horizontal="center" vertical="center" wrapText="1"/>
    </xf>
    <xf numFmtId="0" fontId="9" fillId="37" borderId="63" xfId="1" applyFont="1" applyFill="1" applyBorder="1" applyAlignment="1" applyProtection="1">
      <alignment horizontal="center" vertical="center"/>
    </xf>
    <xf numFmtId="0" fontId="9" fillId="37" borderId="65" xfId="1" applyFont="1" applyFill="1" applyBorder="1" applyAlignment="1" applyProtection="1">
      <alignment horizontal="center" vertical="center"/>
    </xf>
    <xf numFmtId="0" fontId="105" fillId="37" borderId="65" xfId="1" applyFont="1" applyFill="1" applyBorder="1" applyAlignment="1" applyProtection="1">
      <alignment horizontal="center" vertical="center"/>
    </xf>
    <xf numFmtId="0" fontId="9" fillId="37" borderId="86" xfId="1" applyFont="1" applyFill="1" applyBorder="1" applyAlignment="1" applyProtection="1">
      <alignment horizontal="center" vertical="center"/>
    </xf>
    <xf numFmtId="0" fontId="23" fillId="9" borderId="45" xfId="0" applyFont="1" applyFill="1" applyBorder="1"/>
    <xf numFmtId="0" fontId="23" fillId="9" borderId="31" xfId="0" applyFont="1" applyFill="1" applyBorder="1"/>
    <xf numFmtId="0" fontId="23" fillId="9" borderId="46" xfId="0" applyFont="1" applyFill="1" applyBorder="1"/>
    <xf numFmtId="0" fontId="25" fillId="2" borderId="0" xfId="13" applyFont="1" applyFill="1"/>
    <xf numFmtId="0" fontId="61" fillId="2" borderId="0" xfId="13" applyFont="1" applyFill="1"/>
    <xf numFmtId="0" fontId="61" fillId="2" borderId="0" xfId="13" applyFont="1" applyFill="1" applyAlignment="1">
      <alignment vertical="top"/>
    </xf>
    <xf numFmtId="0" fontId="109" fillId="2" borderId="0" xfId="13" applyFill="1" applyAlignment="1"/>
    <xf numFmtId="0" fontId="35" fillId="2" borderId="0" xfId="13" applyFont="1" applyFill="1" applyAlignment="1">
      <alignment horizontal="left" wrapText="1"/>
    </xf>
    <xf numFmtId="0" fontId="25" fillId="2" borderId="0" xfId="13" applyFont="1" applyFill="1" applyAlignment="1"/>
    <xf numFmtId="194" fontId="25" fillId="2" borderId="0" xfId="13" applyNumberFormat="1" applyFont="1" applyFill="1" applyAlignment="1">
      <alignment horizontal="left"/>
    </xf>
    <xf numFmtId="0" fontId="35" fillId="2" borderId="0" xfId="13" applyFont="1" applyFill="1" applyAlignment="1"/>
    <xf numFmtId="0" fontId="35" fillId="2" borderId="0" xfId="13" applyFont="1" applyFill="1"/>
    <xf numFmtId="194" fontId="35" fillId="2" borderId="0" xfId="13" applyNumberFormat="1" applyFont="1" applyFill="1" applyAlignment="1">
      <alignment horizontal="left"/>
    </xf>
    <xf numFmtId="0" fontId="34" fillId="2" borderId="0" xfId="13" applyFont="1" applyFill="1" applyAlignment="1">
      <alignment horizontal="right"/>
    </xf>
    <xf numFmtId="0" fontId="34" fillId="2" borderId="0" xfId="13" applyFont="1" applyFill="1"/>
    <xf numFmtId="0" fontId="25" fillId="0" borderId="0" xfId="13" applyFont="1"/>
    <xf numFmtId="0" fontId="25" fillId="2" borderId="0" xfId="14" applyFont="1" applyFill="1"/>
    <xf numFmtId="0" fontId="25" fillId="0" borderId="0" xfId="14" applyFont="1"/>
    <xf numFmtId="0" fontId="25" fillId="2" borderId="15" xfId="13" applyFont="1" applyFill="1" applyBorder="1" applyAlignment="1">
      <alignment vertical="center"/>
    </xf>
    <xf numFmtId="2" fontId="25" fillId="2" borderId="0" xfId="13" applyNumberFormat="1" applyFont="1" applyFill="1" applyBorder="1" applyAlignment="1">
      <alignment horizontal="center" vertical="center"/>
    </xf>
    <xf numFmtId="2" fontId="25" fillId="14" borderId="0" xfId="13" applyNumberFormat="1" applyFont="1" applyFill="1" applyBorder="1" applyAlignment="1">
      <alignment horizontal="center" vertical="center"/>
    </xf>
    <xf numFmtId="2" fontId="25" fillId="2" borderId="0" xfId="13" applyNumberFormat="1" applyFont="1" applyFill="1" applyBorder="1" applyAlignment="1">
      <alignment horizontal="center"/>
    </xf>
    <xf numFmtId="2" fontId="25" fillId="2" borderId="0" xfId="13" applyNumberFormat="1" applyFont="1" applyFill="1"/>
    <xf numFmtId="0" fontId="25" fillId="2" borderId="55" xfId="13" applyFont="1" applyFill="1" applyBorder="1"/>
    <xf numFmtId="2" fontId="25" fillId="14" borderId="0" xfId="13" applyNumberFormat="1" applyFont="1" applyFill="1" applyBorder="1" applyAlignment="1">
      <alignment horizontal="center"/>
    </xf>
    <xf numFmtId="0" fontId="25" fillId="2" borderId="15" xfId="13" applyFont="1" applyFill="1" applyBorder="1"/>
    <xf numFmtId="0" fontId="34" fillId="2" borderId="15" xfId="13" applyFont="1" applyFill="1" applyBorder="1" applyAlignment="1">
      <alignment vertical="center"/>
    </xf>
    <xf numFmtId="2" fontId="34" fillId="2" borderId="0" xfId="13" applyNumberFormat="1" applyFont="1" applyFill="1" applyBorder="1" applyAlignment="1">
      <alignment horizontal="center" vertical="center"/>
    </xf>
    <xf numFmtId="2" fontId="34" fillId="2" borderId="0" xfId="13" applyNumberFormat="1" applyFont="1" applyFill="1" applyBorder="1" applyAlignment="1">
      <alignment horizontal="center"/>
    </xf>
    <xf numFmtId="9" fontId="25" fillId="2" borderId="0" xfId="15" applyFont="1" applyFill="1"/>
    <xf numFmtId="2" fontId="34" fillId="43" borderId="0" xfId="13" applyNumberFormat="1" applyFont="1" applyFill="1" applyBorder="1" applyAlignment="1">
      <alignment horizontal="center" vertical="center"/>
    </xf>
    <xf numFmtId="9" fontId="25" fillId="2" borderId="0" xfId="15" applyFont="1" applyFill="1" applyBorder="1" applyAlignment="1">
      <alignment horizontal="center" vertical="center"/>
    </xf>
    <xf numFmtId="0" fontId="34" fillId="12" borderId="15" xfId="13" applyFont="1" applyFill="1" applyBorder="1" applyAlignment="1">
      <alignment horizontal="left" vertical="center"/>
    </xf>
    <xf numFmtId="0" fontId="25" fillId="2" borderId="82" xfId="13" applyFont="1" applyFill="1" applyBorder="1" applyAlignment="1">
      <alignment vertical="center"/>
    </xf>
    <xf numFmtId="0" fontId="34" fillId="2" borderId="15" xfId="13" applyFont="1" applyFill="1" applyBorder="1" applyAlignment="1">
      <alignment horizontal="left" vertical="center"/>
    </xf>
    <xf numFmtId="2" fontId="34" fillId="14" borderId="0" xfId="13" applyNumberFormat="1" applyFont="1" applyFill="1" applyBorder="1" applyAlignment="1">
      <alignment horizontal="center"/>
    </xf>
    <xf numFmtId="9" fontId="25" fillId="2" borderId="0" xfId="15" applyFont="1" applyFill="1" applyBorder="1" applyAlignment="1">
      <alignment horizontal="center"/>
    </xf>
    <xf numFmtId="9" fontId="25" fillId="2" borderId="0" xfId="15" applyNumberFormat="1" applyFont="1" applyFill="1" applyBorder="1" applyAlignment="1">
      <alignment horizontal="center"/>
    </xf>
    <xf numFmtId="0" fontId="25" fillId="2" borderId="0" xfId="13" applyFont="1" applyFill="1" applyBorder="1"/>
    <xf numFmtId="9" fontId="34" fillId="2" borderId="0" xfId="15" applyFont="1" applyFill="1" applyBorder="1" applyAlignment="1">
      <alignment horizontal="center"/>
    </xf>
    <xf numFmtId="3" fontId="25" fillId="2" borderId="0" xfId="13" applyNumberFormat="1" applyFont="1" applyFill="1" applyBorder="1" applyAlignment="1">
      <alignment horizontal="center" vertical="center"/>
    </xf>
    <xf numFmtId="171" fontId="25" fillId="0" borderId="16" xfId="16" applyNumberFormat="1" applyFont="1" applyFill="1" applyBorder="1" applyAlignment="1">
      <alignment horizontal="center" vertical="center"/>
    </xf>
    <xf numFmtId="2" fontId="25" fillId="2" borderId="16" xfId="13" applyNumberFormat="1" applyFont="1" applyFill="1" applyBorder="1" applyAlignment="1">
      <alignment horizontal="center" vertical="center"/>
    </xf>
    <xf numFmtId="4" fontId="25" fillId="2" borderId="31" xfId="13" applyNumberFormat="1" applyFont="1" applyFill="1" applyBorder="1" applyAlignment="1">
      <alignment horizontal="center" vertical="center"/>
    </xf>
    <xf numFmtId="0" fontId="34" fillId="2" borderId="0" xfId="13" applyFont="1" applyFill="1" applyBorder="1" applyAlignment="1">
      <alignment vertical="center"/>
    </xf>
    <xf numFmtId="0" fontId="109" fillId="2" borderId="0" xfId="13" applyFill="1" applyAlignment="1">
      <alignment wrapText="1"/>
    </xf>
    <xf numFmtId="188" fontId="25" fillId="2" borderId="0" xfId="13" applyNumberFormat="1" applyFont="1" applyFill="1"/>
    <xf numFmtId="188" fontId="25" fillId="2" borderId="0" xfId="13" applyNumberFormat="1" applyFont="1" applyFill="1" applyBorder="1"/>
    <xf numFmtId="9" fontId="34" fillId="2" borderId="0" xfId="15" applyFont="1" applyFill="1" applyBorder="1" applyAlignment="1">
      <alignment horizontal="center" vertical="center"/>
    </xf>
    <xf numFmtId="0" fontId="30" fillId="8" borderId="43" xfId="13" applyFont="1" applyFill="1" applyBorder="1" applyAlignment="1">
      <alignment vertical="center"/>
    </xf>
    <xf numFmtId="2" fontId="30" fillId="8" borderId="30" xfId="13" applyNumberFormat="1" applyFont="1" applyFill="1" applyBorder="1" applyAlignment="1">
      <alignment horizontal="center" vertical="center"/>
    </xf>
    <xf numFmtId="2" fontId="30" fillId="8" borderId="44" xfId="13" applyNumberFormat="1" applyFont="1" applyFill="1" applyBorder="1" applyAlignment="1">
      <alignment horizontal="center" vertical="center"/>
    </xf>
    <xf numFmtId="0" fontId="30" fillId="8" borderId="15" xfId="13" applyFont="1" applyFill="1" applyBorder="1" applyAlignment="1">
      <alignment vertical="center"/>
    </xf>
    <xf numFmtId="0" fontId="113" fillId="2" borderId="0" xfId="14" applyFont="1" applyFill="1"/>
    <xf numFmtId="0" fontId="34" fillId="17" borderId="0" xfId="14" applyFont="1" applyFill="1" applyBorder="1" applyAlignment="1">
      <alignment horizontal="center"/>
    </xf>
    <xf numFmtId="0" fontId="34" fillId="17" borderId="16" xfId="14" applyFont="1" applyFill="1" applyBorder="1" applyAlignment="1">
      <alignment horizontal="center"/>
    </xf>
    <xf numFmtId="0" fontId="113" fillId="0" borderId="0" xfId="14" applyFont="1"/>
    <xf numFmtId="0" fontId="34" fillId="14" borderId="234" xfId="13" applyFont="1" applyFill="1" applyBorder="1" applyAlignment="1">
      <alignment horizontal="left" vertical="center"/>
    </xf>
    <xf numFmtId="3" fontId="25" fillId="14" borderId="0" xfId="13" applyNumberFormat="1" applyFont="1" applyFill="1" applyBorder="1" applyAlignment="1">
      <alignment horizontal="center" vertical="center"/>
    </xf>
    <xf numFmtId="3" fontId="25" fillId="2" borderId="0" xfId="13" applyNumberFormat="1" applyFont="1" applyFill="1"/>
    <xf numFmtId="0" fontId="34" fillId="2" borderId="82" xfId="13" applyFont="1" applyFill="1" applyBorder="1" applyAlignment="1">
      <alignment horizontal="left" vertical="center"/>
    </xf>
    <xf numFmtId="3" fontId="34" fillId="2" borderId="37" xfId="13" applyNumberFormat="1" applyFont="1" applyFill="1" applyBorder="1" applyAlignment="1">
      <alignment horizontal="center" vertical="center"/>
    </xf>
    <xf numFmtId="3" fontId="34" fillId="2" borderId="79" xfId="13" applyNumberFormat="1" applyFont="1" applyFill="1" applyBorder="1" applyAlignment="1">
      <alignment horizontal="center" vertical="center"/>
    </xf>
    <xf numFmtId="9" fontId="25" fillId="14" borderId="0" xfId="15" applyFont="1" applyFill="1" applyBorder="1" applyAlignment="1">
      <alignment horizontal="center" vertical="center"/>
    </xf>
    <xf numFmtId="175" fontId="25" fillId="2" borderId="0" xfId="15" applyNumberFormat="1" applyFont="1" applyFill="1"/>
    <xf numFmtId="3" fontId="34" fillId="2" borderId="0" xfId="13" applyNumberFormat="1" applyFont="1" applyFill="1" applyBorder="1" applyAlignment="1">
      <alignment horizontal="center" vertical="center"/>
    </xf>
    <xf numFmtId="0" fontId="34" fillId="12" borderId="234" xfId="13" applyFont="1" applyFill="1" applyBorder="1" applyAlignment="1">
      <alignment horizontal="left" vertical="center"/>
    </xf>
    <xf numFmtId="0" fontId="25" fillId="2" borderId="15" xfId="14" applyFont="1" applyFill="1" applyBorder="1" applyAlignment="1">
      <alignment vertical="center"/>
    </xf>
    <xf numFmtId="3" fontId="34" fillId="2" borderId="37" xfId="15" applyNumberFormat="1" applyFont="1" applyFill="1" applyBorder="1" applyAlignment="1">
      <alignment horizontal="center" vertical="center"/>
    </xf>
    <xf numFmtId="3" fontId="34" fillId="2" borderId="79" xfId="15" applyNumberFormat="1" applyFont="1" applyFill="1" applyBorder="1" applyAlignment="1">
      <alignment horizontal="center" vertical="center"/>
    </xf>
    <xf numFmtId="0" fontId="30" fillId="8" borderId="45" xfId="13" applyFont="1" applyFill="1" applyBorder="1" applyAlignment="1">
      <alignment vertical="center"/>
    </xf>
    <xf numFmtId="3" fontId="30" fillId="8" borderId="31" xfId="13" applyNumberFormat="1" applyFont="1" applyFill="1" applyBorder="1" applyAlignment="1">
      <alignment horizontal="center" vertical="center"/>
    </xf>
    <xf numFmtId="3" fontId="30" fillId="8" borderId="46" xfId="13" applyNumberFormat="1" applyFont="1" applyFill="1" applyBorder="1" applyAlignment="1">
      <alignment horizontal="center" vertical="center"/>
    </xf>
    <xf numFmtId="0" fontId="32" fillId="8" borderId="235" xfId="13" applyFont="1" applyFill="1" applyBorder="1"/>
    <xf numFmtId="0" fontId="32" fillId="8" borderId="28" xfId="13" applyFont="1" applyFill="1" applyBorder="1"/>
    <xf numFmtId="0" fontId="32" fillId="8" borderId="28" xfId="13" applyFont="1" applyFill="1" applyBorder="1" applyAlignment="1">
      <alignment horizontal="left" vertical="center"/>
    </xf>
    <xf numFmtId="0" fontId="32" fillId="8" borderId="242" xfId="13" applyFont="1" applyFill="1" applyBorder="1" applyAlignment="1">
      <alignment horizontal="center" vertical="center" wrapText="1"/>
    </xf>
    <xf numFmtId="0" fontId="32" fillId="8" borderId="239" xfId="13" applyFont="1" applyFill="1" applyBorder="1" applyAlignment="1">
      <alignment horizontal="center" vertical="center" wrapText="1"/>
    </xf>
    <xf numFmtId="0" fontId="19" fillId="12" borderId="248" xfId="13" applyFont="1" applyFill="1" applyBorder="1"/>
    <xf numFmtId="0" fontId="19" fillId="12" borderId="248" xfId="13" applyFont="1" applyFill="1" applyBorder="1" applyAlignment="1">
      <alignment horizontal="center"/>
    </xf>
    <xf numFmtId="0" fontId="19" fillId="12" borderId="249" xfId="13" applyFont="1" applyFill="1" applyBorder="1" applyAlignment="1">
      <alignment horizontal="center"/>
    </xf>
    <xf numFmtId="0" fontId="19" fillId="12" borderId="250" xfId="13" applyFont="1" applyFill="1" applyBorder="1" applyAlignment="1">
      <alignment horizontal="center"/>
    </xf>
    <xf numFmtId="0" fontId="19" fillId="12" borderId="28" xfId="13" applyFont="1" applyFill="1" applyBorder="1"/>
    <xf numFmtId="3" fontId="20" fillId="2" borderId="251" xfId="13" applyNumberFormat="1" applyFont="1" applyFill="1" applyBorder="1" applyAlignment="1">
      <alignment horizontal="center"/>
    </xf>
    <xf numFmtId="3" fontId="20" fillId="2" borderId="0" xfId="13" applyNumberFormat="1" applyFont="1" applyFill="1" applyBorder="1" applyAlignment="1">
      <alignment horizontal="center"/>
    </xf>
    <xf numFmtId="3" fontId="20" fillId="14" borderId="40" xfId="13" applyNumberFormat="1" applyFont="1" applyFill="1" applyBorder="1" applyAlignment="1">
      <alignment horizontal="center"/>
    </xf>
    <xf numFmtId="3" fontId="20" fillId="12" borderId="40" xfId="13" applyNumberFormat="1" applyFont="1" applyFill="1" applyBorder="1" applyAlignment="1">
      <alignment horizontal="center"/>
    </xf>
    <xf numFmtId="3" fontId="116" fillId="14" borderId="37" xfId="13" applyNumberFormat="1" applyFont="1" applyFill="1" applyBorder="1" applyAlignment="1">
      <alignment horizontal="center"/>
    </xf>
    <xf numFmtId="3" fontId="20" fillId="14" borderId="0" xfId="13" applyNumberFormat="1" applyFont="1" applyFill="1" applyBorder="1" applyAlignment="1">
      <alignment horizontal="center"/>
    </xf>
    <xf numFmtId="3" fontId="20" fillId="14" borderId="33" xfId="13" applyNumberFormat="1" applyFont="1" applyFill="1" applyBorder="1" applyAlignment="1">
      <alignment horizontal="center"/>
    </xf>
    <xf numFmtId="1" fontId="20" fillId="14" borderId="0" xfId="13" applyNumberFormat="1" applyFont="1" applyFill="1" applyBorder="1" applyAlignment="1">
      <alignment horizontal="center"/>
    </xf>
    <xf numFmtId="0" fontId="19" fillId="12" borderId="252" xfId="13" applyFont="1" applyFill="1" applyBorder="1"/>
    <xf numFmtId="3" fontId="19" fillId="12" borderId="237" xfId="13" applyNumberFormat="1" applyFont="1" applyFill="1" applyBorder="1" applyAlignment="1">
      <alignment horizontal="center"/>
    </xf>
    <xf numFmtId="3" fontId="19" fillId="12" borderId="233" xfId="13" applyNumberFormat="1" applyFont="1" applyFill="1" applyBorder="1" applyAlignment="1">
      <alignment horizontal="center"/>
    </xf>
    <xf numFmtId="3" fontId="19" fillId="12" borderId="253" xfId="13" applyNumberFormat="1" applyFont="1" applyFill="1" applyBorder="1" applyAlignment="1">
      <alignment horizontal="center"/>
    </xf>
    <xf numFmtId="0" fontId="19" fillId="12" borderId="37" xfId="13" applyFont="1" applyFill="1" applyBorder="1"/>
    <xf numFmtId="3" fontId="19" fillId="12" borderId="83" xfId="13" applyNumberFormat="1" applyFont="1" applyFill="1" applyBorder="1" applyAlignment="1">
      <alignment horizontal="center"/>
    </xf>
    <xf numFmtId="3" fontId="19" fillId="12" borderId="37" xfId="13" applyNumberFormat="1" applyFont="1" applyFill="1" applyBorder="1" applyAlignment="1">
      <alignment horizontal="center"/>
    </xf>
    <xf numFmtId="3" fontId="116" fillId="2" borderId="0" xfId="13" applyNumberFormat="1" applyFont="1" applyFill="1" applyBorder="1" applyAlignment="1">
      <alignment horizontal="center"/>
    </xf>
    <xf numFmtId="1" fontId="20" fillId="2" borderId="0" xfId="13" applyNumberFormat="1" applyFont="1" applyFill="1" applyBorder="1" applyAlignment="1">
      <alignment horizontal="center"/>
    </xf>
    <xf numFmtId="1" fontId="20" fillId="14" borderId="40" xfId="13" applyNumberFormat="1" applyFont="1" applyFill="1" applyBorder="1" applyAlignment="1">
      <alignment horizontal="center"/>
    </xf>
    <xf numFmtId="3" fontId="19" fillId="12" borderId="40" xfId="13" applyNumberFormat="1" applyFont="1" applyFill="1" applyBorder="1" applyAlignment="1">
      <alignment horizontal="center"/>
    </xf>
    <xf numFmtId="3" fontId="20" fillId="12" borderId="37" xfId="13" applyNumberFormat="1" applyFont="1" applyFill="1" applyBorder="1" applyAlignment="1">
      <alignment horizontal="center"/>
    </xf>
    <xf numFmtId="3" fontId="20" fillId="12" borderId="0" xfId="13" applyNumberFormat="1" applyFont="1" applyFill="1" applyBorder="1" applyAlignment="1">
      <alignment horizontal="center"/>
    </xf>
    <xf numFmtId="3" fontId="20" fillId="12" borderId="28" xfId="13" applyNumberFormat="1" applyFont="1" applyFill="1" applyBorder="1" applyAlignment="1">
      <alignment horizontal="center"/>
    </xf>
    <xf numFmtId="3" fontId="117" fillId="12" borderId="37" xfId="13" applyNumberFormat="1" applyFont="1" applyFill="1" applyBorder="1" applyAlignment="1">
      <alignment horizontal="center"/>
    </xf>
    <xf numFmtId="1" fontId="20" fillId="12" borderId="0" xfId="13" applyNumberFormat="1" applyFont="1" applyFill="1" applyBorder="1" applyAlignment="1">
      <alignment horizontal="center"/>
    </xf>
    <xf numFmtId="1" fontId="20" fillId="14" borderId="37" xfId="13" applyNumberFormat="1" applyFont="1" applyFill="1" applyBorder="1" applyAlignment="1">
      <alignment horizontal="center"/>
    </xf>
    <xf numFmtId="0" fontId="19" fillId="12" borderId="256" xfId="13" applyFont="1" applyFill="1" applyBorder="1"/>
    <xf numFmtId="3" fontId="19" fillId="12" borderId="235" xfId="13" applyNumberFormat="1" applyFont="1" applyFill="1" applyBorder="1" applyAlignment="1">
      <alignment horizontal="center"/>
    </xf>
    <xf numFmtId="3" fontId="19" fillId="12" borderId="236" xfId="13" applyNumberFormat="1" applyFont="1" applyFill="1" applyBorder="1" applyAlignment="1">
      <alignment horizontal="center"/>
    </xf>
    <xf numFmtId="3" fontId="19" fillId="12" borderId="257" xfId="13" applyNumberFormat="1" applyFont="1" applyFill="1" applyBorder="1" applyAlignment="1">
      <alignment horizontal="center"/>
    </xf>
    <xf numFmtId="4" fontId="19" fillId="12" borderId="257" xfId="13" applyNumberFormat="1" applyFont="1" applyFill="1" applyBorder="1" applyAlignment="1">
      <alignment horizontal="center"/>
    </xf>
    <xf numFmtId="0" fontId="19" fillId="12" borderId="237" xfId="13" applyFont="1" applyFill="1" applyBorder="1"/>
    <xf numFmtId="4" fontId="19" fillId="12" borderId="237" xfId="13" applyNumberFormat="1" applyFont="1" applyFill="1" applyBorder="1" applyAlignment="1">
      <alignment horizontal="center"/>
    </xf>
    <xf numFmtId="4" fontId="19" fillId="12" borderId="233" xfId="13" applyNumberFormat="1" applyFont="1" applyFill="1" applyBorder="1" applyAlignment="1">
      <alignment horizontal="center"/>
    </xf>
    <xf numFmtId="4" fontId="19" fillId="12" borderId="253" xfId="13" applyNumberFormat="1" applyFont="1" applyFill="1" applyBorder="1" applyAlignment="1">
      <alignment horizontal="center"/>
    </xf>
    <xf numFmtId="181" fontId="19" fillId="12" borderId="237" xfId="13" applyNumberFormat="1" applyFont="1" applyFill="1" applyBorder="1" applyAlignment="1">
      <alignment horizontal="center"/>
    </xf>
    <xf numFmtId="0" fontId="1" fillId="0" borderId="0" xfId="1" applyBorder="1" applyAlignment="1"/>
    <xf numFmtId="0" fontId="32" fillId="8" borderId="18" xfId="0" applyFont="1" applyFill="1" applyBorder="1" applyAlignment="1">
      <alignment horizontal="center" vertical="top" wrapText="1"/>
    </xf>
    <xf numFmtId="0" fontId="25" fillId="2" borderId="0" xfId="13" applyFont="1" applyFill="1" applyBorder="1" applyAlignment="1">
      <alignment horizontal="left" vertical="top" wrapText="1"/>
    </xf>
    <xf numFmtId="0" fontId="24" fillId="34" borderId="43" xfId="0" applyFont="1" applyFill="1" applyBorder="1" applyAlignment="1">
      <alignment horizontal="left" vertical="center"/>
    </xf>
    <xf numFmtId="0" fontId="24" fillId="34" borderId="47" xfId="0" applyFont="1" applyFill="1" applyBorder="1" applyAlignment="1">
      <alignment horizontal="left" vertical="center"/>
    </xf>
    <xf numFmtId="0" fontId="34" fillId="23" borderId="15" xfId="13" applyFont="1" applyFill="1" applyBorder="1" applyAlignment="1">
      <alignment vertical="center"/>
    </xf>
    <xf numFmtId="2" fontId="34" fillId="2" borderId="265" xfId="13" applyNumberFormat="1" applyFont="1" applyFill="1" applyBorder="1" applyAlignment="1">
      <alignment horizontal="center" vertical="center"/>
    </xf>
    <xf numFmtId="0" fontId="32" fillId="8" borderId="18" xfId="0" applyFont="1" applyFill="1" applyBorder="1" applyAlignment="1">
      <alignment horizontal="center" vertical="top" wrapText="1"/>
    </xf>
    <xf numFmtId="2" fontId="25" fillId="0" borderId="0" xfId="13" applyNumberFormat="1" applyFont="1" applyFill="1" applyBorder="1" applyAlignment="1">
      <alignment horizontal="center"/>
    </xf>
    <xf numFmtId="2" fontId="34" fillId="14" borderId="0" xfId="13" applyNumberFormat="1" applyFont="1" applyFill="1" applyBorder="1" applyAlignment="1">
      <alignment horizontal="center" vertical="center"/>
    </xf>
    <xf numFmtId="0" fontId="47" fillId="2" borderId="0" xfId="13" applyFont="1" applyFill="1"/>
    <xf numFmtId="0" fontId="32" fillId="8" borderId="236" xfId="13" applyFont="1" applyFill="1" applyBorder="1" applyAlignment="1">
      <alignment horizontal="center"/>
    </xf>
    <xf numFmtId="43" fontId="25" fillId="2" borderId="0" xfId="3" applyFont="1" applyFill="1" applyBorder="1" applyAlignment="1">
      <alignment horizontal="left" vertical="top" wrapText="1"/>
    </xf>
    <xf numFmtId="0" fontId="32" fillId="8" borderId="102" xfId="13" applyFont="1" applyFill="1" applyBorder="1" applyAlignment="1">
      <alignment horizontal="center"/>
    </xf>
    <xf numFmtId="0" fontId="34" fillId="17" borderId="89" xfId="14" applyFont="1" applyFill="1" applyBorder="1" applyAlignment="1">
      <alignment horizontal="left" vertical="top"/>
    </xf>
    <xf numFmtId="0" fontId="107" fillId="0" borderId="16" xfId="1" applyFont="1" applyFill="1" applyBorder="1" applyAlignment="1" applyProtection="1">
      <alignment horizontal="center"/>
    </xf>
    <xf numFmtId="0" fontId="107" fillId="0" borderId="0" xfId="1" applyFont="1" applyFill="1" applyBorder="1" applyAlignment="1" applyProtection="1">
      <alignment horizontal="center"/>
    </xf>
    <xf numFmtId="171" fontId="98" fillId="0" borderId="154" xfId="3" applyNumberFormat="1" applyFont="1" applyBorder="1" applyAlignment="1">
      <alignment vertical="center" wrapText="1"/>
    </xf>
    <xf numFmtId="0" fontId="0" fillId="18" borderId="0" xfId="0" applyFill="1" applyBorder="1"/>
    <xf numFmtId="0" fontId="0" fillId="2" borderId="0" xfId="0" applyFill="1"/>
    <xf numFmtId="9" fontId="25" fillId="2" borderId="265" xfId="15" applyFont="1" applyFill="1" applyBorder="1" applyAlignment="1">
      <alignment horizontal="center" vertical="center"/>
    </xf>
    <xf numFmtId="2" fontId="34" fillId="2" borderId="80" xfId="13" applyNumberFormat="1" applyFont="1" applyFill="1" applyBorder="1" applyAlignment="1">
      <alignment horizontal="center"/>
    </xf>
    <xf numFmtId="2" fontId="25" fillId="2" borderId="282" xfId="13" applyNumberFormat="1" applyFont="1" applyFill="1" applyBorder="1" applyAlignment="1">
      <alignment horizontal="center" vertical="center"/>
    </xf>
    <xf numFmtId="2" fontId="25" fillId="2" borderId="0" xfId="13" applyNumberFormat="1" applyFont="1" applyFill="1" applyBorder="1" applyAlignment="1">
      <alignment horizontal="right" vertical="center"/>
    </xf>
    <xf numFmtId="184" fontId="25" fillId="2" borderId="0" xfId="13" applyNumberFormat="1" applyFont="1" applyFill="1" applyBorder="1" applyAlignment="1">
      <alignment horizontal="right" vertical="center"/>
    </xf>
    <xf numFmtId="184" fontId="25" fillId="2" borderId="0" xfId="15" applyNumberFormat="1" applyFont="1" applyFill="1" applyBorder="1" applyAlignment="1">
      <alignment horizontal="right" vertical="center"/>
    </xf>
    <xf numFmtId="2" fontId="25" fillId="14" borderId="282" xfId="13" applyNumberFormat="1" applyFont="1" applyFill="1" applyBorder="1" applyAlignment="1">
      <alignment horizontal="center" vertical="center"/>
    </xf>
    <xf numFmtId="0" fontId="25" fillId="12" borderId="271" xfId="13" applyFont="1" applyFill="1" applyBorder="1" applyAlignment="1">
      <alignment horizontal="center" vertical="center"/>
    </xf>
    <xf numFmtId="2" fontId="25" fillId="14" borderId="80" xfId="13" applyNumberFormat="1" applyFont="1" applyFill="1" applyBorder="1" applyAlignment="1">
      <alignment horizontal="center" vertical="center"/>
    </xf>
    <xf numFmtId="0" fontId="25" fillId="14" borderId="282" xfId="13" applyFont="1" applyFill="1" applyBorder="1"/>
    <xf numFmtId="2" fontId="34" fillId="2" borderId="282" xfId="13" applyNumberFormat="1" applyFont="1" applyFill="1" applyBorder="1" applyAlignment="1">
      <alignment horizontal="center" vertical="center"/>
    </xf>
    <xf numFmtId="0" fontId="25" fillId="21" borderId="0" xfId="13" applyFont="1" applyFill="1"/>
    <xf numFmtId="0" fontId="25" fillId="21" borderId="0" xfId="13" applyFont="1" applyFill="1" applyBorder="1"/>
    <xf numFmtId="0" fontId="61" fillId="21" borderId="0" xfId="13" applyFont="1" applyFill="1"/>
    <xf numFmtId="0" fontId="35" fillId="21" borderId="0" xfId="13" applyFont="1" applyFill="1" applyBorder="1"/>
    <xf numFmtId="0" fontId="35" fillId="21" borderId="0" xfId="13" applyFont="1" applyFill="1"/>
    <xf numFmtId="0" fontId="34" fillId="21" borderId="0" xfId="13" applyFont="1" applyFill="1"/>
    <xf numFmtId="0" fontId="25" fillId="21" borderId="0" xfId="14" applyFont="1" applyFill="1"/>
    <xf numFmtId="0" fontId="113" fillId="21" borderId="0" xfId="14" applyFont="1" applyFill="1"/>
    <xf numFmtId="0" fontId="9" fillId="9" borderId="15" xfId="0" applyFont="1" applyFill="1" applyBorder="1"/>
    <xf numFmtId="0" fontId="9" fillId="9" borderId="0" xfId="0" applyFont="1" applyFill="1" applyBorder="1"/>
    <xf numFmtId="0" fontId="10" fillId="9" borderId="47" xfId="1" applyFont="1" applyFill="1" applyBorder="1" applyAlignment="1">
      <alignment vertical="center" wrapText="1"/>
    </xf>
    <xf numFmtId="0" fontId="25" fillId="44" borderId="0" xfId="13" applyFont="1" applyFill="1"/>
    <xf numFmtId="0" fontId="61" fillId="44" borderId="0" xfId="13" applyFont="1" applyFill="1"/>
    <xf numFmtId="0" fontId="25" fillId="44" borderId="0" xfId="13" applyFont="1" applyFill="1" applyBorder="1"/>
    <xf numFmtId="0" fontId="35" fillId="44" borderId="0" xfId="13" applyFont="1" applyFill="1" applyAlignment="1">
      <alignment horizontal="left" wrapText="1"/>
    </xf>
    <xf numFmtId="0" fontId="61" fillId="44" borderId="0" xfId="13" applyFont="1" applyFill="1" applyAlignment="1">
      <alignment vertical="top"/>
    </xf>
    <xf numFmtId="0" fontId="35" fillId="44" borderId="0" xfId="13" applyFont="1" applyFill="1" applyBorder="1" applyAlignment="1">
      <alignment horizontal="left" wrapText="1"/>
    </xf>
    <xf numFmtId="0" fontId="25" fillId="44" borderId="0" xfId="13" applyFont="1" applyFill="1" applyAlignment="1"/>
    <xf numFmtId="0" fontId="35" fillId="44" borderId="0" xfId="13" applyFont="1" applyFill="1" applyAlignment="1"/>
    <xf numFmtId="194" fontId="25" fillId="44" borderId="0" xfId="13" applyNumberFormat="1" applyFont="1" applyFill="1" applyAlignment="1">
      <alignment horizontal="left"/>
    </xf>
    <xf numFmtId="0" fontId="25" fillId="44" borderId="0" xfId="13" applyFont="1" applyFill="1" applyBorder="1" applyAlignment="1"/>
    <xf numFmtId="0" fontId="35" fillId="44" borderId="0" xfId="13" applyFont="1" applyFill="1" applyBorder="1" applyAlignment="1"/>
    <xf numFmtId="0" fontId="35" fillId="44" borderId="0" xfId="13" applyFont="1" applyFill="1" applyBorder="1"/>
    <xf numFmtId="0" fontId="35" fillId="44" borderId="0" xfId="13" applyFont="1" applyFill="1"/>
    <xf numFmtId="194" fontId="35" fillId="44" borderId="0" xfId="13" applyNumberFormat="1" applyFont="1" applyFill="1" applyAlignment="1">
      <alignment horizontal="left"/>
    </xf>
    <xf numFmtId="0" fontId="34" fillId="44" borderId="0" xfId="13" applyFont="1" applyFill="1"/>
    <xf numFmtId="0" fontId="25" fillId="44" borderId="0" xfId="14" applyFont="1" applyFill="1"/>
    <xf numFmtId="2" fontId="25" fillId="44" borderId="0" xfId="13" applyNumberFormat="1" applyFont="1" applyFill="1"/>
    <xf numFmtId="9" fontId="25" fillId="44" borderId="0" xfId="15" applyFont="1" applyFill="1"/>
    <xf numFmtId="2" fontId="25" fillId="44" borderId="0" xfId="13" applyNumberFormat="1" applyFont="1" applyFill="1" applyBorder="1" applyAlignment="1">
      <alignment horizontal="center" vertical="center"/>
    </xf>
    <xf numFmtId="2" fontId="25" fillId="44" borderId="0" xfId="13" applyNumberFormat="1" applyFont="1" applyFill="1" applyBorder="1" applyAlignment="1">
      <alignment horizontal="center"/>
    </xf>
    <xf numFmtId="2" fontId="34" fillId="44" borderId="0" xfId="13" applyNumberFormat="1" applyFont="1" applyFill="1" applyBorder="1" applyAlignment="1">
      <alignment horizontal="center" vertical="center"/>
    </xf>
    <xf numFmtId="2" fontId="34" fillId="44" borderId="0" xfId="13" applyNumberFormat="1" applyFont="1" applyFill="1" applyBorder="1" applyAlignment="1">
      <alignment horizontal="center"/>
    </xf>
    <xf numFmtId="9" fontId="25" fillId="44" borderId="0" xfId="15" applyFont="1" applyFill="1" applyBorder="1" applyAlignment="1">
      <alignment horizontal="center" vertical="center"/>
    </xf>
    <xf numFmtId="0" fontId="25" fillId="44" borderId="0" xfId="13" applyFont="1" applyFill="1" applyBorder="1" applyAlignment="1">
      <alignment horizontal="left" vertical="top" wrapText="1"/>
    </xf>
    <xf numFmtId="184" fontId="25" fillId="44" borderId="0" xfId="13" applyNumberFormat="1" applyFont="1" applyFill="1" applyBorder="1" applyAlignment="1">
      <alignment horizontal="center" vertical="center"/>
    </xf>
    <xf numFmtId="9" fontId="34" fillId="44" borderId="0" xfId="15" applyFont="1" applyFill="1" applyBorder="1" applyAlignment="1">
      <alignment horizontal="center"/>
    </xf>
    <xf numFmtId="184" fontId="25" fillId="44" borderId="0" xfId="15" applyNumberFormat="1" applyFont="1" applyFill="1" applyBorder="1" applyAlignment="1">
      <alignment horizontal="center" vertical="center"/>
    </xf>
    <xf numFmtId="188" fontId="25" fillId="44" borderId="0" xfId="13" applyNumberFormat="1" applyFont="1" applyFill="1" applyBorder="1"/>
    <xf numFmtId="9" fontId="25" fillId="44" borderId="0" xfId="15" applyFont="1" applyFill="1" applyBorder="1" applyAlignment="1">
      <alignment horizontal="center"/>
    </xf>
    <xf numFmtId="9" fontId="25" fillId="44" borderId="0" xfId="15" applyNumberFormat="1" applyFont="1" applyFill="1" applyBorder="1" applyAlignment="1">
      <alignment horizontal="center"/>
    </xf>
    <xf numFmtId="3" fontId="25" fillId="44" borderId="0" xfId="13" applyNumberFormat="1" applyFont="1" applyFill="1" applyBorder="1" applyAlignment="1">
      <alignment horizontal="center" vertical="center"/>
    </xf>
    <xf numFmtId="0" fontId="34" fillId="44" borderId="0" xfId="13" applyFont="1" applyFill="1" applyBorder="1" applyAlignment="1">
      <alignment vertical="center"/>
    </xf>
    <xf numFmtId="9" fontId="34" fillId="44" borderId="0" xfId="15" applyFont="1" applyFill="1" applyBorder="1" applyAlignment="1">
      <alignment horizontal="center" vertical="center"/>
    </xf>
    <xf numFmtId="3" fontId="34" fillId="44" borderId="0" xfId="13" applyNumberFormat="1" applyFont="1" applyFill="1" applyBorder="1" applyAlignment="1">
      <alignment horizontal="center" vertical="center"/>
    </xf>
    <xf numFmtId="2" fontId="34" fillId="44" borderId="0" xfId="13" applyNumberFormat="1" applyFont="1" applyFill="1"/>
    <xf numFmtId="0" fontId="34" fillId="44" borderId="274" xfId="13" applyFont="1" applyFill="1" applyBorder="1"/>
    <xf numFmtId="2" fontId="34" fillId="44" borderId="274" xfId="13" applyNumberFormat="1" applyFont="1" applyFill="1" applyBorder="1"/>
    <xf numFmtId="0" fontId="35" fillId="44" borderId="274" xfId="13" applyFont="1" applyFill="1" applyBorder="1" applyAlignment="1"/>
    <xf numFmtId="0" fontId="105" fillId="44" borderId="274" xfId="13" applyFont="1" applyFill="1" applyBorder="1" applyAlignment="1">
      <alignment vertical="top"/>
    </xf>
    <xf numFmtId="0" fontId="25" fillId="44" borderId="274" xfId="13" applyFont="1" applyFill="1" applyBorder="1"/>
    <xf numFmtId="2" fontId="25" fillId="44" borderId="274" xfId="13" applyNumberFormat="1" applyFont="1" applyFill="1" applyBorder="1"/>
    <xf numFmtId="0" fontId="105" fillId="44" borderId="274" xfId="13" applyFont="1" applyFill="1" applyBorder="1"/>
    <xf numFmtId="0" fontId="61" fillId="44" borderId="0" xfId="13" applyFont="1" applyFill="1" applyBorder="1"/>
    <xf numFmtId="0" fontId="47" fillId="44" borderId="0" xfId="13" applyFont="1" applyFill="1" applyBorder="1"/>
    <xf numFmtId="9" fontId="25" fillId="44" borderId="0" xfId="15" applyFont="1" applyFill="1" applyBorder="1"/>
    <xf numFmtId="0" fontId="25" fillId="44" borderId="0" xfId="13" applyFont="1" applyFill="1" applyBorder="1" applyAlignment="1">
      <alignment horizontal="center" vertical="center"/>
    </xf>
    <xf numFmtId="0" fontId="25" fillId="44" borderId="0" xfId="13" applyFont="1" applyFill="1" applyBorder="1" applyAlignment="1">
      <alignment horizontal="center"/>
    </xf>
    <xf numFmtId="0" fontId="25" fillId="44" borderId="0" xfId="13" applyFont="1" applyFill="1" applyBorder="1" applyAlignment="1">
      <alignment vertical="center"/>
    </xf>
    <xf numFmtId="0" fontId="34" fillId="44" borderId="0" xfId="13" applyFont="1" applyFill="1" applyBorder="1" applyAlignment="1">
      <alignment horizontal="left" vertical="center"/>
    </xf>
    <xf numFmtId="2" fontId="37" fillId="44" borderId="0" xfId="13" applyNumberFormat="1" applyFont="1" applyFill="1" applyBorder="1" applyAlignment="1">
      <alignment horizontal="center"/>
    </xf>
    <xf numFmtId="9" fontId="47" fillId="44" borderId="0" xfId="15" applyFont="1" applyFill="1" applyBorder="1" applyAlignment="1">
      <alignment horizontal="center" vertical="center"/>
    </xf>
    <xf numFmtId="0" fontId="47" fillId="44" borderId="0" xfId="13" applyFont="1" applyFill="1" applyBorder="1" applyAlignment="1">
      <alignment horizontal="center"/>
    </xf>
    <xf numFmtId="4" fontId="0" fillId="44" borderId="0" xfId="0" applyNumberFormat="1" applyFill="1" applyBorder="1" applyAlignment="1">
      <alignment horizontal="center" vertical="top" wrapText="1"/>
    </xf>
    <xf numFmtId="4" fontId="119" fillId="44" borderId="0" xfId="0" applyNumberFormat="1" applyFont="1" applyFill="1" applyBorder="1" applyAlignment="1">
      <alignment horizontal="center" vertical="top" wrapText="1"/>
    </xf>
    <xf numFmtId="0" fontId="54" fillId="44" borderId="0" xfId="13" applyFont="1" applyFill="1" applyBorder="1" applyAlignment="1">
      <alignment vertical="center"/>
    </xf>
    <xf numFmtId="167" fontId="25" fillId="44" borderId="0" xfId="13" applyNumberFormat="1" applyFont="1" applyFill="1" applyBorder="1" applyAlignment="1">
      <alignment horizontal="center" vertical="center"/>
    </xf>
    <xf numFmtId="184" fontId="25" fillId="44" borderId="0" xfId="13" applyNumberFormat="1" applyFont="1" applyFill="1" applyBorder="1" applyAlignment="1">
      <alignment horizontal="left" vertical="top" wrapText="1"/>
    </xf>
    <xf numFmtId="0" fontId="113" fillId="44" borderId="0" xfId="14" applyFont="1" applyFill="1" applyBorder="1"/>
    <xf numFmtId="0" fontId="113" fillId="2" borderId="0" xfId="14" applyFont="1" applyFill="1" applyBorder="1"/>
    <xf numFmtId="0" fontId="30" fillId="44" borderId="0" xfId="13" applyFont="1" applyFill="1" applyBorder="1" applyAlignment="1">
      <alignment vertical="center"/>
    </xf>
    <xf numFmtId="10" fontId="25" fillId="44" borderId="0" xfId="15" applyNumberFormat="1" applyFont="1" applyFill="1" applyBorder="1"/>
    <xf numFmtId="3" fontId="25" fillId="44" borderId="0" xfId="13" applyNumberFormat="1" applyFont="1" applyFill="1" applyBorder="1"/>
    <xf numFmtId="171" fontId="25" fillId="44" borderId="0" xfId="16" applyNumberFormat="1" applyFont="1" applyFill="1" applyBorder="1" applyAlignment="1">
      <alignment horizontal="center" vertical="center"/>
    </xf>
    <xf numFmtId="9" fontId="25" fillId="44" borderId="0" xfId="15" applyNumberFormat="1" applyFont="1" applyFill="1" applyBorder="1"/>
    <xf numFmtId="4" fontId="25" fillId="44" borderId="0" xfId="13" applyNumberFormat="1" applyFont="1" applyFill="1" applyBorder="1" applyAlignment="1">
      <alignment horizontal="center" vertical="center"/>
    </xf>
    <xf numFmtId="175" fontId="25" fillId="44" borderId="0" xfId="15" applyNumberFormat="1" applyFont="1" applyFill="1" applyBorder="1"/>
    <xf numFmtId="0" fontId="109" fillId="44" borderId="0" xfId="13" applyFill="1" applyBorder="1" applyAlignment="1">
      <alignment wrapText="1"/>
    </xf>
    <xf numFmtId="0" fontId="0" fillId="0" borderId="0" xfId="0" applyBorder="1" applyAlignment="1">
      <alignment horizontal="left" vertical="top" wrapText="1"/>
    </xf>
    <xf numFmtId="2" fontId="30" fillId="44" borderId="0" xfId="13" applyNumberFormat="1" applyFont="1" applyFill="1" applyBorder="1" applyAlignment="1">
      <alignment horizontal="center" vertical="center"/>
    </xf>
    <xf numFmtId="3" fontId="25" fillId="44" borderId="0" xfId="15" applyNumberFormat="1" applyFont="1" applyFill="1" applyBorder="1" applyAlignment="1">
      <alignment horizontal="center" vertical="center"/>
    </xf>
    <xf numFmtId="3" fontId="34" fillId="44" borderId="0" xfId="15" applyNumberFormat="1" applyFont="1" applyFill="1" applyBorder="1" applyAlignment="1">
      <alignment horizontal="center" vertical="center"/>
    </xf>
    <xf numFmtId="3" fontId="30" fillId="44" borderId="0" xfId="13" applyNumberFormat="1" applyFont="1" applyFill="1" applyBorder="1" applyAlignment="1">
      <alignment horizontal="center" vertical="center"/>
    </xf>
    <xf numFmtId="0" fontId="25" fillId="9" borderId="0" xfId="13" applyFont="1" applyFill="1"/>
    <xf numFmtId="0" fontId="35" fillId="9" borderId="0" xfId="13" applyFont="1" applyFill="1"/>
    <xf numFmtId="0" fontId="25" fillId="9" borderId="0" xfId="14" applyFont="1" applyFill="1"/>
    <xf numFmtId="0" fontId="113" fillId="9" borderId="0" xfId="14" applyFont="1" applyFill="1"/>
    <xf numFmtId="0" fontId="61" fillId="44" borderId="274" xfId="13" applyFont="1" applyFill="1" applyBorder="1"/>
    <xf numFmtId="43" fontId="25" fillId="44" borderId="274" xfId="3" applyFont="1" applyFill="1" applyBorder="1"/>
    <xf numFmtId="43" fontId="54" fillId="44" borderId="274" xfId="3" applyFont="1" applyFill="1" applyBorder="1" applyAlignment="1" applyProtection="1">
      <alignment horizontal="left" vertical="center" wrapText="1"/>
      <protection locked="0"/>
    </xf>
    <xf numFmtId="0" fontId="25" fillId="44" borderId="274" xfId="13" applyFont="1" applyFill="1" applyBorder="1" applyAlignment="1">
      <alignment vertical="center"/>
    </xf>
    <xf numFmtId="43" fontId="25" fillId="44" borderId="274" xfId="3" applyFont="1" applyFill="1" applyBorder="1" applyAlignment="1">
      <alignment vertical="center"/>
    </xf>
    <xf numFmtId="1" fontId="25" fillId="44" borderId="274" xfId="13" applyNumberFormat="1" applyFont="1" applyFill="1" applyBorder="1" applyAlignment="1">
      <alignment horizontal="center" vertical="center"/>
    </xf>
    <xf numFmtId="1" fontId="25" fillId="44" borderId="287" xfId="13" applyNumberFormat="1" applyFont="1" applyFill="1" applyBorder="1" applyAlignment="1">
      <alignment horizontal="center" vertical="center"/>
    </xf>
    <xf numFmtId="43" fontId="54" fillId="44" borderId="274" xfId="3" applyFont="1" applyFill="1" applyBorder="1" applyAlignment="1">
      <alignment vertical="center"/>
    </xf>
    <xf numFmtId="0" fontId="54" fillId="44" borderId="274" xfId="13" applyFont="1" applyFill="1" applyBorder="1" applyAlignment="1">
      <alignment vertical="center"/>
    </xf>
    <xf numFmtId="0" fontId="25" fillId="45" borderId="0" xfId="13" applyFont="1" applyFill="1"/>
    <xf numFmtId="2" fontId="25" fillId="2" borderId="0" xfId="15" applyNumberFormat="1" applyFont="1" applyFill="1" applyBorder="1" applyAlignment="1">
      <alignment horizontal="center" vertical="center"/>
    </xf>
    <xf numFmtId="4" fontId="25" fillId="2" borderId="0" xfId="13" applyNumberFormat="1" applyFont="1" applyFill="1" applyBorder="1" applyAlignment="1">
      <alignment horizontal="center" vertical="center"/>
    </xf>
    <xf numFmtId="0" fontId="0" fillId="18" borderId="106" xfId="0" applyFill="1" applyBorder="1"/>
    <xf numFmtId="0" fontId="0" fillId="18" borderId="107" xfId="0" applyFill="1" applyBorder="1"/>
    <xf numFmtId="0" fontId="0" fillId="18" borderId="108" xfId="0" applyFill="1" applyBorder="1"/>
    <xf numFmtId="0" fontId="24" fillId="18" borderId="23" xfId="0" applyFont="1" applyFill="1" applyBorder="1"/>
    <xf numFmtId="0" fontId="24" fillId="18" borderId="0" xfId="0" applyFont="1" applyFill="1" applyBorder="1" applyAlignment="1">
      <alignment horizontal="right"/>
    </xf>
    <xf numFmtId="0" fontId="0" fillId="18" borderId="20" xfId="0" applyFill="1" applyBorder="1"/>
    <xf numFmtId="0" fontId="16" fillId="18" borderId="23" xfId="1" applyFont="1" applyFill="1" applyBorder="1"/>
    <xf numFmtId="0" fontId="16" fillId="18" borderId="0" xfId="1" applyFont="1" applyFill="1" applyBorder="1" applyAlignment="1">
      <alignment horizontal="left" vertical="center"/>
    </xf>
    <xf numFmtId="0" fontId="1" fillId="18" borderId="20" xfId="1" applyFill="1" applyBorder="1"/>
    <xf numFmtId="0" fontId="1" fillId="18" borderId="105" xfId="1" applyFill="1" applyBorder="1"/>
    <xf numFmtId="0" fontId="16" fillId="18" borderId="105" xfId="1" applyFont="1" applyFill="1" applyBorder="1"/>
    <xf numFmtId="0" fontId="16" fillId="18" borderId="110" xfId="1" applyFont="1" applyFill="1" applyBorder="1"/>
    <xf numFmtId="0" fontId="32" fillId="8" borderId="267" xfId="13" applyFont="1" applyFill="1" applyBorder="1" applyAlignment="1">
      <alignment horizontal="center"/>
    </xf>
    <xf numFmtId="0" fontId="19" fillId="12" borderId="293" xfId="13" applyFont="1" applyFill="1" applyBorder="1" applyAlignment="1">
      <alignment horizontal="center"/>
    </xf>
    <xf numFmtId="1" fontId="20" fillId="14" borderId="280" xfId="13" applyNumberFormat="1" applyFont="1" applyFill="1" applyBorder="1" applyAlignment="1">
      <alignment horizontal="center"/>
    </xf>
    <xf numFmtId="3" fontId="19" fillId="12" borderId="287" xfId="13" applyNumberFormat="1" applyFont="1" applyFill="1" applyBorder="1" applyAlignment="1">
      <alignment horizontal="center"/>
    </xf>
    <xf numFmtId="4" fontId="19" fillId="12" borderId="274" xfId="13" applyNumberFormat="1" applyFont="1" applyFill="1" applyBorder="1" applyAlignment="1">
      <alignment horizontal="center"/>
    </xf>
    <xf numFmtId="170" fontId="30" fillId="8" borderId="295" xfId="5" applyNumberFormat="1" applyFont="1" applyFill="1" applyBorder="1" applyAlignment="1">
      <alignment horizontal="center"/>
    </xf>
    <xf numFmtId="171" fontId="25" fillId="2" borderId="0" xfId="3" applyNumberFormat="1" applyFont="1" applyFill="1" applyBorder="1" applyAlignment="1">
      <alignment horizontal="right"/>
    </xf>
    <xf numFmtId="171" fontId="25" fillId="14" borderId="282" xfId="3" applyNumberFormat="1" applyFont="1" applyFill="1" applyBorder="1" applyAlignment="1">
      <alignment horizontal="right"/>
    </xf>
    <xf numFmtId="171" fontId="25" fillId="2" borderId="11" xfId="3" applyNumberFormat="1" applyFont="1" applyFill="1" applyBorder="1" applyAlignment="1">
      <alignment horizontal="right"/>
    </xf>
    <xf numFmtId="1" fontId="20" fillId="14" borderId="287" xfId="13" applyNumberFormat="1" applyFont="1" applyFill="1" applyBorder="1" applyAlignment="1">
      <alignment horizontal="center"/>
    </xf>
    <xf numFmtId="0" fontId="19" fillId="12" borderId="296" xfId="13" applyFont="1" applyFill="1" applyBorder="1" applyAlignment="1">
      <alignment horizontal="center"/>
    </xf>
    <xf numFmtId="43" fontId="109" fillId="14" borderId="280" xfId="3" applyFont="1" applyFill="1" applyBorder="1"/>
    <xf numFmtId="1" fontId="20" fillId="0" borderId="33" xfId="13" applyNumberFormat="1" applyFont="1" applyFill="1" applyBorder="1" applyAlignment="1">
      <alignment horizontal="center"/>
    </xf>
    <xf numFmtId="0" fontId="24" fillId="18" borderId="0" xfId="0" applyFont="1" applyFill="1" applyBorder="1" applyAlignment="1">
      <alignment horizontal="left"/>
    </xf>
    <xf numFmtId="0" fontId="24" fillId="18" borderId="23" xfId="0" applyFont="1" applyFill="1" applyBorder="1" applyAlignment="1"/>
    <xf numFmtId="2" fontId="34" fillId="14" borderId="282" xfId="13" applyNumberFormat="1" applyFont="1" applyFill="1" applyBorder="1" applyAlignment="1">
      <alignment horizontal="center" vertical="center"/>
    </xf>
    <xf numFmtId="2" fontId="25" fillId="14" borderId="0" xfId="15" applyNumberFormat="1" applyFont="1" applyFill="1" applyBorder="1" applyAlignment="1">
      <alignment horizontal="center" vertical="center"/>
    </xf>
    <xf numFmtId="0" fontId="25" fillId="2" borderId="0" xfId="13" applyFont="1" applyFill="1" applyBorder="1" applyAlignment="1">
      <alignment horizontal="left" vertical="top"/>
    </xf>
    <xf numFmtId="43" fontId="109" fillId="14" borderId="297" xfId="3" applyFont="1" applyFill="1" applyBorder="1"/>
    <xf numFmtId="171" fontId="20" fillId="0" borderId="33" xfId="3" applyNumberFormat="1" applyFont="1" applyFill="1" applyBorder="1" applyAlignment="1">
      <alignment horizontal="center"/>
    </xf>
    <xf numFmtId="0" fontId="19" fillId="12" borderId="299" xfId="13" applyFont="1" applyFill="1" applyBorder="1" applyAlignment="1">
      <alignment horizontal="center"/>
    </xf>
    <xf numFmtId="171" fontId="25" fillId="2" borderId="67" xfId="3" applyNumberFormat="1" applyFont="1" applyFill="1" applyBorder="1" applyAlignment="1">
      <alignment horizontal="right"/>
    </xf>
    <xf numFmtId="170" fontId="25" fillId="14" borderId="45" xfId="5" applyNumberFormat="1" applyFont="1" applyFill="1" applyBorder="1"/>
    <xf numFmtId="170" fontId="25" fillId="14" borderId="31" xfId="5" applyNumberFormat="1" applyFont="1" applyFill="1" applyBorder="1"/>
    <xf numFmtId="170" fontId="25" fillId="14" borderId="46" xfId="5" applyNumberFormat="1" applyFont="1" applyFill="1" applyBorder="1"/>
    <xf numFmtId="0" fontId="1" fillId="42" borderId="43" xfId="1" applyFill="1" applyBorder="1" applyAlignment="1">
      <alignment wrapText="1"/>
    </xf>
    <xf numFmtId="0" fontId="1" fillId="42" borderId="30" xfId="1" applyFill="1" applyBorder="1"/>
    <xf numFmtId="0" fontId="1" fillId="42" borderId="30" xfId="1" applyFill="1" applyBorder="1" applyAlignment="1">
      <alignment wrapText="1"/>
    </xf>
    <xf numFmtId="0" fontId="18" fillId="42" borderId="30" xfId="1" applyFont="1" applyFill="1" applyBorder="1"/>
    <xf numFmtId="0" fontId="0" fillId="42" borderId="30" xfId="0" applyFill="1" applyBorder="1"/>
    <xf numFmtId="0" fontId="1" fillId="42" borderId="47" xfId="1" applyFill="1" applyBorder="1" applyAlignment="1">
      <alignment wrapText="1"/>
    </xf>
    <xf numFmtId="0" fontId="1" fillId="42" borderId="47" xfId="1" applyFill="1" applyBorder="1"/>
    <xf numFmtId="0" fontId="1" fillId="42" borderId="15" xfId="1" applyFill="1" applyBorder="1" applyAlignment="1">
      <alignment wrapText="1"/>
    </xf>
    <xf numFmtId="0" fontId="1" fillId="42" borderId="0" xfId="1" applyFill="1" applyBorder="1"/>
    <xf numFmtId="0" fontId="1" fillId="42" borderId="0" xfId="1" applyFill="1" applyBorder="1" applyAlignment="1">
      <alignment wrapText="1"/>
    </xf>
    <xf numFmtId="0" fontId="18" fillId="42" borderId="0" xfId="1" applyFont="1" applyFill="1" applyBorder="1"/>
    <xf numFmtId="0" fontId="0" fillId="42" borderId="0" xfId="0" applyFill="1" applyBorder="1"/>
    <xf numFmtId="0" fontId="1" fillId="42" borderId="49" xfId="1" applyFill="1" applyBorder="1" applyAlignment="1">
      <alignment wrapText="1"/>
    </xf>
    <xf numFmtId="0" fontId="1" fillId="42" borderId="49" xfId="1" applyFill="1" applyBorder="1"/>
    <xf numFmtId="3" fontId="1" fillId="42" borderId="49" xfId="1" applyNumberFormat="1" applyFill="1" applyBorder="1"/>
    <xf numFmtId="0" fontId="1" fillId="3" borderId="15" xfId="1" applyFill="1" applyBorder="1" applyAlignment="1">
      <alignment wrapText="1"/>
    </xf>
    <xf numFmtId="0" fontId="1" fillId="3" borderId="0" xfId="1" applyFill="1" applyBorder="1"/>
    <xf numFmtId="0" fontId="1" fillId="3" borderId="0" xfId="1" applyFill="1" applyBorder="1" applyAlignment="1">
      <alignment wrapText="1"/>
    </xf>
    <xf numFmtId="0" fontId="18" fillId="3" borderId="0" xfId="1" applyFont="1" applyFill="1" applyBorder="1"/>
    <xf numFmtId="0" fontId="0" fillId="3" borderId="0" xfId="0" applyFill="1" applyBorder="1"/>
    <xf numFmtId="0" fontId="1" fillId="3" borderId="49" xfId="1" applyFill="1" applyBorder="1" applyAlignment="1">
      <alignment wrapText="1"/>
    </xf>
    <xf numFmtId="0" fontId="1" fillId="3" borderId="49" xfId="1" applyFill="1" applyBorder="1"/>
    <xf numFmtId="3" fontId="1" fillId="3" borderId="49" xfId="1" applyNumberFormat="1" applyFill="1" applyBorder="1"/>
    <xf numFmtId="0" fontId="1" fillId="42" borderId="15" xfId="1" applyFont="1" applyFill="1" applyBorder="1" applyAlignment="1">
      <alignment wrapText="1"/>
    </xf>
    <xf numFmtId="0" fontId="1" fillId="42" borderId="0" xfId="1" applyFont="1" applyFill="1" applyBorder="1"/>
    <xf numFmtId="0" fontId="1" fillId="42" borderId="0" xfId="1" applyFont="1" applyFill="1" applyBorder="1" applyAlignment="1">
      <alignment wrapText="1"/>
    </xf>
    <xf numFmtId="0" fontId="35" fillId="42" borderId="0" xfId="0" applyFont="1" applyFill="1" applyBorder="1"/>
    <xf numFmtId="0" fontId="18" fillId="42" borderId="0" xfId="1" applyFont="1" applyFill="1" applyBorder="1" applyAlignment="1">
      <alignment wrapText="1"/>
    </xf>
    <xf numFmtId="0" fontId="1" fillId="3" borderId="45" xfId="1" applyFill="1" applyBorder="1" applyAlignment="1">
      <alignment wrapText="1"/>
    </xf>
    <xf numFmtId="0" fontId="1" fillId="3" borderId="31" xfId="1" applyFill="1" applyBorder="1"/>
    <xf numFmtId="0" fontId="1" fillId="3" borderId="31" xfId="1" applyFill="1" applyBorder="1" applyAlignment="1">
      <alignment wrapText="1"/>
    </xf>
    <xf numFmtId="0" fontId="18" fillId="3" borderId="31" xfId="1" applyFont="1" applyFill="1" applyBorder="1" applyAlignment="1">
      <alignment wrapText="1"/>
    </xf>
    <xf numFmtId="0" fontId="0" fillId="3" borderId="31" xfId="0" applyFill="1" applyBorder="1"/>
    <xf numFmtId="0" fontId="1" fillId="3" borderId="48" xfId="1" applyFill="1" applyBorder="1" applyAlignment="1">
      <alignment wrapText="1"/>
    </xf>
    <xf numFmtId="0" fontId="1" fillId="3" borderId="48" xfId="1" applyFill="1" applyBorder="1"/>
    <xf numFmtId="0" fontId="0" fillId="3" borderId="0" xfId="0" applyFill="1" applyBorder="1" applyAlignment="1">
      <alignment wrapText="1"/>
    </xf>
    <xf numFmtId="0" fontId="1" fillId="3" borderId="16" xfId="1" applyFill="1" applyBorder="1" applyAlignment="1">
      <alignment wrapText="1"/>
    </xf>
    <xf numFmtId="43" fontId="0" fillId="3" borderId="0" xfId="0" applyNumberFormat="1" applyFill="1" applyBorder="1"/>
    <xf numFmtId="0" fontId="1" fillId="42" borderId="44" xfId="1" applyFill="1" applyBorder="1" applyAlignment="1">
      <alignment wrapText="1"/>
    </xf>
    <xf numFmtId="43" fontId="0" fillId="42" borderId="30" xfId="0" applyNumberFormat="1" applyFill="1" applyBorder="1"/>
    <xf numFmtId="0" fontId="0" fillId="42" borderId="0" xfId="0" applyFill="1" applyBorder="1" applyAlignment="1">
      <alignment wrapText="1"/>
    </xf>
    <xf numFmtId="0" fontId="1" fillId="42" borderId="16" xfId="1" applyFill="1" applyBorder="1" applyAlignment="1">
      <alignment wrapText="1"/>
    </xf>
    <xf numFmtId="43" fontId="0" fillId="42" borderId="0" xfId="0" applyNumberFormat="1" applyFill="1" applyBorder="1"/>
    <xf numFmtId="0" fontId="1" fillId="42" borderId="45" xfId="1" applyFill="1" applyBorder="1" applyAlignment="1">
      <alignment wrapText="1"/>
    </xf>
    <xf numFmtId="0" fontId="1" fillId="42" borderId="31" xfId="1" applyFill="1" applyBorder="1"/>
    <xf numFmtId="0" fontId="1" fillId="42" borderId="31" xfId="1" applyFill="1" applyBorder="1" applyAlignment="1">
      <alignment wrapText="1"/>
    </xf>
    <xf numFmtId="0" fontId="0" fillId="42" borderId="31" xfId="0" applyFill="1" applyBorder="1"/>
    <xf numFmtId="0" fontId="1" fillId="42" borderId="46" xfId="1" applyFill="1" applyBorder="1" applyAlignment="1">
      <alignment wrapText="1"/>
    </xf>
    <xf numFmtId="0" fontId="1" fillId="42" borderId="48" xfId="1" applyFill="1" applyBorder="1"/>
    <xf numFmtId="43" fontId="0" fillId="42" borderId="31" xfId="0" applyNumberFormat="1" applyFill="1" applyBorder="1"/>
    <xf numFmtId="0" fontId="0" fillId="42" borderId="30" xfId="0" applyFill="1" applyBorder="1" applyAlignment="1">
      <alignment wrapText="1"/>
    </xf>
    <xf numFmtId="43" fontId="0" fillId="42" borderId="43" xfId="0" applyNumberFormat="1" applyFill="1" applyBorder="1"/>
    <xf numFmtId="0" fontId="0" fillId="42" borderId="31" xfId="0" applyFill="1" applyBorder="1" applyAlignment="1">
      <alignment wrapText="1"/>
    </xf>
    <xf numFmtId="43" fontId="0" fillId="42" borderId="45" xfId="0" applyNumberFormat="1" applyFill="1" applyBorder="1"/>
    <xf numFmtId="43" fontId="1" fillId="42" borderId="30" xfId="3" applyFont="1" applyFill="1" applyBorder="1"/>
    <xf numFmtId="43" fontId="0" fillId="42" borderId="31" xfId="3" applyFont="1" applyFill="1" applyBorder="1"/>
    <xf numFmtId="43" fontId="1" fillId="42" borderId="31" xfId="3" applyFont="1" applyFill="1" applyBorder="1"/>
    <xf numFmtId="171" fontId="0" fillId="42" borderId="0" xfId="0" applyNumberFormat="1" applyFill="1"/>
    <xf numFmtId="43" fontId="0" fillId="42" borderId="47" xfId="0" applyNumberFormat="1" applyFill="1" applyBorder="1"/>
    <xf numFmtId="43" fontId="0" fillId="42" borderId="49" xfId="0" applyNumberFormat="1" applyFill="1" applyBorder="1"/>
    <xf numFmtId="43" fontId="0" fillId="42" borderId="48" xfId="0" applyNumberFormat="1" applyFill="1" applyBorder="1"/>
    <xf numFmtId="0" fontId="0" fillId="46" borderId="30" xfId="0" applyFill="1" applyBorder="1"/>
    <xf numFmtId="0" fontId="0" fillId="46" borderId="0" xfId="0" applyFill="1" applyBorder="1"/>
    <xf numFmtId="0" fontId="1" fillId="46" borderId="0" xfId="1" applyFill="1" applyBorder="1"/>
    <xf numFmtId="0" fontId="0" fillId="46" borderId="31" xfId="0" applyFill="1" applyBorder="1"/>
    <xf numFmtId="171" fontId="1" fillId="42" borderId="0" xfId="1" applyNumberFormat="1" applyFill="1" applyBorder="1"/>
    <xf numFmtId="171" fontId="1" fillId="42" borderId="43" xfId="1" applyNumberFormat="1" applyFill="1" applyBorder="1"/>
    <xf numFmtId="171" fontId="1" fillId="42" borderId="30" xfId="1" applyNumberFormat="1" applyFill="1" applyBorder="1"/>
    <xf numFmtId="171" fontId="1" fillId="42" borderId="44" xfId="1" applyNumberFormat="1" applyFill="1" applyBorder="1"/>
    <xf numFmtId="171" fontId="1" fillId="42" borderId="15" xfId="1" applyNumberFormat="1" applyFill="1" applyBorder="1"/>
    <xf numFmtId="171" fontId="1" fillId="42" borderId="16" xfId="1" applyNumberFormat="1" applyFill="1" applyBorder="1"/>
    <xf numFmtId="171" fontId="1" fillId="42" borderId="45" xfId="1" applyNumberFormat="1" applyFill="1" applyBorder="1"/>
    <xf numFmtId="171" fontId="1" fillId="42" borderId="31" xfId="1" applyNumberFormat="1" applyFill="1" applyBorder="1"/>
    <xf numFmtId="171" fontId="1" fillId="42" borderId="46" xfId="1" applyNumberFormat="1" applyFill="1" applyBorder="1"/>
    <xf numFmtId="171" fontId="1" fillId="42" borderId="43" xfId="1" applyNumberFormat="1" applyFill="1" applyBorder="1" applyAlignment="1">
      <alignment wrapText="1"/>
    </xf>
    <xf numFmtId="171" fontId="1" fillId="42" borderId="30" xfId="1" applyNumberFormat="1" applyFill="1" applyBorder="1" applyAlignment="1">
      <alignment wrapText="1"/>
    </xf>
    <xf numFmtId="171" fontId="1" fillId="42" borderId="15" xfId="1" applyNumberFormat="1" applyFill="1" applyBorder="1" applyAlignment="1">
      <alignment wrapText="1"/>
    </xf>
    <xf numFmtId="171" fontId="1" fillId="42" borderId="0" xfId="1" applyNumberFormat="1" applyFill="1" applyBorder="1" applyAlignment="1">
      <alignment wrapText="1"/>
    </xf>
    <xf numFmtId="171" fontId="1" fillId="42" borderId="45" xfId="1" applyNumberFormat="1" applyFill="1" applyBorder="1" applyAlignment="1">
      <alignment wrapText="1"/>
    </xf>
    <xf numFmtId="171" fontId="1" fillId="42" borderId="31" xfId="1" applyNumberFormat="1" applyFill="1" applyBorder="1" applyAlignment="1">
      <alignment wrapText="1"/>
    </xf>
    <xf numFmtId="0" fontId="23" fillId="9" borderId="16" xfId="0" applyFont="1" applyFill="1" applyBorder="1"/>
    <xf numFmtId="0" fontId="23" fillId="9" borderId="63" xfId="0" applyFont="1" applyFill="1" applyBorder="1" applyAlignment="1">
      <alignment vertical="top" wrapText="1"/>
    </xf>
    <xf numFmtId="43" fontId="0" fillId="42" borderId="49" xfId="3" applyFont="1" applyFill="1" applyBorder="1"/>
    <xf numFmtId="43" fontId="0" fillId="42" borderId="48" xfId="3" applyFont="1" applyFill="1" applyBorder="1"/>
    <xf numFmtId="43" fontId="0" fillId="42" borderId="15" xfId="3" applyFont="1" applyFill="1" applyBorder="1"/>
    <xf numFmtId="43" fontId="0" fillId="42" borderId="16" xfId="3" applyFont="1" applyFill="1" applyBorder="1"/>
    <xf numFmtId="43" fontId="0" fillId="42" borderId="45" xfId="3" applyFont="1" applyFill="1" applyBorder="1"/>
    <xf numFmtId="43" fontId="0" fillId="42" borderId="46" xfId="3" applyFont="1" applyFill="1" applyBorder="1"/>
    <xf numFmtId="0" fontId="0" fillId="46" borderId="47" xfId="0" applyFill="1" applyBorder="1"/>
    <xf numFmtId="0" fontId="1" fillId="46" borderId="49" xfId="1" applyFill="1" applyBorder="1"/>
    <xf numFmtId="0" fontId="0" fillId="46" borderId="48" xfId="0" applyFill="1" applyBorder="1"/>
    <xf numFmtId="0" fontId="0" fillId="46" borderId="43" xfId="0" applyFill="1" applyBorder="1"/>
    <xf numFmtId="0" fontId="1" fillId="46" borderId="44" xfId="1" applyFill="1" applyBorder="1"/>
    <xf numFmtId="0" fontId="1" fillId="46" borderId="15" xfId="1" applyFill="1" applyBorder="1"/>
    <xf numFmtId="0" fontId="1" fillId="46" borderId="16" xfId="1" applyFill="1" applyBorder="1"/>
    <xf numFmtId="0" fontId="1" fillId="46" borderId="45" xfId="1" applyFill="1" applyBorder="1"/>
    <xf numFmtId="0" fontId="1" fillId="46" borderId="46" xfId="1" applyFill="1" applyBorder="1"/>
    <xf numFmtId="0" fontId="1" fillId="46" borderId="48" xfId="1" applyFill="1" applyBorder="1"/>
    <xf numFmtId="0" fontId="0" fillId="46" borderId="44" xfId="0" applyFill="1" applyBorder="1"/>
    <xf numFmtId="0" fontId="0" fillId="46" borderId="15" xfId="0" applyFill="1" applyBorder="1"/>
    <xf numFmtId="0" fontId="0" fillId="46" borderId="16" xfId="0" applyFill="1" applyBorder="1"/>
    <xf numFmtId="0" fontId="0" fillId="46" borderId="45" xfId="0" applyFill="1" applyBorder="1"/>
    <xf numFmtId="0" fontId="0" fillId="46" borderId="46" xfId="0" applyFill="1" applyBorder="1"/>
    <xf numFmtId="1" fontId="101" fillId="9" borderId="49" xfId="0" applyNumberFormat="1" applyFont="1" applyFill="1" applyBorder="1" applyAlignment="1" applyProtection="1">
      <alignment horizontal="center" vertical="center"/>
    </xf>
    <xf numFmtId="0" fontId="0" fillId="46" borderId="49" xfId="0" applyFill="1" applyBorder="1"/>
    <xf numFmtId="0" fontId="0" fillId="42" borderId="43" xfId="0" applyFill="1" applyBorder="1" applyAlignment="1">
      <alignment wrapText="1"/>
    </xf>
    <xf numFmtId="0" fontId="0" fillId="42" borderId="15" xfId="0" applyFill="1" applyBorder="1" applyAlignment="1">
      <alignment wrapText="1"/>
    </xf>
    <xf numFmtId="0" fontId="0" fillId="42" borderId="45" xfId="0" applyFill="1" applyBorder="1" applyAlignment="1">
      <alignment wrapText="1"/>
    </xf>
    <xf numFmtId="0" fontId="1" fillId="42" borderId="48" xfId="1" applyFill="1" applyBorder="1" applyAlignment="1">
      <alignment wrapText="1"/>
    </xf>
    <xf numFmtId="43" fontId="0" fillId="42" borderId="30" xfId="3" applyFont="1" applyFill="1" applyBorder="1"/>
    <xf numFmtId="43" fontId="0" fillId="42" borderId="0" xfId="3" applyFont="1" applyFill="1" applyBorder="1"/>
    <xf numFmtId="188" fontId="0" fillId="42" borderId="0" xfId="3" applyNumberFormat="1" applyFont="1" applyFill="1" applyBorder="1"/>
    <xf numFmtId="0" fontId="10" fillId="9" borderId="92" xfId="1" applyFont="1" applyFill="1" applyBorder="1" applyAlignment="1">
      <alignment horizontal="center" vertical="center"/>
    </xf>
    <xf numFmtId="188" fontId="0" fillId="42" borderId="15" xfId="3" applyNumberFormat="1" applyFont="1" applyFill="1" applyBorder="1"/>
    <xf numFmtId="188" fontId="0" fillId="42" borderId="45" xfId="3" applyNumberFormat="1" applyFont="1" applyFill="1" applyBorder="1"/>
    <xf numFmtId="43" fontId="0" fillId="42" borderId="65" xfId="3" applyFont="1" applyFill="1" applyBorder="1"/>
    <xf numFmtId="43" fontId="0" fillId="42" borderId="86" xfId="0" applyNumberFormat="1" applyFill="1" applyBorder="1"/>
    <xf numFmtId="0" fontId="0" fillId="46" borderId="63" xfId="0" applyFill="1" applyBorder="1"/>
    <xf numFmtId="0" fontId="0" fillId="46" borderId="65" xfId="0" applyFill="1" applyBorder="1"/>
    <xf numFmtId="0" fontId="0" fillId="46" borderId="86" xfId="0" applyFill="1" applyBorder="1"/>
    <xf numFmtId="0" fontId="0" fillId="46" borderId="92" xfId="0" applyFill="1" applyBorder="1"/>
    <xf numFmtId="0" fontId="1" fillId="42" borderId="43" xfId="1" applyFill="1" applyBorder="1"/>
    <xf numFmtId="0" fontId="1" fillId="42" borderId="15" xfId="1" applyFill="1" applyBorder="1"/>
    <xf numFmtId="0" fontId="1" fillId="42" borderId="45" xfId="1" applyFill="1" applyBorder="1"/>
    <xf numFmtId="43" fontId="1" fillId="42" borderId="47" xfId="3" applyFont="1" applyFill="1" applyBorder="1"/>
    <xf numFmtId="43" fontId="1" fillId="42" borderId="49" xfId="3" applyFont="1" applyFill="1" applyBorder="1"/>
    <xf numFmtId="43" fontId="1" fillId="42" borderId="48" xfId="3" applyFont="1" applyFill="1" applyBorder="1"/>
    <xf numFmtId="43" fontId="0" fillId="42" borderId="44" xfId="3" applyFont="1" applyFill="1" applyBorder="1"/>
    <xf numFmtId="0" fontId="10" fillId="9" borderId="15" xfId="1" applyFont="1" applyFill="1" applyBorder="1" applyAlignment="1">
      <alignment wrapText="1"/>
    </xf>
    <xf numFmtId="0" fontId="10" fillId="9" borderId="15" xfId="1" applyFont="1" applyFill="1" applyBorder="1" applyAlignment="1">
      <alignment horizontal="center" vertical="center"/>
    </xf>
    <xf numFmtId="0" fontId="0" fillId="42" borderId="44" xfId="0" applyFill="1" applyBorder="1" applyAlignment="1">
      <alignment wrapText="1"/>
    </xf>
    <xf numFmtId="0" fontId="0" fillId="42" borderId="16" xfId="0" applyFill="1" applyBorder="1" applyAlignment="1">
      <alignment wrapText="1"/>
    </xf>
    <xf numFmtId="0" fontId="1" fillId="3" borderId="46" xfId="1" applyFill="1" applyBorder="1" applyAlignment="1">
      <alignment wrapText="1"/>
    </xf>
    <xf numFmtId="0" fontId="0" fillId="42" borderId="47" xfId="0" applyFill="1" applyBorder="1" applyAlignment="1">
      <alignment wrapText="1"/>
    </xf>
    <xf numFmtId="0" fontId="0" fillId="42" borderId="49" xfId="0" applyFill="1" applyBorder="1" applyAlignment="1">
      <alignment wrapText="1"/>
    </xf>
    <xf numFmtId="43" fontId="0" fillId="42" borderId="47" xfId="3" applyFont="1" applyFill="1" applyBorder="1" applyAlignment="1">
      <alignment wrapText="1"/>
    </xf>
    <xf numFmtId="43" fontId="0" fillId="42" borderId="49" xfId="3" applyFont="1" applyFill="1" applyBorder="1" applyAlignment="1">
      <alignment wrapText="1"/>
    </xf>
    <xf numFmtId="43" fontId="0" fillId="42" borderId="43" xfId="3" applyFont="1" applyFill="1" applyBorder="1" applyAlignment="1">
      <alignment wrapText="1"/>
    </xf>
    <xf numFmtId="43" fontId="0" fillId="42" borderId="30" xfId="3" applyFont="1" applyFill="1" applyBorder="1" applyAlignment="1">
      <alignment wrapText="1"/>
    </xf>
    <xf numFmtId="43" fontId="1" fillId="3" borderId="15" xfId="3" applyFont="1" applyFill="1" applyBorder="1"/>
    <xf numFmtId="43" fontId="1" fillId="3" borderId="0" xfId="3" applyFont="1" applyFill="1" applyBorder="1"/>
    <xf numFmtId="43" fontId="0" fillId="42" borderId="15" xfId="3" applyFont="1" applyFill="1" applyBorder="1" applyAlignment="1">
      <alignment wrapText="1"/>
    </xf>
    <xf numFmtId="43" fontId="0" fillId="42" borderId="0" xfId="3" applyFont="1" applyFill="1" applyBorder="1" applyAlignment="1">
      <alignment wrapText="1"/>
    </xf>
    <xf numFmtId="43" fontId="1" fillId="3" borderId="15" xfId="3" applyFont="1" applyFill="1" applyBorder="1" applyAlignment="1">
      <alignment wrapText="1"/>
    </xf>
    <xf numFmtId="43" fontId="1" fillId="3" borderId="0" xfId="3" applyFont="1" applyFill="1" applyBorder="1" applyAlignment="1">
      <alignment wrapText="1"/>
    </xf>
    <xf numFmtId="43" fontId="1" fillId="3" borderId="45" xfId="3" applyFont="1" applyFill="1" applyBorder="1" applyAlignment="1">
      <alignment wrapText="1"/>
    </xf>
    <xf numFmtId="43" fontId="1" fillId="3" borderId="31" xfId="3" applyFont="1" applyFill="1" applyBorder="1" applyAlignment="1">
      <alignment wrapText="1"/>
    </xf>
    <xf numFmtId="171" fontId="1" fillId="42" borderId="43" xfId="3" applyNumberFormat="1" applyFont="1" applyFill="1" applyBorder="1" applyAlignment="1">
      <alignment wrapText="1"/>
    </xf>
    <xf numFmtId="171" fontId="1" fillId="42" borderId="15" xfId="3" applyNumberFormat="1" applyFont="1" applyFill="1" applyBorder="1" applyAlignment="1">
      <alignment wrapText="1"/>
    </xf>
    <xf numFmtId="171" fontId="1" fillId="42" borderId="0" xfId="3" applyNumberFormat="1" applyFont="1" applyFill="1" applyBorder="1" applyAlignment="1">
      <alignment wrapText="1"/>
    </xf>
    <xf numFmtId="171" fontId="1" fillId="3" borderId="15" xfId="3" applyNumberFormat="1" applyFont="1" applyFill="1" applyBorder="1" applyAlignment="1">
      <alignment wrapText="1"/>
    </xf>
    <xf numFmtId="171" fontId="1" fillId="3" borderId="45" xfId="3" applyNumberFormat="1" applyFont="1" applyFill="1" applyBorder="1" applyAlignment="1">
      <alignment wrapText="1"/>
    </xf>
    <xf numFmtId="0" fontId="32" fillId="8" borderId="298" xfId="13" applyFont="1" applyFill="1" applyBorder="1" applyAlignment="1">
      <alignment horizontal="center" vertical="center" wrapText="1"/>
    </xf>
    <xf numFmtId="3" fontId="19" fillId="12" borderId="303" xfId="13" applyNumberFormat="1" applyFont="1" applyFill="1" applyBorder="1" applyAlignment="1">
      <alignment horizontal="center"/>
    </xf>
    <xf numFmtId="4" fontId="19" fillId="12" borderId="288" xfId="13" applyNumberFormat="1" applyFont="1" applyFill="1" applyBorder="1" applyAlignment="1">
      <alignment horizontal="center"/>
    </xf>
    <xf numFmtId="0" fontId="131" fillId="12" borderId="305" xfId="13" applyFont="1" applyFill="1" applyBorder="1" applyAlignment="1">
      <alignment horizontal="center"/>
    </xf>
    <xf numFmtId="43" fontId="20" fillId="2" borderId="0" xfId="3" applyFont="1" applyFill="1" applyBorder="1" applyAlignment="1">
      <alignment horizontal="center"/>
    </xf>
    <xf numFmtId="0" fontId="131" fillId="12" borderId="248" xfId="13" applyFont="1" applyFill="1" applyBorder="1" applyAlignment="1">
      <alignment horizontal="center"/>
    </xf>
    <xf numFmtId="0" fontId="131" fillId="12" borderId="249" xfId="13" applyFont="1" applyFill="1" applyBorder="1" applyAlignment="1">
      <alignment horizontal="center"/>
    </xf>
    <xf numFmtId="1" fontId="20" fillId="14" borderId="299" xfId="13" applyNumberFormat="1" applyFont="1" applyFill="1" applyBorder="1" applyAlignment="1">
      <alignment horizontal="center"/>
    </xf>
    <xf numFmtId="0" fontId="1" fillId="42" borderId="63" xfId="1" applyFill="1" applyBorder="1" applyAlignment="1">
      <alignment horizontal="center" vertical="center" wrapText="1"/>
    </xf>
    <xf numFmtId="0" fontId="1" fillId="42" borderId="65" xfId="1" applyFill="1" applyBorder="1" applyAlignment="1">
      <alignment horizontal="center" vertical="center" wrapText="1"/>
    </xf>
    <xf numFmtId="0" fontId="1" fillId="42" borderId="86" xfId="1" applyFill="1" applyBorder="1" applyAlignment="1">
      <alignment horizontal="center" vertical="center" wrapText="1"/>
    </xf>
    <xf numFmtId="0" fontId="1" fillId="42" borderId="92" xfId="1" applyFill="1" applyBorder="1" applyAlignment="1">
      <alignment horizontal="center" vertical="center" wrapText="1"/>
    </xf>
    <xf numFmtId="0" fontId="34" fillId="21" borderId="0" xfId="13" applyFont="1" applyFill="1" applyBorder="1"/>
    <xf numFmtId="0" fontId="62" fillId="21" borderId="0" xfId="14" applyFont="1" applyFill="1"/>
    <xf numFmtId="0" fontId="32" fillId="8" borderId="243" xfId="13" applyFont="1" applyFill="1" applyBorder="1" applyAlignment="1">
      <alignment horizontal="center"/>
    </xf>
    <xf numFmtId="0" fontId="32" fillId="8" borderId="244" xfId="13" applyFont="1" applyFill="1" applyBorder="1" applyAlignment="1">
      <alignment horizontal="center"/>
    </xf>
    <xf numFmtId="0" fontId="32" fillId="8" borderId="245" xfId="13" applyFont="1" applyFill="1" applyBorder="1" applyAlignment="1">
      <alignment horizontal="center"/>
    </xf>
    <xf numFmtId="0" fontId="32" fillId="8" borderId="298" xfId="13" applyFont="1" applyFill="1" applyBorder="1" applyAlignment="1">
      <alignment horizontal="center" vertical="center" wrapText="1"/>
    </xf>
    <xf numFmtId="0" fontId="0" fillId="42" borderId="46" xfId="0" applyFill="1" applyBorder="1" applyAlignment="1">
      <alignment wrapText="1"/>
    </xf>
    <xf numFmtId="0" fontId="0" fillId="2" borderId="0" xfId="0" applyFill="1" applyBorder="1"/>
    <xf numFmtId="0" fontId="122" fillId="2" borderId="0" xfId="0" applyFont="1" applyFill="1"/>
    <xf numFmtId="171" fontId="0" fillId="2" borderId="0" xfId="3" applyNumberFormat="1" applyFont="1" applyFill="1"/>
    <xf numFmtId="3" fontId="0" fillId="2" borderId="0" xfId="0" applyNumberFormat="1" applyFill="1"/>
    <xf numFmtId="0" fontId="32" fillId="8" borderId="304" xfId="13" applyFont="1" applyFill="1" applyBorder="1" applyAlignment="1">
      <alignment horizontal="center"/>
    </xf>
    <xf numFmtId="0" fontId="19" fillId="12" borderId="305" xfId="13" applyFont="1" applyFill="1" applyBorder="1" applyAlignment="1">
      <alignment horizontal="center"/>
    </xf>
    <xf numFmtId="3" fontId="19" fillId="12" borderId="288" xfId="13" applyNumberFormat="1" applyFont="1" applyFill="1" applyBorder="1" applyAlignment="1">
      <alignment horizontal="center"/>
    </xf>
    <xf numFmtId="3" fontId="19" fillId="12" borderId="308" xfId="13" applyNumberFormat="1" applyFont="1" applyFill="1" applyBorder="1" applyAlignment="1">
      <alignment horizontal="center"/>
    </xf>
    <xf numFmtId="0" fontId="18" fillId="3" borderId="49" xfId="1" applyFont="1" applyFill="1" applyBorder="1" applyAlignment="1">
      <alignment wrapText="1"/>
    </xf>
    <xf numFmtId="3" fontId="51" fillId="3" borderId="16" xfId="1" applyNumberFormat="1" applyFont="1" applyFill="1" applyBorder="1"/>
    <xf numFmtId="43" fontId="1" fillId="3" borderId="49" xfId="1" applyNumberFormat="1" applyFill="1" applyBorder="1"/>
    <xf numFmtId="0" fontId="18" fillId="42" borderId="47" xfId="1" applyFont="1" applyFill="1" applyBorder="1" applyAlignment="1">
      <alignment wrapText="1"/>
    </xf>
    <xf numFmtId="3" fontId="51" fillId="42" borderId="44" xfId="1" applyNumberFormat="1" applyFont="1" applyFill="1" applyBorder="1"/>
    <xf numFmtId="43" fontId="1" fillId="42" borderId="43" xfId="3" applyFont="1" applyFill="1" applyBorder="1"/>
    <xf numFmtId="0" fontId="18" fillId="42" borderId="49" xfId="1" applyFont="1" applyFill="1" applyBorder="1" applyAlignment="1">
      <alignment wrapText="1"/>
    </xf>
    <xf numFmtId="43" fontId="1" fillId="42" borderId="15" xfId="3" applyFont="1" applyFill="1" applyBorder="1"/>
    <xf numFmtId="43" fontId="1" fillId="42" borderId="0" xfId="3" applyFont="1" applyFill="1" applyBorder="1"/>
    <xf numFmtId="3" fontId="51" fillId="42" borderId="16" xfId="1" applyNumberFormat="1" applyFont="1" applyFill="1" applyBorder="1"/>
    <xf numFmtId="0" fontId="18" fillId="3" borderId="48" xfId="1" applyFont="1" applyFill="1" applyBorder="1" applyAlignment="1">
      <alignment wrapText="1"/>
    </xf>
    <xf numFmtId="0" fontId="18" fillId="3" borderId="15" xfId="1" applyFont="1" applyFill="1" applyBorder="1" applyAlignment="1">
      <alignment wrapText="1"/>
    </xf>
    <xf numFmtId="0" fontId="18" fillId="3" borderId="45" xfId="1" applyFont="1" applyFill="1" applyBorder="1" applyAlignment="1">
      <alignment wrapText="1"/>
    </xf>
    <xf numFmtId="0" fontId="1" fillId="3" borderId="15" xfId="1" applyFill="1" applyBorder="1"/>
    <xf numFmtId="0" fontId="1" fillId="3" borderId="45" xfId="1" applyFill="1" applyBorder="1"/>
    <xf numFmtId="3" fontId="1" fillId="3" borderId="48" xfId="1" applyNumberFormat="1" applyFill="1" applyBorder="1"/>
    <xf numFmtId="3" fontId="1" fillId="3" borderId="15" xfId="1" applyNumberFormat="1" applyFill="1" applyBorder="1"/>
    <xf numFmtId="3" fontId="1" fillId="3" borderId="45" xfId="1" applyNumberFormat="1" applyFill="1" applyBorder="1"/>
    <xf numFmtId="43" fontId="1" fillId="3" borderId="45" xfId="3" applyFont="1" applyFill="1" applyBorder="1"/>
    <xf numFmtId="43" fontId="1" fillId="3" borderId="31" xfId="3" applyFont="1" applyFill="1" applyBorder="1"/>
    <xf numFmtId="0" fontId="18" fillId="42" borderId="43" xfId="1" applyFont="1" applyFill="1" applyBorder="1" applyAlignment="1">
      <alignment wrapText="1"/>
    </xf>
    <xf numFmtId="3" fontId="1" fillId="42" borderId="43" xfId="1" applyNumberFormat="1" applyFill="1" applyBorder="1"/>
    <xf numFmtId="0" fontId="18" fillId="42" borderId="15" xfId="1" applyFont="1" applyFill="1" applyBorder="1" applyAlignment="1">
      <alignment wrapText="1"/>
    </xf>
    <xf numFmtId="3" fontId="1" fillId="42" borderId="15" xfId="1" applyNumberFormat="1" applyFill="1" applyBorder="1"/>
    <xf numFmtId="43" fontId="1" fillId="42" borderId="47" xfId="1" applyNumberFormat="1" applyFill="1" applyBorder="1"/>
    <xf numFmtId="43" fontId="1" fillId="42" borderId="49" xfId="1" applyNumberFormat="1" applyFill="1" applyBorder="1"/>
    <xf numFmtId="43" fontId="1" fillId="3" borderId="48" xfId="1" applyNumberFormat="1" applyFill="1" applyBorder="1"/>
    <xf numFmtId="0" fontId="118" fillId="42" borderId="43" xfId="1" applyFont="1" applyFill="1" applyBorder="1" applyAlignment="1">
      <alignment wrapText="1"/>
    </xf>
    <xf numFmtId="0" fontId="1" fillId="3" borderId="15" xfId="1" applyFont="1" applyFill="1" applyBorder="1" applyAlignment="1">
      <alignment wrapText="1"/>
    </xf>
    <xf numFmtId="0" fontId="1" fillId="3" borderId="45" xfId="1" applyFont="1" applyFill="1" applyBorder="1" applyAlignment="1">
      <alignment wrapText="1"/>
    </xf>
    <xf numFmtId="0" fontId="1" fillId="42" borderId="43" xfId="1" applyFont="1" applyFill="1" applyBorder="1"/>
    <xf numFmtId="0" fontId="1" fillId="42" borderId="30" xfId="1" applyFont="1" applyFill="1" applyBorder="1"/>
    <xf numFmtId="0" fontId="18" fillId="42" borderId="30" xfId="1" applyFont="1" applyFill="1" applyBorder="1" applyAlignment="1">
      <alignment wrapText="1"/>
    </xf>
    <xf numFmtId="0" fontId="1" fillId="42" borderId="44" xfId="1" applyFill="1" applyBorder="1"/>
    <xf numFmtId="0" fontId="1" fillId="42" borderId="15" xfId="1" applyFont="1" applyFill="1" applyBorder="1"/>
    <xf numFmtId="0" fontId="1" fillId="42" borderId="16" xfId="1" applyFill="1" applyBorder="1"/>
    <xf numFmtId="0" fontId="1" fillId="42" borderId="45" xfId="1" applyFont="1" applyFill="1" applyBorder="1"/>
    <xf numFmtId="0" fontId="1" fillId="42" borderId="31" xfId="1" applyFont="1" applyFill="1" applyBorder="1"/>
    <xf numFmtId="0" fontId="18" fillId="42" borderId="31" xfId="1" applyFont="1" applyFill="1" applyBorder="1" applyAlignment="1">
      <alignment wrapText="1"/>
    </xf>
    <xf numFmtId="0" fontId="18" fillId="42" borderId="31" xfId="1" applyFont="1" applyFill="1" applyBorder="1"/>
    <xf numFmtId="0" fontId="1" fillId="42" borderId="46" xfId="1" applyFill="1" applyBorder="1"/>
    <xf numFmtId="3" fontId="51" fillId="3" borderId="46" xfId="1" applyNumberFormat="1" applyFont="1" applyFill="1" applyBorder="1"/>
    <xf numFmtId="9" fontId="25" fillId="14" borderId="295" xfId="15" applyFont="1" applyFill="1" applyBorder="1" applyAlignment="1">
      <alignment horizontal="center" vertical="center"/>
    </xf>
    <xf numFmtId="9" fontId="25" fillId="14" borderId="303" xfId="15" applyFont="1" applyFill="1" applyBorder="1" applyAlignment="1">
      <alignment horizontal="center" vertical="center"/>
    </xf>
    <xf numFmtId="3" fontId="25" fillId="2" borderId="282" xfId="13" applyNumberFormat="1" applyFont="1" applyFill="1" applyBorder="1" applyAlignment="1">
      <alignment horizontal="center" vertical="center"/>
    </xf>
    <xf numFmtId="3" fontId="34" fillId="2" borderId="308" xfId="13" applyNumberFormat="1" applyFont="1" applyFill="1" applyBorder="1" applyAlignment="1">
      <alignment horizontal="center" vertical="center"/>
    </xf>
    <xf numFmtId="3" fontId="25" fillId="12" borderId="303" xfId="15" applyNumberFormat="1" applyFont="1" applyFill="1" applyBorder="1" applyAlignment="1">
      <alignment horizontal="center" vertical="center"/>
    </xf>
    <xf numFmtId="3" fontId="25" fillId="12" borderId="295" xfId="15" applyNumberFormat="1" applyFont="1" applyFill="1" applyBorder="1" applyAlignment="1">
      <alignment horizontal="center" vertical="center"/>
    </xf>
    <xf numFmtId="3" fontId="34" fillId="2" borderId="308" xfId="15" applyNumberFormat="1" applyFont="1" applyFill="1" applyBorder="1" applyAlignment="1">
      <alignment horizontal="center" vertical="center"/>
    </xf>
    <xf numFmtId="0" fontId="110" fillId="17" borderId="309" xfId="14" applyFont="1" applyFill="1" applyBorder="1" applyAlignment="1" applyProtection="1">
      <alignment horizontal="left" vertical="center"/>
      <protection locked="0"/>
    </xf>
    <xf numFmtId="2" fontId="30" fillId="8" borderId="43" xfId="13" applyNumberFormat="1" applyFont="1" applyFill="1" applyBorder="1" applyAlignment="1">
      <alignment horizontal="center" vertical="center"/>
    </xf>
    <xf numFmtId="0" fontId="30" fillId="8" borderId="310" xfId="13" applyFont="1" applyFill="1" applyBorder="1" applyAlignment="1">
      <alignment horizontal="center" vertical="center"/>
    </xf>
    <xf numFmtId="0" fontId="30" fillId="8" borderId="298" xfId="13" applyFont="1" applyFill="1" applyBorder="1" applyAlignment="1">
      <alignment horizontal="center" vertical="center"/>
    </xf>
    <xf numFmtId="0" fontId="30" fillId="8" borderId="311" xfId="13" applyFont="1" applyFill="1" applyBorder="1" applyAlignment="1">
      <alignment horizontal="center" vertical="center"/>
    </xf>
    <xf numFmtId="0" fontId="30" fillId="8" borderId="312" xfId="13" applyFont="1" applyFill="1" applyBorder="1" applyAlignment="1">
      <alignment horizontal="center" vertical="center"/>
    </xf>
    <xf numFmtId="0" fontId="25" fillId="14" borderId="234" xfId="13" applyFont="1" applyFill="1" applyBorder="1" applyAlignment="1">
      <alignment horizontal="center" vertical="center"/>
    </xf>
    <xf numFmtId="0" fontId="25" fillId="14" borderId="303" xfId="13" applyFont="1" applyFill="1" applyBorder="1" applyAlignment="1">
      <alignment horizontal="center" vertical="center"/>
    </xf>
    <xf numFmtId="2" fontId="25" fillId="14" borderId="303" xfId="13" applyNumberFormat="1" applyFont="1" applyFill="1" applyBorder="1" applyAlignment="1">
      <alignment horizontal="center" vertical="center"/>
    </xf>
    <xf numFmtId="9" fontId="25" fillId="14" borderId="313" xfId="15" applyFont="1" applyFill="1" applyBorder="1" applyAlignment="1">
      <alignment horizontal="center" vertical="center"/>
    </xf>
    <xf numFmtId="3" fontId="25" fillId="14" borderId="15" xfId="13" applyNumberFormat="1" applyFont="1" applyFill="1" applyBorder="1" applyAlignment="1">
      <alignment horizontal="center" vertical="center"/>
    </xf>
    <xf numFmtId="3" fontId="25" fillId="2" borderId="16" xfId="13" applyNumberFormat="1" applyFont="1" applyFill="1" applyBorder="1"/>
    <xf numFmtId="3" fontId="34" fillId="14" borderId="82" xfId="13" applyNumberFormat="1" applyFont="1" applyFill="1" applyBorder="1" applyAlignment="1">
      <alignment horizontal="center" vertical="center"/>
    </xf>
    <xf numFmtId="3" fontId="25" fillId="12" borderId="313" xfId="15" applyNumberFormat="1" applyFont="1" applyFill="1" applyBorder="1" applyAlignment="1">
      <alignment horizontal="center" vertical="center"/>
    </xf>
    <xf numFmtId="3" fontId="25" fillId="2" borderId="16" xfId="13" applyNumberFormat="1" applyFont="1" applyFill="1" applyBorder="1" applyAlignment="1">
      <alignment horizontal="right" vertical="center"/>
    </xf>
    <xf numFmtId="3" fontId="34" fillId="14" borderId="15" xfId="13" applyNumberFormat="1" applyFont="1" applyFill="1" applyBorder="1" applyAlignment="1">
      <alignment horizontal="center" vertical="center"/>
    </xf>
    <xf numFmtId="3" fontId="30" fillId="8" borderId="45" xfId="13" applyNumberFormat="1" applyFont="1" applyFill="1" applyBorder="1" applyAlignment="1">
      <alignment horizontal="center" vertical="center"/>
    </xf>
    <xf numFmtId="2" fontId="25" fillId="2" borderId="282" xfId="13" applyNumberFormat="1" applyFont="1" applyFill="1" applyBorder="1" applyAlignment="1">
      <alignment horizontal="center"/>
    </xf>
    <xf numFmtId="0" fontId="1" fillId="44" borderId="15" xfId="1" applyFill="1" applyBorder="1" applyAlignment="1">
      <alignment wrapText="1"/>
    </xf>
    <xf numFmtId="0" fontId="1" fillId="44" borderId="0" xfId="1" applyFill="1" applyBorder="1" applyAlignment="1">
      <alignment wrapText="1"/>
    </xf>
    <xf numFmtId="0" fontId="18" fillId="44" borderId="0" xfId="1" applyFont="1" applyFill="1" applyBorder="1" applyAlignment="1">
      <alignment wrapText="1"/>
    </xf>
    <xf numFmtId="0" fontId="1" fillId="44" borderId="16" xfId="1" applyFill="1" applyBorder="1"/>
    <xf numFmtId="3" fontId="1" fillId="44" borderId="49" xfId="1" applyNumberFormat="1" applyFill="1" applyBorder="1"/>
    <xf numFmtId="43" fontId="1" fillId="44" borderId="15" xfId="3" applyFont="1" applyFill="1" applyBorder="1"/>
    <xf numFmtId="43" fontId="1" fillId="44" borderId="0" xfId="3" applyFont="1" applyFill="1" applyBorder="1"/>
    <xf numFmtId="43" fontId="1" fillId="44" borderId="16" xfId="3" applyFont="1" applyFill="1" applyBorder="1"/>
    <xf numFmtId="43" fontId="1" fillId="44" borderId="49" xfId="1" applyNumberFormat="1" applyFill="1" applyBorder="1"/>
    <xf numFmtId="43" fontId="1" fillId="42" borderId="16" xfId="3" applyFont="1" applyFill="1" applyBorder="1"/>
    <xf numFmtId="43" fontId="1" fillId="42" borderId="45" xfId="3" applyFont="1" applyFill="1" applyBorder="1"/>
    <xf numFmtId="43" fontId="1" fillId="42" borderId="48" xfId="1" applyNumberFormat="1" applyFill="1" applyBorder="1"/>
    <xf numFmtId="171" fontId="20" fillId="2" borderId="33" xfId="3" applyNumberFormat="1" applyFont="1" applyFill="1" applyBorder="1" applyAlignment="1">
      <alignment horizontal="right"/>
    </xf>
    <xf numFmtId="170" fontId="30" fillId="8" borderId="52" xfId="5" applyNumberFormat="1" applyFont="1" applyFill="1" applyBorder="1" applyAlignment="1">
      <alignment horizontal="center"/>
    </xf>
    <xf numFmtId="170" fontId="30" fillId="8" borderId="299" xfId="5" applyNumberFormat="1" applyFont="1" applyFill="1" applyBorder="1" applyAlignment="1">
      <alignment horizontal="center"/>
    </xf>
    <xf numFmtId="184" fontId="25" fillId="0" borderId="282" xfId="13" applyNumberFormat="1" applyFont="1" applyFill="1" applyBorder="1" applyAlignment="1">
      <alignment horizontal="center" vertical="center"/>
    </xf>
    <xf numFmtId="2" fontId="34" fillId="14" borderId="308" xfId="13" applyNumberFormat="1" applyFont="1" applyFill="1" applyBorder="1" applyAlignment="1">
      <alignment horizontal="center" vertical="center"/>
    </xf>
    <xf numFmtId="9" fontId="25" fillId="2" borderId="308" xfId="15" applyFont="1" applyFill="1" applyBorder="1" applyAlignment="1">
      <alignment horizontal="center" vertical="center"/>
    </xf>
    <xf numFmtId="43" fontId="1" fillId="44" borderId="49" xfId="3" applyFont="1" applyFill="1" applyBorder="1" applyAlignment="1">
      <alignment wrapText="1"/>
    </xf>
    <xf numFmtId="0" fontId="1" fillId="44" borderId="16" xfId="1" applyFill="1" applyBorder="1" applyAlignment="1">
      <alignment wrapText="1"/>
    </xf>
    <xf numFmtId="0" fontId="1" fillId="44" borderId="49" xfId="1" applyFill="1" applyBorder="1" applyAlignment="1">
      <alignment wrapText="1"/>
    </xf>
    <xf numFmtId="43" fontId="1" fillId="44" borderId="15" xfId="3" applyFont="1" applyFill="1" applyBorder="1" applyAlignment="1">
      <alignment wrapText="1"/>
    </xf>
    <xf numFmtId="0" fontId="1" fillId="44" borderId="45" xfId="1" applyFill="1" applyBorder="1" applyAlignment="1">
      <alignment wrapText="1"/>
    </xf>
    <xf numFmtId="0" fontId="1" fillId="44" borderId="31" xfId="1" applyFill="1" applyBorder="1" applyAlignment="1">
      <alignment wrapText="1"/>
    </xf>
    <xf numFmtId="0" fontId="1" fillId="44" borderId="46" xfId="1" applyFill="1" applyBorder="1" applyAlignment="1">
      <alignment wrapText="1"/>
    </xf>
    <xf numFmtId="0" fontId="1" fillId="44" borderId="48" xfId="1" applyFill="1" applyBorder="1" applyAlignment="1">
      <alignment wrapText="1"/>
    </xf>
    <xf numFmtId="43" fontId="35" fillId="44" borderId="0" xfId="3" applyFont="1" applyFill="1" applyBorder="1" applyAlignment="1">
      <alignment wrapText="1"/>
    </xf>
    <xf numFmtId="43" fontId="35" fillId="44" borderId="49" xfId="3" applyFont="1" applyFill="1" applyBorder="1" applyAlignment="1">
      <alignment wrapText="1"/>
    </xf>
    <xf numFmtId="43" fontId="35" fillId="44" borderId="45" xfId="3" applyFont="1" applyFill="1" applyBorder="1" applyAlignment="1">
      <alignment wrapText="1"/>
    </xf>
    <xf numFmtId="43" fontId="35" fillId="44" borderId="31" xfId="3" applyFont="1" applyFill="1" applyBorder="1" applyAlignment="1">
      <alignment wrapText="1"/>
    </xf>
    <xf numFmtId="43" fontId="35" fillId="44" borderId="48" xfId="3" applyFont="1" applyFill="1" applyBorder="1" applyAlignment="1">
      <alignment wrapText="1"/>
    </xf>
    <xf numFmtId="0" fontId="22" fillId="46" borderId="30" xfId="0" applyFont="1" applyFill="1" applyBorder="1"/>
    <xf numFmtId="0" fontId="22" fillId="46" borderId="0" xfId="0" applyFont="1" applyFill="1" applyBorder="1"/>
    <xf numFmtId="0" fontId="22" fillId="46" borderId="31" xfId="0" applyFont="1" applyFill="1" applyBorder="1"/>
    <xf numFmtId="43" fontId="35" fillId="42" borderId="30" xfId="1" applyNumberFormat="1" applyFont="1" applyFill="1" applyBorder="1"/>
    <xf numFmtId="3" fontId="35" fillId="42" borderId="47" xfId="1" applyNumberFormat="1" applyFont="1" applyFill="1" applyBorder="1"/>
    <xf numFmtId="43" fontId="35" fillId="42" borderId="0" xfId="1" applyNumberFormat="1" applyFont="1" applyFill="1" applyBorder="1"/>
    <xf numFmtId="3" fontId="35" fillId="42" borderId="49" xfId="1" applyNumberFormat="1" applyFont="1" applyFill="1" applyBorder="1"/>
    <xf numFmtId="3" fontId="35" fillId="3" borderId="49" xfId="1" applyNumberFormat="1" applyFont="1" applyFill="1" applyBorder="1"/>
    <xf numFmtId="43" fontId="35" fillId="42" borderId="0" xfId="3" applyFont="1" applyFill="1" applyBorder="1" applyAlignment="1">
      <alignment wrapText="1"/>
    </xf>
    <xf numFmtId="0" fontId="35" fillId="46" borderId="0" xfId="1" applyFont="1" applyFill="1" applyBorder="1"/>
    <xf numFmtId="43" fontId="35" fillId="42" borderId="49" xfId="1" applyNumberFormat="1" applyFont="1" applyFill="1" applyBorder="1" applyAlignment="1">
      <alignment horizontal="center" vertical="center"/>
    </xf>
    <xf numFmtId="43" fontId="35" fillId="3" borderId="0" xfId="3" applyFont="1" applyFill="1" applyBorder="1" applyAlignment="1">
      <alignment wrapText="1"/>
    </xf>
    <xf numFmtId="43" fontId="35" fillId="3" borderId="49" xfId="3" applyFont="1" applyFill="1" applyBorder="1"/>
    <xf numFmtId="43" fontId="35" fillId="3" borderId="31" xfId="3" applyFont="1" applyFill="1" applyBorder="1" applyAlignment="1">
      <alignment wrapText="1"/>
    </xf>
    <xf numFmtId="43" fontId="35" fillId="3" borderId="48" xfId="3" applyFont="1" applyFill="1" applyBorder="1"/>
    <xf numFmtId="0" fontId="22" fillId="46" borderId="47" xfId="0" applyFont="1" applyFill="1" applyBorder="1"/>
    <xf numFmtId="0" fontId="22" fillId="46" borderId="49" xfId="0" applyFont="1" applyFill="1" applyBorder="1"/>
    <xf numFmtId="43" fontId="0" fillId="3" borderId="49" xfId="0" applyNumberFormat="1" applyFill="1" applyBorder="1"/>
    <xf numFmtId="43" fontId="0" fillId="3" borderId="15" xfId="0" applyNumberFormat="1" applyFill="1" applyBorder="1"/>
    <xf numFmtId="43" fontId="0" fillId="42" borderId="15" xfId="0" applyNumberFormat="1" applyFill="1" applyBorder="1"/>
    <xf numFmtId="0" fontId="0" fillId="42" borderId="48" xfId="0" applyFill="1" applyBorder="1"/>
    <xf numFmtId="170" fontId="30" fillId="8" borderId="104" xfId="5" applyNumberFormat="1" applyFont="1" applyFill="1" applyBorder="1" applyAlignment="1">
      <alignment horizontal="center"/>
    </xf>
    <xf numFmtId="3" fontId="25" fillId="16" borderId="280" xfId="0" applyNumberFormat="1" applyFont="1" applyFill="1" applyBorder="1" applyAlignment="1">
      <alignment horizontal="center" vertical="center"/>
    </xf>
    <xf numFmtId="170" fontId="30" fillId="8" borderId="62" xfId="5" applyNumberFormat="1" applyFont="1" applyFill="1" applyBorder="1" applyAlignment="1">
      <alignment horizontal="center" vertical="center"/>
    </xf>
    <xf numFmtId="3" fontId="25" fillId="0" borderId="63" xfId="0" applyNumberFormat="1" applyFont="1" applyFill="1" applyBorder="1" applyAlignment="1">
      <alignment horizontal="center"/>
    </xf>
    <xf numFmtId="3" fontId="25" fillId="0" borderId="66" xfId="0" applyNumberFormat="1" applyFont="1" applyFill="1" applyBorder="1" applyAlignment="1">
      <alignment horizontal="center"/>
    </xf>
    <xf numFmtId="170" fontId="30" fillId="8" borderId="54" xfId="5" applyNumberFormat="1" applyFont="1" applyFill="1" applyBorder="1" applyAlignment="1">
      <alignment horizontal="center"/>
    </xf>
    <xf numFmtId="0" fontId="30" fillId="8" borderId="308" xfId="5" applyNumberFormat="1" applyFont="1" applyFill="1" applyBorder="1" applyAlignment="1">
      <alignment horizontal="center" vertical="top"/>
    </xf>
    <xf numFmtId="170" fontId="30" fillId="8" borderId="285" xfId="5" applyNumberFormat="1" applyFont="1" applyFill="1" applyBorder="1" applyAlignment="1">
      <alignment horizontal="center" vertical="center"/>
    </xf>
    <xf numFmtId="170" fontId="30" fillId="8" borderId="264" xfId="5" applyNumberFormat="1" applyFont="1" applyFill="1" applyBorder="1" applyAlignment="1">
      <alignment horizontal="center" vertical="center"/>
    </xf>
    <xf numFmtId="170" fontId="30" fillId="8" borderId="285" xfId="5" applyNumberFormat="1" applyFont="1" applyFill="1" applyBorder="1" applyAlignment="1">
      <alignment horizontal="center"/>
    </xf>
    <xf numFmtId="170" fontId="30" fillId="8" borderId="98" xfId="5" applyNumberFormat="1" applyFont="1" applyFill="1" applyBorder="1" applyAlignment="1">
      <alignment horizontal="center"/>
    </xf>
    <xf numFmtId="0" fontId="30" fillId="8" borderId="79" xfId="5" applyNumberFormat="1" applyFont="1" applyFill="1" applyBorder="1" applyAlignment="1">
      <alignment horizontal="center" vertical="top"/>
    </xf>
    <xf numFmtId="170" fontId="30" fillId="8" borderId="264" xfId="5" applyNumberFormat="1" applyFont="1" applyFill="1" applyBorder="1" applyAlignment="1">
      <alignment horizontal="center"/>
    </xf>
    <xf numFmtId="3" fontId="25" fillId="0" borderId="40" xfId="0" applyNumberFormat="1" applyFont="1" applyFill="1" applyBorder="1" applyAlignment="1">
      <alignment horizontal="center"/>
    </xf>
    <xf numFmtId="3" fontId="1" fillId="42" borderId="16" xfId="1" applyNumberFormat="1" applyFont="1" applyFill="1" applyBorder="1"/>
    <xf numFmtId="1" fontId="20" fillId="0" borderId="35" xfId="0" applyNumberFormat="1" applyFont="1" applyFill="1" applyBorder="1" applyAlignment="1">
      <alignment horizontal="right"/>
    </xf>
    <xf numFmtId="1" fontId="20" fillId="0" borderId="71" xfId="0" applyNumberFormat="1" applyFont="1" applyFill="1" applyBorder="1" applyAlignment="1">
      <alignment horizontal="right"/>
    </xf>
    <xf numFmtId="1" fontId="20" fillId="0" borderId="36" xfId="0" applyNumberFormat="1" applyFont="1" applyFill="1" applyBorder="1" applyAlignment="1">
      <alignment horizontal="right"/>
    </xf>
    <xf numFmtId="1" fontId="20" fillId="0" borderId="28" xfId="0" applyNumberFormat="1" applyFont="1" applyFill="1" applyBorder="1" applyAlignment="1">
      <alignment horizontal="right"/>
    </xf>
    <xf numFmtId="1" fontId="20" fillId="0" borderId="80" xfId="0" applyNumberFormat="1" applyFont="1" applyFill="1" applyBorder="1" applyAlignment="1">
      <alignment horizontal="right"/>
    </xf>
    <xf numFmtId="43" fontId="109" fillId="2" borderId="0" xfId="3" applyFont="1" applyFill="1"/>
    <xf numFmtId="0" fontId="136" fillId="0" borderId="320" xfId="0" applyNumberFormat="1" applyFont="1" applyFill="1" applyBorder="1" applyAlignment="1">
      <alignment vertical="top" wrapText="1" readingOrder="1"/>
    </xf>
    <xf numFmtId="0" fontId="136" fillId="0" borderId="321" xfId="0" applyNumberFormat="1" applyFont="1" applyFill="1" applyBorder="1" applyAlignment="1">
      <alignment vertical="top" wrapText="1" readingOrder="1"/>
    </xf>
    <xf numFmtId="0" fontId="136" fillId="0" borderId="322" xfId="0" applyNumberFormat="1" applyFont="1" applyFill="1" applyBorder="1" applyAlignment="1">
      <alignment vertical="top" wrapText="1" readingOrder="1"/>
    </xf>
    <xf numFmtId="0" fontId="0" fillId="42" borderId="65" xfId="0" applyFill="1" applyBorder="1"/>
    <xf numFmtId="0" fontId="0" fillId="42" borderId="86" xfId="0" applyFill="1" applyBorder="1"/>
    <xf numFmtId="0" fontId="38" fillId="42" borderId="63" xfId="0" applyFont="1" applyFill="1" applyBorder="1" applyAlignment="1" applyProtection="1">
      <alignment vertical="center"/>
    </xf>
    <xf numFmtId="0" fontId="137" fillId="2" borderId="0" xfId="0" applyFont="1" applyFill="1" applyBorder="1" applyAlignment="1">
      <alignment vertical="center"/>
    </xf>
    <xf numFmtId="0" fontId="38" fillId="42" borderId="63" xfId="0" applyFont="1" applyFill="1" applyBorder="1" applyAlignment="1">
      <alignment vertical="center"/>
    </xf>
    <xf numFmtId="0" fontId="0" fillId="2" borderId="0" xfId="0" applyFill="1" applyBorder="1" applyAlignment="1"/>
    <xf numFmtId="0" fontId="96" fillId="2" borderId="0" xfId="0" applyFont="1" applyFill="1"/>
    <xf numFmtId="0" fontId="98" fillId="2" borderId="0" xfId="0" applyFont="1" applyFill="1" applyBorder="1" applyAlignment="1">
      <alignment horizontal="center" vertical="center" wrapText="1"/>
    </xf>
    <xf numFmtId="0" fontId="98" fillId="2" borderId="0" xfId="0" applyFont="1" applyFill="1" applyBorder="1" applyAlignment="1">
      <alignment horizontal="left" vertical="center" wrapText="1"/>
    </xf>
    <xf numFmtId="0" fontId="98" fillId="2" borderId="0" xfId="0" applyFont="1" applyFill="1" applyBorder="1" applyAlignment="1">
      <alignment vertical="center" wrapText="1"/>
    </xf>
    <xf numFmtId="0" fontId="136" fillId="22" borderId="320" xfId="0" applyNumberFormat="1" applyFont="1" applyFill="1" applyBorder="1" applyAlignment="1">
      <alignment vertical="top" wrapText="1" readingOrder="1"/>
    </xf>
    <xf numFmtId="0" fontId="136" fillId="22" borderId="321" xfId="0" applyNumberFormat="1" applyFont="1" applyFill="1" applyBorder="1" applyAlignment="1">
      <alignment vertical="top" wrapText="1" readingOrder="1"/>
    </xf>
    <xf numFmtId="0" fontId="136" fillId="22" borderId="322" xfId="0" applyNumberFormat="1" applyFont="1" applyFill="1" applyBorder="1" applyAlignment="1">
      <alignment vertical="top" wrapText="1" readingOrder="1"/>
    </xf>
    <xf numFmtId="0" fontId="16" fillId="3" borderId="317" xfId="0" applyNumberFormat="1" applyFont="1" applyFill="1" applyBorder="1" applyAlignment="1">
      <alignment vertical="top" wrapText="1" readingOrder="1"/>
    </xf>
    <xf numFmtId="0" fontId="16" fillId="3" borderId="318" xfId="0" applyNumberFormat="1" applyFont="1" applyFill="1" applyBorder="1" applyAlignment="1">
      <alignment vertical="top" wrapText="1" readingOrder="1"/>
    </xf>
    <xf numFmtId="0" fontId="16" fillId="3" borderId="319" xfId="0" applyNumberFormat="1" applyFont="1" applyFill="1" applyBorder="1" applyAlignment="1">
      <alignment vertical="top" wrapText="1" readingOrder="1"/>
    </xf>
    <xf numFmtId="0" fontId="16" fillId="3" borderId="319" xfId="0" applyNumberFormat="1" applyFont="1" applyFill="1" applyBorder="1" applyAlignment="1">
      <alignment horizontal="center" vertical="top" wrapText="1" readingOrder="1"/>
    </xf>
    <xf numFmtId="0" fontId="96" fillId="42" borderId="63" xfId="0" applyFont="1" applyFill="1" applyBorder="1" applyAlignment="1">
      <alignment vertical="center" wrapText="1"/>
    </xf>
    <xf numFmtId="0" fontId="95" fillId="42" borderId="86" xfId="0" applyFont="1" applyFill="1" applyBorder="1" applyAlignment="1">
      <alignment vertical="center" wrapText="1"/>
    </xf>
    <xf numFmtId="0" fontId="96" fillId="42" borderId="63" xfId="0" applyFont="1" applyFill="1" applyBorder="1"/>
    <xf numFmtId="0" fontId="127" fillId="10" borderId="329" xfId="0" applyFont="1" applyFill="1" applyBorder="1" applyAlignment="1">
      <alignment horizontal="center" vertical="center" wrapText="1"/>
    </xf>
    <xf numFmtId="0" fontId="127" fillId="10" borderId="173" xfId="0" applyFont="1" applyFill="1" applyBorder="1" applyAlignment="1">
      <alignment horizontal="center" vertical="center" wrapText="1"/>
    </xf>
    <xf numFmtId="198" fontId="3" fillId="49" borderId="284" xfId="3" applyNumberFormat="1" applyFont="1" applyFill="1" applyBorder="1" applyAlignment="1">
      <alignment vertical="center"/>
    </xf>
    <xf numFmtId="198" fontId="3" fillId="49" borderId="330" xfId="3" applyNumberFormat="1" applyFont="1" applyFill="1" applyBorder="1" applyAlignment="1">
      <alignment horizontal="center" vertical="center"/>
    </xf>
    <xf numFmtId="198" fontId="3" fillId="49" borderId="73" xfId="3" applyNumberFormat="1" applyFont="1" applyFill="1" applyBorder="1" applyAlignment="1">
      <alignment horizontal="center" vertical="center"/>
    </xf>
    <xf numFmtId="198" fontId="3" fillId="49" borderId="330" xfId="3" applyNumberFormat="1" applyFont="1" applyFill="1" applyBorder="1" applyAlignment="1">
      <alignment horizontal="center" vertical="center" wrapText="1"/>
    </xf>
    <xf numFmtId="198" fontId="3" fillId="49" borderId="73" xfId="3" applyNumberFormat="1" applyFont="1" applyFill="1" applyBorder="1" applyAlignment="1">
      <alignment vertical="center"/>
    </xf>
    <xf numFmtId="198" fontId="107" fillId="49" borderId="331" xfId="3" applyNumberFormat="1" applyFont="1" applyFill="1" applyBorder="1" applyAlignment="1">
      <alignment horizontal="center" vertical="center"/>
    </xf>
    <xf numFmtId="198" fontId="3" fillId="49" borderId="55" xfId="3" applyNumberFormat="1" applyFont="1" applyFill="1" applyBorder="1" applyAlignment="1">
      <alignment vertical="center"/>
    </xf>
    <xf numFmtId="198" fontId="3" fillId="49" borderId="332" xfId="3" applyNumberFormat="1" applyFont="1" applyFill="1" applyBorder="1" applyAlignment="1">
      <alignment horizontal="center" vertical="center"/>
    </xf>
    <xf numFmtId="198" fontId="3" fillId="49" borderId="333" xfId="3" applyNumberFormat="1" applyFont="1" applyFill="1" applyBorder="1" applyAlignment="1">
      <alignment vertical="center"/>
    </xf>
    <xf numFmtId="198" fontId="3" fillId="49" borderId="334" xfId="3" applyNumberFormat="1" applyFont="1" applyFill="1" applyBorder="1" applyAlignment="1">
      <alignment horizontal="center" vertical="center"/>
    </xf>
    <xf numFmtId="198" fontId="8" fillId="49" borderId="76" xfId="3" applyNumberFormat="1" applyFont="1" applyFill="1" applyBorder="1" applyAlignment="1">
      <alignment vertical="center"/>
    </xf>
    <xf numFmtId="198" fontId="8" fillId="49" borderId="66" xfId="3" applyNumberFormat="1" applyFont="1" applyFill="1" applyBorder="1" applyAlignment="1">
      <alignment horizontal="center" vertical="center"/>
    </xf>
    <xf numFmtId="198" fontId="3" fillId="49" borderId="72" xfId="3" applyNumberFormat="1" applyFont="1" applyFill="1" applyBorder="1" applyAlignment="1">
      <alignment horizontal="center" vertical="center"/>
    </xf>
    <xf numFmtId="198" fontId="3" fillId="49" borderId="335" xfId="3" applyNumberFormat="1" applyFont="1" applyFill="1" applyBorder="1" applyAlignment="1">
      <alignment horizontal="center" vertical="center"/>
    </xf>
    <xf numFmtId="198" fontId="3" fillId="49" borderId="336" xfId="3" applyNumberFormat="1" applyFont="1" applyFill="1" applyBorder="1" applyAlignment="1">
      <alignment horizontal="center" vertical="center"/>
    </xf>
    <xf numFmtId="198" fontId="3" fillId="49" borderId="55" xfId="3" applyNumberFormat="1" applyFont="1" applyFill="1" applyBorder="1" applyAlignment="1">
      <alignment horizontal="right" vertical="center"/>
    </xf>
    <xf numFmtId="198" fontId="3" fillId="49" borderId="61" xfId="3" applyNumberFormat="1" applyFont="1" applyFill="1" applyBorder="1" applyAlignment="1">
      <alignment horizontal="center" vertical="center"/>
    </xf>
    <xf numFmtId="198" fontId="3" fillId="49" borderId="72" xfId="3" applyNumberFormat="1" applyFont="1" applyFill="1" applyBorder="1" applyAlignment="1">
      <alignment horizontal="center" vertical="center" wrapText="1"/>
    </xf>
    <xf numFmtId="198" fontId="3" fillId="49" borderId="335" xfId="3" applyNumberFormat="1" applyFont="1" applyFill="1" applyBorder="1" applyAlignment="1">
      <alignment horizontal="center" vertical="center" wrapText="1"/>
    </xf>
    <xf numFmtId="198" fontId="107" fillId="49" borderId="337" xfId="3" applyNumberFormat="1" applyFont="1" applyFill="1" applyBorder="1" applyAlignment="1" applyProtection="1">
      <alignment vertical="center"/>
      <protection locked="0"/>
    </xf>
    <xf numFmtId="198" fontId="3" fillId="42" borderId="338" xfId="3" applyNumberFormat="1" applyFont="1" applyFill="1" applyBorder="1" applyAlignment="1">
      <alignment horizontal="center" vertical="center" wrapText="1"/>
    </xf>
    <xf numFmtId="0" fontId="127" fillId="10" borderId="15" xfId="0" applyFont="1" applyFill="1" applyBorder="1" applyAlignment="1">
      <alignment horizontal="center" vertical="center" wrapText="1"/>
    </xf>
    <xf numFmtId="0" fontId="127" fillId="10" borderId="292" xfId="0" applyFont="1" applyFill="1" applyBorder="1" applyAlignment="1">
      <alignment horizontal="center" vertical="center" wrapText="1"/>
    </xf>
    <xf numFmtId="198" fontId="3" fillId="51" borderId="340" xfId="3" applyNumberFormat="1" applyFont="1" applyFill="1" applyBorder="1" applyAlignment="1">
      <alignment vertical="center"/>
    </xf>
    <xf numFmtId="198" fontId="3" fillId="51" borderId="330" xfId="3" applyNumberFormat="1" applyFont="1" applyFill="1" applyBorder="1" applyAlignment="1">
      <alignment horizontal="center" vertical="center"/>
    </xf>
    <xf numFmtId="198" fontId="3" fillId="51" borderId="73" xfId="3" applyNumberFormat="1" applyFont="1" applyFill="1" applyBorder="1" applyAlignment="1">
      <alignment vertical="center"/>
    </xf>
    <xf numFmtId="198" fontId="3" fillId="51" borderId="330" xfId="3" applyNumberFormat="1" applyFont="1" applyFill="1" applyBorder="1" applyAlignment="1">
      <alignment horizontal="center" vertical="center" wrapText="1"/>
    </xf>
    <xf numFmtId="198" fontId="3" fillId="51" borderId="82" xfId="3" applyNumberFormat="1" applyFont="1" applyFill="1" applyBorder="1" applyAlignment="1">
      <alignment vertical="center"/>
    </xf>
    <xf numFmtId="198" fontId="3" fillId="51" borderId="55" xfId="3" applyNumberFormat="1" applyFont="1" applyFill="1" applyBorder="1" applyAlignment="1">
      <alignment vertical="center"/>
    </xf>
    <xf numFmtId="198" fontId="3" fillId="51" borderId="332" xfId="3" applyNumberFormat="1" applyFont="1" applyFill="1" applyBorder="1" applyAlignment="1">
      <alignment horizontal="center" vertical="center"/>
    </xf>
    <xf numFmtId="198" fontId="3" fillId="51" borderId="341" xfId="3" applyNumberFormat="1" applyFont="1" applyFill="1" applyBorder="1" applyAlignment="1">
      <alignment vertical="center"/>
    </xf>
    <xf numFmtId="198" fontId="3" fillId="51" borderId="334" xfId="3" applyNumberFormat="1" applyFont="1" applyFill="1" applyBorder="1" applyAlignment="1">
      <alignment vertical="center"/>
    </xf>
    <xf numFmtId="198" fontId="8" fillId="51" borderId="63" xfId="3" applyNumberFormat="1" applyFont="1" applyFill="1" applyBorder="1" applyAlignment="1">
      <alignment vertical="center"/>
    </xf>
    <xf numFmtId="198" fontId="8" fillId="51" borderId="66" xfId="3" applyNumberFormat="1" applyFont="1" applyFill="1" applyBorder="1" applyAlignment="1">
      <alignment horizontal="center" vertical="center"/>
    </xf>
    <xf numFmtId="198" fontId="3" fillId="51" borderId="72" xfId="3" applyNumberFormat="1" applyFont="1" applyFill="1" applyBorder="1" applyAlignment="1">
      <alignment horizontal="center" vertical="center"/>
    </xf>
    <xf numFmtId="198" fontId="3" fillId="51" borderId="15" xfId="3" applyNumberFormat="1" applyFont="1" applyFill="1" applyBorder="1" applyAlignment="1">
      <alignment vertical="center"/>
    </xf>
    <xf numFmtId="198" fontId="3" fillId="51" borderId="335" xfId="3" applyNumberFormat="1" applyFont="1" applyFill="1" applyBorder="1" applyAlignment="1">
      <alignment horizontal="center" vertical="center"/>
    </xf>
    <xf numFmtId="198" fontId="3" fillId="51" borderId="336" xfId="3" applyNumberFormat="1" applyFont="1" applyFill="1" applyBorder="1" applyAlignment="1">
      <alignment horizontal="center" vertical="center"/>
    </xf>
    <xf numFmtId="198" fontId="3" fillId="51" borderId="16" xfId="3" applyNumberFormat="1" applyFont="1" applyFill="1" applyBorder="1" applyAlignment="1">
      <alignment vertical="center"/>
    </xf>
    <xf numFmtId="198" fontId="8" fillId="51" borderId="86" xfId="3" applyNumberFormat="1" applyFont="1" applyFill="1" applyBorder="1" applyAlignment="1">
      <alignment vertical="center"/>
    </xf>
    <xf numFmtId="198" fontId="107" fillId="51" borderId="15" xfId="3" applyNumberFormat="1" applyFont="1" applyFill="1" applyBorder="1" applyAlignment="1">
      <alignment vertical="center"/>
    </xf>
    <xf numFmtId="198" fontId="107" fillId="51" borderId="16" xfId="3" applyNumberFormat="1" applyFont="1" applyFill="1" applyBorder="1" applyAlignment="1">
      <alignment vertical="center"/>
    </xf>
    <xf numFmtId="198" fontId="8" fillId="51" borderId="66" xfId="3" applyNumberFormat="1" applyFont="1" applyFill="1" applyBorder="1" applyAlignment="1">
      <alignment vertical="center"/>
    </xf>
    <xf numFmtId="0" fontId="127" fillId="10" borderId="344" xfId="0" applyFont="1" applyFill="1" applyBorder="1" applyAlignment="1">
      <alignment horizontal="center" vertical="center" wrapText="1"/>
    </xf>
    <xf numFmtId="198" fontId="3" fillId="52" borderId="345" xfId="3" applyNumberFormat="1" applyFont="1" applyFill="1" applyBorder="1" applyAlignment="1">
      <alignment vertical="center"/>
    </xf>
    <xf numFmtId="198" fontId="3" fillId="52" borderId="330" xfId="3" applyNumberFormat="1" applyFont="1" applyFill="1" applyBorder="1" applyAlignment="1">
      <alignment horizontal="center" vertical="center"/>
    </xf>
    <xf numFmtId="198" fontId="3" fillId="52" borderId="73" xfId="3" applyNumberFormat="1" applyFont="1" applyFill="1" applyBorder="1" applyAlignment="1">
      <alignment vertical="center"/>
    </xf>
    <xf numFmtId="198" fontId="3" fillId="52" borderId="330" xfId="3" applyNumberFormat="1" applyFont="1" applyFill="1" applyBorder="1" applyAlignment="1">
      <alignment horizontal="center" vertical="center" wrapText="1"/>
    </xf>
    <xf numFmtId="198" fontId="3" fillId="52" borderId="55" xfId="3" applyNumberFormat="1" applyFont="1" applyFill="1" applyBorder="1" applyAlignment="1">
      <alignment vertical="center"/>
    </xf>
    <xf numFmtId="198" fontId="3" fillId="52" borderId="341" xfId="3" applyNumberFormat="1" applyFont="1" applyFill="1" applyBorder="1" applyAlignment="1" applyProtection="1">
      <alignment vertical="center"/>
      <protection locked="0"/>
    </xf>
    <xf numFmtId="198" fontId="8" fillId="52" borderId="63" xfId="3" applyNumberFormat="1" applyFont="1" applyFill="1" applyBorder="1" applyAlignment="1">
      <alignment vertical="center"/>
    </xf>
    <xf numFmtId="198" fontId="8" fillId="52" borderId="66" xfId="3" applyNumberFormat="1" applyFont="1" applyFill="1" applyBorder="1" applyAlignment="1">
      <alignment horizontal="center" vertical="center"/>
    </xf>
    <xf numFmtId="198" fontId="3" fillId="52" borderId="82" xfId="3" applyNumberFormat="1" applyFont="1" applyFill="1" applyBorder="1" applyAlignment="1">
      <alignment vertical="center"/>
    </xf>
    <xf numFmtId="198" fontId="3" fillId="52" borderId="72" xfId="3" applyNumberFormat="1" applyFont="1" applyFill="1" applyBorder="1" applyAlignment="1">
      <alignment horizontal="center" vertical="center"/>
    </xf>
    <xf numFmtId="198" fontId="3" fillId="52" borderId="346" xfId="3" applyNumberFormat="1" applyFont="1" applyFill="1" applyBorder="1" applyAlignment="1">
      <alignment vertical="center"/>
    </xf>
    <xf numFmtId="198" fontId="3" fillId="52" borderId="335" xfId="3" applyNumberFormat="1" applyFont="1" applyFill="1" applyBorder="1" applyAlignment="1">
      <alignment horizontal="center" vertical="center"/>
    </xf>
    <xf numFmtId="198" fontId="3" fillId="52" borderId="341" xfId="3" applyNumberFormat="1" applyFont="1" applyFill="1" applyBorder="1" applyAlignment="1">
      <alignment vertical="center"/>
    </xf>
    <xf numFmtId="198" fontId="3" fillId="52" borderId="336" xfId="3" applyNumberFormat="1" applyFont="1" applyFill="1" applyBorder="1" applyAlignment="1">
      <alignment horizontal="center" vertical="center"/>
    </xf>
    <xf numFmtId="198" fontId="3" fillId="52" borderId="333" xfId="3" applyNumberFormat="1" applyFont="1" applyFill="1" applyBorder="1" applyAlignment="1">
      <alignment vertical="center"/>
    </xf>
    <xf numFmtId="198" fontId="3" fillId="52" borderId="15" xfId="3" applyNumberFormat="1" applyFont="1" applyFill="1" applyBorder="1" applyAlignment="1" applyProtection="1">
      <alignment vertical="center"/>
      <protection locked="0"/>
    </xf>
    <xf numFmtId="198" fontId="3" fillId="52" borderId="347" xfId="3" applyNumberFormat="1" applyFont="1" applyFill="1" applyBorder="1" applyAlignment="1">
      <alignment horizontal="center" vertical="center" wrapText="1"/>
    </xf>
    <xf numFmtId="198" fontId="3" fillId="52" borderId="348" xfId="3" applyNumberFormat="1" applyFont="1" applyFill="1" applyBorder="1" applyAlignment="1">
      <alignment horizontal="center" vertical="center" wrapText="1"/>
    </xf>
    <xf numFmtId="198" fontId="8" fillId="52" borderId="349" xfId="3" applyNumberFormat="1" applyFont="1" applyFill="1" applyBorder="1" applyAlignment="1">
      <alignment horizontal="center" vertical="center"/>
    </xf>
    <xf numFmtId="198" fontId="3" fillId="52" borderId="82" xfId="3" applyNumberFormat="1" applyFont="1" applyFill="1" applyBorder="1" applyAlignment="1" applyProtection="1">
      <alignment vertical="center"/>
      <protection locked="0"/>
    </xf>
    <xf numFmtId="198" fontId="3" fillId="52" borderId="350" xfId="3" applyNumberFormat="1" applyFont="1" applyFill="1" applyBorder="1" applyAlignment="1">
      <alignment horizontal="center" vertical="center" wrapText="1"/>
    </xf>
    <xf numFmtId="198" fontId="3" fillId="52" borderId="346" xfId="3" applyNumberFormat="1" applyFont="1" applyFill="1" applyBorder="1" applyAlignment="1" applyProtection="1">
      <alignment vertical="center"/>
      <protection locked="0"/>
    </xf>
    <xf numFmtId="198" fontId="3" fillId="52" borderId="351" xfId="3" applyNumberFormat="1" applyFont="1" applyFill="1" applyBorder="1" applyAlignment="1">
      <alignment horizontal="center" vertical="center" wrapText="1"/>
    </xf>
    <xf numFmtId="198" fontId="3" fillId="44" borderId="73" xfId="3" applyNumberFormat="1" applyFont="1" applyFill="1" applyBorder="1" applyAlignment="1" applyProtection="1">
      <alignment vertical="center"/>
      <protection locked="0"/>
    </xf>
    <xf numFmtId="198" fontId="3" fillId="44" borderId="72" xfId="3" applyNumberFormat="1" applyFont="1" applyFill="1" applyBorder="1" applyAlignment="1">
      <alignment horizontal="center" vertical="center" wrapText="1"/>
    </xf>
    <xf numFmtId="198" fontId="3" fillId="44" borderId="340" xfId="3" applyNumberFormat="1" applyFont="1" applyFill="1" applyBorder="1" applyAlignment="1" applyProtection="1">
      <alignment vertical="center"/>
      <protection locked="0"/>
    </xf>
    <xf numFmtId="198" fontId="3" fillId="44" borderId="330" xfId="3" applyNumberFormat="1" applyFont="1" applyFill="1" applyBorder="1" applyAlignment="1">
      <alignment horizontal="center" vertical="center" wrapText="1"/>
    </xf>
    <xf numFmtId="198" fontId="3" fillId="44" borderId="352" xfId="3" applyNumberFormat="1" applyFont="1" applyFill="1" applyBorder="1" applyAlignment="1" applyProtection="1">
      <alignment vertical="center"/>
      <protection locked="0"/>
    </xf>
    <xf numFmtId="198" fontId="3" fillId="44" borderId="335" xfId="3" applyNumberFormat="1" applyFont="1" applyFill="1" applyBorder="1" applyAlignment="1">
      <alignment horizontal="center" vertical="center" wrapText="1"/>
    </xf>
    <xf numFmtId="198" fontId="107" fillId="52" borderId="353" xfId="3" applyNumberFormat="1" applyFont="1" applyFill="1" applyBorder="1" applyAlignment="1" applyProtection="1">
      <alignment vertical="center"/>
      <protection locked="0"/>
    </xf>
    <xf numFmtId="198" fontId="3" fillId="44" borderId="354" xfId="3" applyNumberFormat="1" applyFont="1" applyFill="1" applyBorder="1" applyAlignment="1">
      <alignment horizontal="center" vertical="center" wrapText="1"/>
    </xf>
    <xf numFmtId="198" fontId="3" fillId="52" borderId="15" xfId="3" applyNumberFormat="1" applyFont="1" applyFill="1" applyBorder="1" applyAlignment="1">
      <alignment vertical="center"/>
    </xf>
    <xf numFmtId="198" fontId="3" fillId="52" borderId="16" xfId="3" applyNumberFormat="1" applyFont="1" applyFill="1" applyBorder="1" applyAlignment="1">
      <alignment horizontal="center" vertical="center"/>
    </xf>
    <xf numFmtId="0" fontId="0" fillId="2" borderId="0" xfId="0" applyFill="1" applyProtection="1">
      <protection locked="0"/>
    </xf>
    <xf numFmtId="0" fontId="134" fillId="48" borderId="92" xfId="0" applyFont="1" applyFill="1" applyBorder="1" applyProtection="1">
      <protection locked="0"/>
    </xf>
    <xf numFmtId="0" fontId="0" fillId="2" borderId="92" xfId="0" applyFill="1" applyBorder="1" applyAlignment="1" applyProtection="1">
      <alignment vertical="top" wrapText="1"/>
      <protection locked="0"/>
    </xf>
    <xf numFmtId="0" fontId="0" fillId="2" borderId="92" xfId="0" applyFill="1" applyBorder="1" applyAlignment="1" applyProtection="1">
      <alignment wrapText="1"/>
      <protection locked="0"/>
    </xf>
    <xf numFmtId="0" fontId="130" fillId="2" borderId="355" xfId="0" applyFont="1" applyFill="1" applyBorder="1" applyAlignment="1" applyProtection="1">
      <alignment horizontal="left" vertical="center" wrapText="1"/>
      <protection locked="0"/>
    </xf>
    <xf numFmtId="0" fontId="130" fillId="2" borderId="358" xfId="0" applyFont="1" applyFill="1" applyBorder="1" applyAlignment="1" applyProtection="1">
      <alignment horizontal="left" vertical="center" wrapText="1"/>
      <protection locked="0"/>
    </xf>
    <xf numFmtId="0" fontId="130" fillId="2" borderId="355" xfId="0" applyFont="1" applyFill="1" applyBorder="1" applyAlignment="1" applyProtection="1">
      <alignment horizontal="left"/>
      <protection locked="0"/>
    </xf>
    <xf numFmtId="0" fontId="130" fillId="2" borderId="358" xfId="0" applyFont="1" applyFill="1" applyBorder="1" applyAlignment="1" applyProtection="1">
      <alignment horizontal="left"/>
      <protection locked="0"/>
    </xf>
    <xf numFmtId="0" fontId="138" fillId="2" borderId="355" xfId="0" applyFont="1" applyFill="1" applyBorder="1" applyAlignment="1" applyProtection="1">
      <alignment horizontal="left"/>
      <protection locked="0"/>
    </xf>
    <xf numFmtId="0" fontId="138" fillId="2" borderId="358" xfId="0" applyFont="1" applyFill="1" applyBorder="1" applyAlignment="1" applyProtection="1">
      <alignment horizontal="left"/>
      <protection locked="0"/>
    </xf>
    <xf numFmtId="0" fontId="20" fillId="0" borderId="10" xfId="0" applyFont="1" applyBorder="1" applyAlignment="1" applyProtection="1">
      <alignment horizontal="left" vertical="center" wrapText="1"/>
      <protection locked="0"/>
    </xf>
    <xf numFmtId="0" fontId="20" fillId="0" borderId="10" xfId="0" applyFont="1" applyFill="1" applyBorder="1" applyAlignment="1" applyProtection="1">
      <alignment vertical="center" wrapText="1"/>
      <protection locked="0"/>
    </xf>
    <xf numFmtId="0" fontId="20" fillId="2" borderId="11" xfId="0" applyFont="1" applyFill="1" applyBorder="1" applyAlignment="1" applyProtection="1">
      <alignment horizontal="center" vertical="center" wrapText="1"/>
      <protection locked="0"/>
    </xf>
    <xf numFmtId="0" fontId="20" fillId="0" borderId="96" xfId="0" applyFont="1" applyBorder="1" applyAlignment="1" applyProtection="1">
      <alignment horizontal="left" vertical="center" wrapText="1"/>
      <protection locked="0"/>
    </xf>
    <xf numFmtId="0" fontId="20" fillId="2" borderId="96" xfId="14" applyFont="1" applyFill="1" applyBorder="1" applyAlignment="1" applyProtection="1">
      <alignment vertical="center" wrapText="1"/>
      <protection locked="0"/>
    </xf>
    <xf numFmtId="0" fontId="20" fillId="2" borderId="330" xfId="0" applyFont="1" applyFill="1" applyBorder="1" applyAlignment="1" applyProtection="1">
      <alignment horizontal="center" vertical="center" wrapText="1"/>
      <protection locked="0"/>
    </xf>
    <xf numFmtId="0" fontId="20" fillId="0" borderId="96" xfId="0" applyFont="1" applyFill="1" applyBorder="1" applyAlignment="1" applyProtection="1">
      <alignment vertical="center" wrapText="1"/>
      <protection locked="0"/>
    </xf>
    <xf numFmtId="0" fontId="20" fillId="0" borderId="330" xfId="0" applyFont="1" applyFill="1" applyBorder="1" applyAlignment="1" applyProtection="1">
      <alignment horizontal="center" vertical="center" wrapText="1"/>
      <protection locked="0"/>
    </xf>
    <xf numFmtId="0" fontId="20" fillId="0" borderId="98" xfId="0" applyFont="1" applyBorder="1" applyAlignment="1" applyProtection="1">
      <alignment horizontal="left" vertical="center" wrapText="1"/>
      <protection locked="0"/>
    </xf>
    <xf numFmtId="0" fontId="20" fillId="0" borderId="98" xfId="0" applyFont="1" applyFill="1" applyBorder="1" applyAlignment="1" applyProtection="1">
      <alignment vertical="center" wrapText="1"/>
      <protection locked="0"/>
    </xf>
    <xf numFmtId="0" fontId="20" fillId="0" borderId="264" xfId="0" applyFont="1" applyFill="1" applyBorder="1" applyAlignment="1" applyProtection="1">
      <alignment horizontal="center" vertical="center" wrapText="1"/>
      <protection locked="0"/>
    </xf>
    <xf numFmtId="0" fontId="20" fillId="2" borderId="10" xfId="0" applyFont="1" applyFill="1" applyBorder="1" applyAlignment="1" applyProtection="1">
      <alignment horizontal="left" vertical="center" wrapText="1"/>
      <protection locked="0"/>
    </xf>
    <xf numFmtId="0" fontId="20" fillId="0" borderId="96" xfId="0" applyNumberFormat="1" applyFont="1" applyBorder="1" applyAlignment="1" applyProtection="1">
      <alignment horizontal="left" vertical="center" wrapText="1"/>
      <protection locked="0"/>
    </xf>
    <xf numFmtId="0" fontId="20" fillId="0" borderId="98" xfId="0" applyNumberFormat="1" applyFont="1" applyBorder="1" applyAlignment="1" applyProtection="1">
      <alignment horizontal="left" vertical="center" wrapText="1"/>
      <protection locked="0"/>
    </xf>
    <xf numFmtId="0" fontId="20" fillId="0" borderId="98" xfId="0" applyFont="1" applyFill="1" applyBorder="1" applyAlignment="1" applyProtection="1">
      <alignment horizontal="left" vertical="center" wrapText="1"/>
      <protection locked="0"/>
    </xf>
    <xf numFmtId="0" fontId="20" fillId="2" borderId="98" xfId="14" applyFont="1" applyFill="1" applyBorder="1" applyAlignment="1" applyProtection="1">
      <alignment vertical="center" wrapText="1"/>
      <protection locked="0"/>
    </xf>
    <xf numFmtId="0" fontId="20" fillId="2" borderId="264" xfId="0" applyFont="1" applyFill="1" applyBorder="1" applyAlignment="1" applyProtection="1">
      <alignment horizontal="center" vertical="center" wrapText="1"/>
      <protection locked="0"/>
    </xf>
    <xf numFmtId="0" fontId="20" fillId="0" borderId="96" xfId="0" applyFont="1" applyFill="1" applyBorder="1" applyAlignment="1" applyProtection="1">
      <alignment horizontal="left" vertical="center" wrapText="1"/>
      <protection locked="0"/>
    </xf>
    <xf numFmtId="0" fontId="3" fillId="2" borderId="76" xfId="0" applyFont="1" applyFill="1" applyBorder="1" applyAlignment="1" applyProtection="1">
      <alignment horizontal="left" vertical="center" wrapText="1"/>
      <protection locked="0"/>
    </xf>
    <xf numFmtId="0" fontId="130" fillId="2" borderId="359" xfId="0" applyFont="1" applyFill="1" applyBorder="1" applyAlignment="1" applyProtection="1">
      <alignment horizontal="left" vertical="center" wrapText="1"/>
      <protection locked="0"/>
    </xf>
    <xf numFmtId="0" fontId="20" fillId="0" borderId="11" xfId="0" applyFont="1" applyFill="1" applyBorder="1" applyAlignment="1" applyProtection="1">
      <alignment horizontal="center" vertical="center" wrapText="1"/>
      <protection locked="0"/>
    </xf>
    <xf numFmtId="0" fontId="3" fillId="2" borderId="32" xfId="0" applyFont="1" applyFill="1" applyBorder="1" applyAlignment="1" applyProtection="1">
      <alignment horizontal="left" vertical="center" wrapText="1"/>
      <protection locked="0"/>
    </xf>
    <xf numFmtId="0" fontId="20" fillId="0" borderId="32" xfId="0" applyFont="1" applyBorder="1" applyAlignment="1" applyProtection="1">
      <alignment horizontal="left" vertical="center" wrapText="1"/>
      <protection locked="0"/>
    </xf>
    <xf numFmtId="0" fontId="20" fillId="0" borderId="32" xfId="0" applyFont="1" applyFill="1" applyBorder="1" applyAlignment="1" applyProtection="1">
      <alignment horizontal="left" vertical="center" wrapText="1"/>
      <protection locked="0"/>
    </xf>
    <xf numFmtId="0" fontId="20" fillId="0" borderId="66" xfId="0" applyFont="1" applyFill="1" applyBorder="1" applyAlignment="1" applyProtection="1">
      <alignment horizontal="center" vertical="center" wrapText="1"/>
      <protection locked="0"/>
    </xf>
    <xf numFmtId="0" fontId="20" fillId="0" borderId="32" xfId="0" applyNumberFormat="1" applyFont="1" applyBorder="1" applyAlignment="1" applyProtection="1">
      <alignment horizontal="left" vertical="center" wrapText="1"/>
      <protection locked="0"/>
    </xf>
    <xf numFmtId="0" fontId="0" fillId="0" borderId="32" xfId="0" applyBorder="1" applyAlignment="1" applyProtection="1">
      <alignment horizontal="left" vertical="center" wrapText="1"/>
      <protection locked="0"/>
    </xf>
    <xf numFmtId="0" fontId="0" fillId="0" borderId="66" xfId="0" applyBorder="1" applyAlignment="1" applyProtection="1">
      <alignment horizontal="center" vertical="center" wrapText="1"/>
      <protection locked="0"/>
    </xf>
    <xf numFmtId="0" fontId="0" fillId="2" borderId="15" xfId="0" applyFill="1" applyBorder="1" applyProtection="1">
      <protection locked="0"/>
    </xf>
    <xf numFmtId="0" fontId="0" fillId="2" borderId="0" xfId="0" applyFill="1" applyBorder="1" applyProtection="1">
      <protection locked="0"/>
    </xf>
    <xf numFmtId="0" fontId="0" fillId="2" borderId="45" xfId="0" applyFill="1" applyBorder="1" applyProtection="1">
      <protection locked="0"/>
    </xf>
    <xf numFmtId="0" fontId="0" fillId="2" borderId="31" xfId="0" applyFill="1" applyBorder="1" applyProtection="1">
      <protection locked="0"/>
    </xf>
    <xf numFmtId="0" fontId="20" fillId="0" borderId="299" xfId="0" applyFont="1" applyBorder="1" applyAlignment="1" applyProtection="1">
      <alignment horizontal="left" vertical="center" wrapText="1"/>
      <protection locked="0"/>
    </xf>
    <xf numFmtId="0" fontId="20" fillId="0" borderId="299" xfId="0" applyFont="1" applyFill="1" applyBorder="1" applyAlignment="1" applyProtection="1">
      <alignment vertical="center" wrapText="1"/>
      <protection locked="0"/>
    </xf>
    <xf numFmtId="0" fontId="105" fillId="49" borderId="63" xfId="0" applyFont="1" applyFill="1" applyBorder="1" applyAlignment="1" applyProtection="1">
      <alignment horizontal="left" vertical="center"/>
      <protection locked="0"/>
    </xf>
    <xf numFmtId="0" fontId="130" fillId="49" borderId="65" xfId="0" applyFont="1" applyFill="1" applyBorder="1" applyAlignment="1" applyProtection="1">
      <alignment horizontal="left" vertical="center" wrapText="1"/>
      <protection locked="0"/>
    </xf>
    <xf numFmtId="0" fontId="105" fillId="49" borderId="65" xfId="0" applyFont="1" applyFill="1" applyBorder="1" applyAlignment="1" applyProtection="1">
      <alignment horizontal="left" vertical="center"/>
      <protection locked="0"/>
    </xf>
    <xf numFmtId="0" fontId="105" fillId="49" borderId="86" xfId="0" applyFont="1" applyFill="1" applyBorder="1" applyAlignment="1" applyProtection="1">
      <alignment horizontal="left" vertical="center"/>
      <protection locked="0"/>
    </xf>
    <xf numFmtId="0" fontId="3" fillId="2" borderId="96" xfId="0" applyFont="1" applyFill="1" applyBorder="1" applyAlignment="1" applyProtection="1">
      <alignment horizontal="left" vertical="center" wrapText="1"/>
      <protection locked="0"/>
    </xf>
    <xf numFmtId="0" fontId="3" fillId="2" borderId="280" xfId="0" applyFont="1" applyFill="1" applyBorder="1" applyAlignment="1" applyProtection="1">
      <alignment horizontal="left" vertical="center" wrapText="1"/>
      <protection locked="0"/>
    </xf>
    <xf numFmtId="0" fontId="3" fillId="2" borderId="59" xfId="0" applyFont="1" applyFill="1" applyBorder="1" applyAlignment="1" applyProtection="1">
      <alignment horizontal="left" vertical="center" wrapText="1"/>
      <protection locked="0"/>
    </xf>
    <xf numFmtId="0" fontId="0" fillId="2" borderId="280" xfId="0" applyFill="1" applyBorder="1" applyProtection="1">
      <protection locked="0"/>
    </xf>
    <xf numFmtId="0" fontId="0" fillId="2" borderId="59" xfId="0" applyFill="1" applyBorder="1" applyProtection="1">
      <protection locked="0"/>
    </xf>
    <xf numFmtId="0" fontId="3" fillId="2" borderId="360" xfId="0" applyFont="1" applyFill="1" applyBorder="1" applyAlignment="1" applyProtection="1">
      <alignment horizontal="left" vertical="center" wrapText="1"/>
      <protection locked="0"/>
    </xf>
    <xf numFmtId="0" fontId="0" fillId="2" borderId="55" xfId="0" applyFill="1" applyBorder="1" applyProtection="1">
      <protection locked="0"/>
    </xf>
    <xf numFmtId="0" fontId="0" fillId="2" borderId="58" xfId="0" applyFill="1" applyBorder="1" applyProtection="1">
      <protection locked="0"/>
    </xf>
    <xf numFmtId="0" fontId="3" fillId="2" borderId="361" xfId="0" applyFont="1" applyFill="1" applyBorder="1" applyAlignment="1" applyProtection="1">
      <alignment horizontal="left" vertical="center" wrapText="1"/>
      <protection locked="0"/>
    </xf>
    <xf numFmtId="0" fontId="3" fillId="2" borderId="362" xfId="0" applyFont="1" applyFill="1" applyBorder="1" applyAlignment="1" applyProtection="1">
      <alignment horizontal="left" vertical="center" wrapText="1"/>
      <protection locked="0"/>
    </xf>
    <xf numFmtId="0" fontId="3" fillId="2" borderId="77" xfId="0" applyFont="1" applyFill="1" applyBorder="1" applyAlignment="1" applyProtection="1">
      <alignment horizontal="left" vertical="center" wrapText="1"/>
      <protection locked="0"/>
    </xf>
    <xf numFmtId="0" fontId="130" fillId="2" borderId="361" xfId="0" applyFont="1" applyFill="1" applyBorder="1" applyAlignment="1" applyProtection="1">
      <alignment horizontal="left" vertical="center" wrapText="1"/>
      <protection locked="0"/>
    </xf>
    <xf numFmtId="0" fontId="130" fillId="2" borderId="77" xfId="0" applyFont="1" applyFill="1" applyBorder="1" applyAlignment="1" applyProtection="1">
      <alignment horizontal="left" vertical="center" wrapText="1"/>
      <protection locked="0"/>
    </xf>
    <xf numFmtId="0" fontId="130" fillId="2" borderId="280" xfId="0" applyFont="1" applyFill="1" applyBorder="1" applyAlignment="1" applyProtection="1">
      <alignment horizontal="left" vertical="center" wrapText="1"/>
      <protection locked="0"/>
    </xf>
    <xf numFmtId="0" fontId="130" fillId="2" borderId="59" xfId="0" applyFont="1" applyFill="1" applyBorder="1" applyAlignment="1" applyProtection="1">
      <alignment horizontal="left" vertical="center" wrapText="1"/>
      <protection locked="0"/>
    </xf>
    <xf numFmtId="0" fontId="130" fillId="2" borderId="96" xfId="0" applyFont="1" applyFill="1" applyBorder="1" applyAlignment="1" applyProtection="1">
      <alignment horizontal="left" vertical="center" wrapText="1"/>
      <protection locked="0"/>
    </xf>
    <xf numFmtId="0" fontId="0" fillId="3" borderId="32" xfId="0" applyFill="1" applyBorder="1" applyProtection="1">
      <protection locked="0"/>
    </xf>
    <xf numFmtId="0" fontId="0" fillId="3" borderId="66" xfId="0" applyFill="1" applyBorder="1" applyProtection="1">
      <protection locked="0"/>
    </xf>
    <xf numFmtId="0" fontId="3" fillId="2" borderId="15" xfId="0" applyFont="1" applyFill="1" applyBorder="1" applyAlignment="1" applyProtection="1">
      <alignment horizontal="left" vertical="center" wrapText="1"/>
      <protection locked="0"/>
    </xf>
    <xf numFmtId="0" fontId="20" fillId="2" borderId="299" xfId="0" applyFont="1" applyFill="1" applyBorder="1" applyAlignment="1" applyProtection="1">
      <alignment horizontal="center" vertical="center" wrapText="1"/>
      <protection locked="0"/>
    </xf>
    <xf numFmtId="0" fontId="20" fillId="0" borderId="362" xfId="0" applyFont="1" applyBorder="1" applyAlignment="1" applyProtection="1">
      <alignment horizontal="left" vertical="center" wrapText="1"/>
      <protection locked="0"/>
    </xf>
    <xf numFmtId="0" fontId="20" fillId="0" borderId="362" xfId="0" applyFont="1" applyFill="1" applyBorder="1" applyAlignment="1" applyProtection="1">
      <alignment horizontal="left" vertical="center" wrapText="1"/>
      <protection locked="0"/>
    </xf>
    <xf numFmtId="0" fontId="3" fillId="2" borderId="43" xfId="0" applyFont="1" applyFill="1" applyBorder="1" applyAlignment="1" applyProtection="1">
      <alignment horizontal="left" vertical="center" wrapText="1"/>
      <protection locked="0"/>
    </xf>
    <xf numFmtId="0" fontId="0" fillId="2" borderId="31" xfId="0" applyFill="1" applyBorder="1" applyAlignment="1" applyProtection="1">
      <alignment wrapText="1"/>
      <protection locked="0"/>
    </xf>
    <xf numFmtId="0" fontId="0" fillId="2" borderId="46" xfId="0" applyFill="1" applyBorder="1" applyProtection="1">
      <protection locked="0"/>
    </xf>
    <xf numFmtId="0" fontId="0" fillId="2" borderId="98" xfId="0" applyFill="1" applyBorder="1" applyProtection="1">
      <protection locked="0"/>
    </xf>
    <xf numFmtId="0" fontId="0" fillId="2" borderId="362" xfId="0" applyFill="1" applyBorder="1" applyProtection="1">
      <protection locked="0"/>
    </xf>
    <xf numFmtId="0" fontId="0" fillId="2" borderId="11" xfId="0" applyFill="1" applyBorder="1" applyProtection="1">
      <protection locked="0"/>
    </xf>
    <xf numFmtId="0" fontId="0" fillId="2" borderId="65" xfId="0" applyFill="1" applyBorder="1" applyAlignment="1" applyProtection="1">
      <alignment wrapText="1"/>
      <protection locked="0"/>
    </xf>
    <xf numFmtId="0" fontId="0" fillId="2" borderId="362" xfId="0" applyFill="1" applyBorder="1" applyAlignment="1" applyProtection="1">
      <alignment wrapText="1"/>
      <protection locked="0"/>
    </xf>
    <xf numFmtId="0" fontId="0" fillId="0" borderId="9" xfId="0" applyFill="1" applyBorder="1" applyAlignment="1" applyProtection="1">
      <alignment horizontal="left" vertical="center"/>
      <protection locked="0"/>
    </xf>
    <xf numFmtId="0" fontId="0" fillId="0" borderId="285" xfId="0" applyFill="1" applyBorder="1" applyAlignment="1" applyProtection="1">
      <alignment horizontal="left" vertical="center"/>
      <protection locked="0"/>
    </xf>
    <xf numFmtId="0" fontId="0" fillId="3" borderId="363" xfId="0" applyFill="1" applyBorder="1"/>
    <xf numFmtId="0" fontId="0" fillId="3" borderId="362" xfId="0" applyFill="1" applyBorder="1" applyProtection="1">
      <protection locked="0"/>
    </xf>
    <xf numFmtId="0" fontId="0" fillId="3" borderId="11" xfId="0" applyFill="1" applyBorder="1" applyProtection="1">
      <protection locked="0"/>
    </xf>
    <xf numFmtId="0" fontId="0" fillId="2" borderId="31" xfId="0" applyFill="1" applyBorder="1" applyAlignment="1" applyProtection="1">
      <alignment vertical="center" wrapText="1"/>
      <protection locked="0"/>
    </xf>
    <xf numFmtId="0" fontId="0" fillId="2" borderId="98" xfId="0" applyFill="1" applyBorder="1" applyAlignment="1" applyProtection="1">
      <alignment wrapText="1"/>
      <protection locked="0"/>
    </xf>
    <xf numFmtId="0" fontId="0" fillId="2" borderId="98" xfId="0" applyFill="1" applyBorder="1" applyAlignment="1" applyProtection="1">
      <alignment vertical="center"/>
      <protection locked="0"/>
    </xf>
    <xf numFmtId="0" fontId="0" fillId="2" borderId="46" xfId="0" applyFill="1" applyBorder="1" applyAlignment="1" applyProtection="1">
      <alignment horizontal="left" vertical="center"/>
      <protection locked="0"/>
    </xf>
    <xf numFmtId="0" fontId="3" fillId="2" borderId="9" xfId="0" applyFont="1" applyFill="1" applyBorder="1" applyAlignment="1" applyProtection="1">
      <alignment horizontal="left" vertical="center" wrapText="1"/>
      <protection locked="0"/>
    </xf>
    <xf numFmtId="0" fontId="3" fillId="2" borderId="340" xfId="0" applyFont="1" applyFill="1" applyBorder="1" applyAlignment="1" applyProtection="1">
      <alignment horizontal="left" vertical="center" wrapText="1"/>
      <protection locked="0"/>
    </xf>
    <xf numFmtId="0" fontId="3" fillId="2" borderId="285" xfId="0" applyFont="1" applyFill="1" applyBorder="1" applyAlignment="1" applyProtection="1">
      <alignment horizontal="left" vertical="center" wrapText="1"/>
      <protection locked="0"/>
    </xf>
    <xf numFmtId="0" fontId="130" fillId="2" borderId="98" xfId="0" applyFont="1" applyFill="1" applyBorder="1" applyAlignment="1" applyProtection="1">
      <alignment horizontal="left" vertical="center" wrapText="1"/>
      <protection locked="0"/>
    </xf>
    <xf numFmtId="0" fontId="130" fillId="2" borderId="363" xfId="0" applyFont="1" applyFill="1" applyBorder="1" applyAlignment="1" applyProtection="1">
      <alignment horizontal="left" vertical="center" wrapText="1"/>
      <protection locked="0"/>
    </xf>
    <xf numFmtId="0" fontId="130" fillId="2" borderId="93" xfId="0" applyFont="1" applyFill="1" applyBorder="1" applyAlignment="1" applyProtection="1">
      <alignment horizontal="left" vertical="center" wrapText="1"/>
      <protection locked="0"/>
    </xf>
    <xf numFmtId="0" fontId="0" fillId="2" borderId="96" xfId="0" applyFill="1" applyBorder="1" applyProtection="1">
      <protection locked="0"/>
    </xf>
    <xf numFmtId="0" fontId="0" fillId="2" borderId="330" xfId="0" applyFill="1" applyBorder="1" applyProtection="1">
      <protection locked="0"/>
    </xf>
    <xf numFmtId="0" fontId="0" fillId="2" borderId="96" xfId="0" applyFill="1" applyBorder="1" applyAlignment="1" applyProtection="1">
      <alignment wrapText="1"/>
      <protection locked="0"/>
    </xf>
    <xf numFmtId="0" fontId="105" fillId="49" borderId="63" xfId="0" applyFont="1" applyFill="1" applyBorder="1" applyAlignment="1" applyProtection="1">
      <alignment horizontal="left" vertical="center" wrapText="1"/>
      <protection locked="0"/>
    </xf>
    <xf numFmtId="0" fontId="130" fillId="2" borderId="364" xfId="0" applyFont="1" applyFill="1" applyBorder="1" applyAlignment="1" applyProtection="1">
      <alignment horizontal="left" vertical="center" wrapText="1"/>
      <protection locked="0"/>
    </xf>
    <xf numFmtId="0" fontId="130" fillId="2" borderId="365" xfId="0" applyFont="1" applyFill="1" applyBorder="1" applyAlignment="1" applyProtection="1">
      <alignment horizontal="left" vertical="center" wrapText="1"/>
      <protection locked="0"/>
    </xf>
    <xf numFmtId="0" fontId="3" fillId="2" borderId="58" xfId="0" applyFont="1" applyFill="1" applyBorder="1" applyAlignment="1" applyProtection="1">
      <alignment horizontal="left" vertical="center" wrapText="1"/>
      <protection locked="0"/>
    </xf>
    <xf numFmtId="0" fontId="130" fillId="2" borderId="366" xfId="0" applyFont="1" applyFill="1" applyBorder="1" applyAlignment="1" applyProtection="1">
      <alignment horizontal="left" vertical="center" wrapText="1"/>
      <protection locked="0"/>
    </xf>
    <xf numFmtId="0" fontId="0" fillId="2" borderId="98" xfId="0" applyFill="1" applyBorder="1" applyAlignment="1" applyProtection="1">
      <alignment vertical="center" wrapText="1"/>
      <protection locked="0"/>
    </xf>
    <xf numFmtId="0" fontId="0" fillId="2" borderId="96" xfId="0" applyFill="1" applyBorder="1" applyAlignment="1" applyProtection="1">
      <alignment vertical="center" wrapText="1"/>
      <protection locked="0"/>
    </xf>
    <xf numFmtId="0" fontId="0" fillId="2" borderId="264" xfId="0" applyFill="1" applyBorder="1" applyAlignment="1" applyProtection="1">
      <alignment horizontal="left" vertical="center"/>
      <protection locked="0"/>
    </xf>
    <xf numFmtId="0" fontId="0" fillId="2" borderId="330" xfId="0" applyFill="1" applyBorder="1" applyAlignment="1" applyProtection="1">
      <alignment horizontal="left" vertical="center"/>
      <protection locked="0"/>
    </xf>
    <xf numFmtId="0" fontId="0" fillId="2" borderId="98" xfId="0" applyFill="1" applyBorder="1" applyAlignment="1" applyProtection="1">
      <alignment horizontal="left" vertical="center" wrapText="1"/>
      <protection locked="0"/>
    </xf>
    <xf numFmtId="0" fontId="0" fillId="2" borderId="96" xfId="0" applyFill="1" applyBorder="1" applyAlignment="1" applyProtection="1">
      <alignment horizontal="left" vertical="center"/>
      <protection locked="0"/>
    </xf>
    <xf numFmtId="0" fontId="0" fillId="2" borderId="96" xfId="0" applyFill="1" applyBorder="1" applyAlignment="1" applyProtection="1">
      <alignment horizontal="left" vertical="center" wrapText="1"/>
      <protection locked="0"/>
    </xf>
    <xf numFmtId="0" fontId="0" fillId="2" borderId="362" xfId="0" applyFill="1" applyBorder="1" applyAlignment="1" applyProtection="1">
      <alignment horizontal="left" vertical="center"/>
      <protection locked="0"/>
    </xf>
    <xf numFmtId="0" fontId="0" fillId="2" borderId="362" xfId="0" applyFill="1" applyBorder="1" applyAlignment="1" applyProtection="1">
      <alignment vertical="center" wrapText="1"/>
      <protection locked="0"/>
    </xf>
    <xf numFmtId="0" fontId="0" fillId="2" borderId="11" xfId="0" applyFill="1" applyBorder="1" applyAlignment="1" applyProtection="1">
      <alignment horizontal="left" vertical="center"/>
      <protection locked="0"/>
    </xf>
    <xf numFmtId="0" fontId="0" fillId="2" borderId="362" xfId="0" applyFill="1" applyBorder="1" applyAlignment="1" applyProtection="1">
      <alignment horizontal="left" vertical="center" wrapText="1"/>
      <protection locked="0"/>
    </xf>
    <xf numFmtId="0" fontId="0" fillId="2" borderId="98" xfId="0" applyFill="1" applyBorder="1" applyAlignment="1" applyProtection="1">
      <alignment horizontal="left" vertical="center"/>
      <protection locked="0"/>
    </xf>
    <xf numFmtId="0" fontId="0" fillId="54" borderId="48" xfId="0" applyFill="1" applyBorder="1"/>
    <xf numFmtId="43" fontId="0" fillId="54" borderId="48" xfId="3" applyFont="1" applyFill="1" applyBorder="1"/>
    <xf numFmtId="43" fontId="54" fillId="2" borderId="0" xfId="13" applyNumberFormat="1" applyFont="1" applyFill="1" applyBorder="1" applyAlignment="1">
      <alignment horizontal="left" vertical="top" wrapText="1"/>
    </xf>
    <xf numFmtId="2" fontId="54" fillId="2" borderId="0" xfId="15" applyNumberFormat="1" applyFont="1" applyFill="1" applyBorder="1" applyAlignment="1">
      <alignment horizontal="center" vertical="center"/>
    </xf>
    <xf numFmtId="0" fontId="25" fillId="2" borderId="43" xfId="13" applyFont="1" applyFill="1" applyBorder="1" applyAlignment="1">
      <alignment vertical="center"/>
    </xf>
    <xf numFmtId="4" fontId="25" fillId="2" borderId="16" xfId="13" applyNumberFormat="1" applyFont="1" applyFill="1" applyBorder="1" applyAlignment="1">
      <alignment horizontal="center" vertical="center"/>
    </xf>
    <xf numFmtId="2" fontId="34" fillId="14" borderId="31" xfId="13" applyNumberFormat="1" applyFont="1" applyFill="1" applyBorder="1" applyAlignment="1">
      <alignment horizontal="center" vertical="center"/>
    </xf>
    <xf numFmtId="2" fontId="25" fillId="14" borderId="31" xfId="13" applyNumberFormat="1" applyFont="1" applyFill="1" applyBorder="1" applyAlignment="1">
      <alignment horizontal="center" vertical="center"/>
    </xf>
    <xf numFmtId="0" fontId="25" fillId="14" borderId="31" xfId="13" applyFont="1" applyFill="1" applyBorder="1"/>
    <xf numFmtId="0" fontId="30" fillId="8" borderId="369" xfId="13" applyFont="1" applyFill="1" applyBorder="1" applyAlignment="1">
      <alignment horizontal="center" vertical="center"/>
    </xf>
    <xf numFmtId="0" fontId="30" fillId="8" borderId="370" xfId="13" applyFont="1" applyFill="1" applyBorder="1" applyAlignment="1">
      <alignment horizontal="center" vertical="center"/>
    </xf>
    <xf numFmtId="0" fontId="110" fillId="8" borderId="371" xfId="13" applyFont="1" applyFill="1" applyBorder="1" applyAlignment="1">
      <alignment horizontal="center" vertical="center"/>
    </xf>
    <xf numFmtId="0" fontId="30" fillId="17" borderId="372" xfId="14" applyFont="1" applyFill="1" applyBorder="1" applyAlignment="1" applyProtection="1">
      <alignment horizontal="left" vertical="center"/>
      <protection locked="0"/>
    </xf>
    <xf numFmtId="0" fontId="34" fillId="12" borderId="374" xfId="13" applyFont="1" applyFill="1" applyBorder="1" applyAlignment="1">
      <alignment vertical="center"/>
    </xf>
    <xf numFmtId="0" fontId="25" fillId="12" borderId="339" xfId="13" applyFont="1" applyFill="1" applyBorder="1" applyAlignment="1">
      <alignment horizontal="center" vertical="center"/>
    </xf>
    <xf numFmtId="0" fontId="25" fillId="14" borderId="339" xfId="13" applyFont="1" applyFill="1" applyBorder="1" applyAlignment="1">
      <alignment horizontal="center"/>
    </xf>
    <xf numFmtId="2" fontId="25" fillId="14" borderId="282" xfId="13" applyNumberFormat="1" applyFont="1" applyFill="1" applyBorder="1" applyAlignment="1">
      <alignment horizontal="center"/>
    </xf>
    <xf numFmtId="2" fontId="34" fillId="2" borderId="282" xfId="13" applyNumberFormat="1" applyFont="1" applyFill="1" applyBorder="1" applyAlignment="1">
      <alignment horizontal="center"/>
    </xf>
    <xf numFmtId="2" fontId="34" fillId="43" borderId="282" xfId="13" applyNumberFormat="1" applyFont="1" applyFill="1" applyBorder="1" applyAlignment="1">
      <alignment horizontal="center" vertical="center"/>
    </xf>
    <xf numFmtId="2" fontId="34" fillId="2" borderId="16" xfId="13" applyNumberFormat="1" applyFont="1" applyFill="1" applyBorder="1" applyAlignment="1">
      <alignment horizontal="center"/>
    </xf>
    <xf numFmtId="2" fontId="34" fillId="2" borderId="308" xfId="13" applyNumberFormat="1" applyFont="1" applyFill="1" applyBorder="1" applyAlignment="1">
      <alignment horizontal="center" vertical="center"/>
    </xf>
    <xf numFmtId="9" fontId="25" fillId="2" borderId="79" xfId="15" applyFont="1" applyFill="1" applyBorder="1" applyAlignment="1">
      <alignment horizontal="center" vertical="center"/>
    </xf>
    <xf numFmtId="4" fontId="0" fillId="2" borderId="16" xfId="0" applyNumberFormat="1" applyFill="1" applyBorder="1" applyAlignment="1">
      <alignment horizontal="center" vertical="top" wrapText="1"/>
    </xf>
    <xf numFmtId="4" fontId="0" fillId="2" borderId="16" xfId="0" applyNumberFormat="1" applyFont="1" applyFill="1" applyBorder="1" applyAlignment="1">
      <alignment horizontal="center" vertical="top" wrapText="1"/>
    </xf>
    <xf numFmtId="9" fontId="25" fillId="2" borderId="314" xfId="15" applyFont="1" applyFill="1" applyBorder="1" applyAlignment="1">
      <alignment horizontal="center" vertical="center"/>
    </xf>
    <xf numFmtId="9" fontId="54" fillId="2" borderId="79" xfId="15" applyFont="1" applyFill="1" applyBorder="1" applyAlignment="1">
      <alignment horizontal="center" vertical="center"/>
    </xf>
    <xf numFmtId="0" fontId="34" fillId="23" borderId="374" xfId="13" applyFont="1" applyFill="1" applyBorder="1" applyAlignment="1">
      <alignment vertical="center"/>
    </xf>
    <xf numFmtId="2" fontId="34" fillId="23" borderId="271" xfId="13" applyNumberFormat="1" applyFont="1" applyFill="1" applyBorder="1" applyAlignment="1">
      <alignment horizontal="center" vertical="center"/>
    </xf>
    <xf numFmtId="2" fontId="34" fillId="23" borderId="339" xfId="13" applyNumberFormat="1" applyFont="1" applyFill="1" applyBorder="1" applyAlignment="1">
      <alignment horizontal="center" vertical="center"/>
    </xf>
    <xf numFmtId="9" fontId="25" fillId="23" borderId="339" xfId="15" applyFont="1" applyFill="1" applyBorder="1" applyAlignment="1">
      <alignment horizontal="center" vertical="center"/>
    </xf>
    <xf numFmtId="0" fontId="25" fillId="23" borderId="332" xfId="13" applyFont="1" applyFill="1" applyBorder="1" applyAlignment="1">
      <alignment horizontal="left" vertical="top" wrapText="1"/>
    </xf>
    <xf numFmtId="0" fontId="54" fillId="2" borderId="375" xfId="13" applyFont="1" applyFill="1" applyBorder="1" applyAlignment="1">
      <alignment vertical="center"/>
    </xf>
    <xf numFmtId="0" fontId="25" fillId="0" borderId="55" xfId="13" applyFont="1" applyFill="1" applyBorder="1" applyAlignment="1">
      <alignment vertical="center"/>
    </xf>
    <xf numFmtId="0" fontId="34" fillId="2" borderId="55" xfId="13" applyFont="1" applyFill="1" applyBorder="1" applyAlignment="1">
      <alignment vertical="center"/>
    </xf>
    <xf numFmtId="2" fontId="34" fillId="2" borderId="16" xfId="13" applyNumberFormat="1" applyFont="1" applyFill="1" applyBorder="1" applyAlignment="1">
      <alignment horizontal="center" vertical="center"/>
    </xf>
    <xf numFmtId="0" fontId="25" fillId="2" borderId="376" xfId="13" applyFont="1" applyFill="1" applyBorder="1" applyAlignment="1">
      <alignment vertical="center"/>
    </xf>
    <xf numFmtId="43" fontId="25" fillId="2" borderId="282" xfId="3" applyFont="1" applyFill="1" applyBorder="1" applyAlignment="1">
      <alignment horizontal="left" vertical="top" wrapText="1"/>
    </xf>
    <xf numFmtId="43" fontId="25" fillId="2" borderId="16" xfId="3" applyFont="1" applyFill="1" applyBorder="1" applyAlignment="1">
      <alignment horizontal="left" vertical="top" wrapText="1"/>
    </xf>
    <xf numFmtId="167" fontId="25" fillId="2" borderId="282" xfId="13" applyNumberFormat="1" applyFont="1" applyFill="1" applyBorder="1" applyAlignment="1">
      <alignment horizontal="right" vertical="center"/>
    </xf>
    <xf numFmtId="2" fontId="25" fillId="2" borderId="16" xfId="13" applyNumberFormat="1" applyFont="1" applyFill="1" applyBorder="1" applyAlignment="1">
      <alignment horizontal="right" vertical="center"/>
    </xf>
    <xf numFmtId="184" fontId="25" fillId="2" borderId="282" xfId="13" applyNumberFormat="1" applyFont="1" applyFill="1" applyBorder="1" applyAlignment="1">
      <alignment horizontal="right" vertical="center"/>
    </xf>
    <xf numFmtId="184" fontId="25" fillId="2" borderId="16" xfId="13" applyNumberFormat="1" applyFont="1" applyFill="1" applyBorder="1" applyAlignment="1">
      <alignment horizontal="right" vertical="top" wrapText="1"/>
    </xf>
    <xf numFmtId="43" fontId="54" fillId="2" borderId="16" xfId="13" applyNumberFormat="1" applyFont="1" applyFill="1" applyBorder="1" applyAlignment="1">
      <alignment horizontal="left" vertical="top" wrapText="1"/>
    </xf>
    <xf numFmtId="43" fontId="54" fillId="2" borderId="16" xfId="3" applyFont="1" applyFill="1" applyBorder="1" applyAlignment="1">
      <alignment horizontal="left" vertical="top" wrapText="1"/>
    </xf>
    <xf numFmtId="43" fontId="22" fillId="2" borderId="0" xfId="3" applyFont="1" applyFill="1" applyBorder="1"/>
    <xf numFmtId="43" fontId="22" fillId="2" borderId="16" xfId="3" applyFont="1" applyFill="1" applyBorder="1"/>
    <xf numFmtId="0" fontId="30" fillId="8" borderId="374" xfId="13" applyFont="1" applyFill="1" applyBorder="1" applyAlignment="1">
      <alignment vertical="center"/>
    </xf>
    <xf numFmtId="2" fontId="25" fillId="14" borderId="339" xfId="13" applyNumberFormat="1" applyFont="1" applyFill="1" applyBorder="1" applyAlignment="1">
      <alignment horizontal="center"/>
    </xf>
    <xf numFmtId="0" fontId="25" fillId="2" borderId="282" xfId="13" applyFont="1" applyFill="1" applyBorder="1"/>
    <xf numFmtId="4" fontId="25" fillId="2" borderId="282" xfId="13" applyNumberFormat="1" applyFont="1" applyFill="1" applyBorder="1" applyAlignment="1">
      <alignment horizontal="center" vertical="center"/>
    </xf>
    <xf numFmtId="2" fontId="34" fillId="14" borderId="62" xfId="13" applyNumberFormat="1" applyFont="1" applyFill="1" applyBorder="1" applyAlignment="1">
      <alignment horizontal="center" vertical="center"/>
    </xf>
    <xf numFmtId="0" fontId="25" fillId="0" borderId="45" xfId="13" applyFont="1" applyFill="1" applyBorder="1" applyAlignment="1">
      <alignment vertical="center"/>
    </xf>
    <xf numFmtId="0" fontId="144" fillId="2" borderId="0" xfId="0" applyFont="1" applyFill="1" applyAlignment="1" applyProtection="1"/>
    <xf numFmtId="0" fontId="0" fillId="2" borderId="0" xfId="0" applyFont="1" applyFill="1" applyProtection="1"/>
    <xf numFmtId="0" fontId="145" fillId="2" borderId="0" xfId="0" applyFont="1" applyFill="1" applyProtection="1"/>
    <xf numFmtId="0" fontId="0" fillId="2" borderId="0" xfId="0" applyFont="1" applyFill="1" applyAlignment="1" applyProtection="1">
      <alignment horizontal="center"/>
    </xf>
    <xf numFmtId="43" fontId="0" fillId="54" borderId="45" xfId="0" applyNumberFormat="1" applyFill="1" applyBorder="1"/>
    <xf numFmtId="43" fontId="0" fillId="54" borderId="31" xfId="0" applyNumberFormat="1" applyFill="1" applyBorder="1"/>
    <xf numFmtId="0" fontId="105" fillId="3" borderId="76" xfId="0" applyFont="1" applyFill="1" applyBorder="1" applyAlignment="1" applyProtection="1">
      <alignment horizontal="center" vertical="center"/>
      <protection locked="0"/>
    </xf>
    <xf numFmtId="0" fontId="105" fillId="3" borderId="32" xfId="0" applyFont="1" applyFill="1" applyBorder="1" applyAlignment="1" applyProtection="1">
      <alignment horizontal="center" vertical="center" wrapText="1"/>
      <protection locked="0"/>
    </xf>
    <xf numFmtId="0" fontId="105" fillId="3" borderId="66" xfId="0" applyFont="1" applyFill="1" applyBorder="1" applyAlignment="1" applyProtection="1">
      <alignment horizontal="center" vertical="center" wrapText="1"/>
      <protection locked="0"/>
    </xf>
    <xf numFmtId="0" fontId="0" fillId="2" borderId="32" xfId="0" applyFill="1" applyBorder="1" applyAlignment="1" applyProtection="1">
      <alignment horizontal="center" vertical="center" wrapText="1"/>
      <protection locked="0"/>
    </xf>
    <xf numFmtId="0" fontId="0" fillId="0" borderId="65" xfId="0" applyFill="1" applyBorder="1" applyAlignment="1">
      <alignment horizontal="center" vertical="center"/>
    </xf>
    <xf numFmtId="0" fontId="0" fillId="0" borderId="66" xfId="0" applyFill="1" applyBorder="1" applyAlignment="1" applyProtection="1">
      <alignment horizontal="center" vertical="center"/>
      <protection locked="0"/>
    </xf>
    <xf numFmtId="0" fontId="0" fillId="0" borderId="32" xfId="0" applyFill="1" applyBorder="1" applyAlignment="1" applyProtection="1">
      <alignment horizontal="center" vertical="center" wrapText="1"/>
      <protection locked="0"/>
    </xf>
    <xf numFmtId="0" fontId="134" fillId="48" borderId="92" xfId="0" applyFont="1" applyFill="1" applyBorder="1" applyAlignment="1" applyProtection="1">
      <alignment horizontal="center"/>
      <protection locked="0"/>
    </xf>
    <xf numFmtId="0" fontId="20" fillId="2" borderId="0" xfId="0" applyFont="1" applyFill="1" applyBorder="1" applyAlignment="1" applyProtection="1">
      <alignment horizontal="center" vertical="center" wrapText="1"/>
      <protection locked="0"/>
    </xf>
    <xf numFmtId="0" fontId="20" fillId="2" borderId="0" xfId="14" applyFont="1" applyFill="1" applyBorder="1" applyAlignment="1" applyProtection="1">
      <alignment vertical="center" wrapText="1"/>
      <protection locked="0"/>
    </xf>
    <xf numFmtId="0" fontId="20" fillId="2" borderId="0" xfId="0" applyFont="1" applyFill="1" applyBorder="1" applyAlignment="1" applyProtection="1">
      <alignment horizontal="left" vertical="center" wrapText="1"/>
      <protection locked="0"/>
    </xf>
    <xf numFmtId="0" fontId="3" fillId="2" borderId="0" xfId="0" applyFont="1" applyFill="1" applyBorder="1" applyAlignment="1" applyProtection="1">
      <alignment horizontal="left" vertical="center" wrapText="1"/>
      <protection locked="0"/>
    </xf>
    <xf numFmtId="0" fontId="130" fillId="2" borderId="0" xfId="0" applyFont="1" applyFill="1" applyBorder="1" applyAlignment="1" applyProtection="1">
      <alignment horizontal="left" vertical="center" wrapText="1"/>
      <protection locked="0"/>
    </xf>
    <xf numFmtId="0" fontId="130" fillId="2" borderId="0" xfId="0" applyFont="1" applyFill="1" applyBorder="1" applyAlignment="1" applyProtection="1">
      <alignment horizontal="left" vertical="center"/>
      <protection locked="0"/>
    </xf>
    <xf numFmtId="0" fontId="130" fillId="2" borderId="0" xfId="0" applyFont="1" applyFill="1" applyBorder="1" applyAlignment="1" applyProtection="1">
      <alignment horizontal="left"/>
      <protection locked="0"/>
    </xf>
    <xf numFmtId="0" fontId="138" fillId="2" borderId="0" xfId="0" applyFont="1" applyFill="1" applyBorder="1" applyAlignment="1" applyProtection="1">
      <alignment horizontal="left"/>
      <protection locked="0"/>
    </xf>
    <xf numFmtId="0" fontId="143" fillId="2" borderId="0" xfId="0" applyFont="1" applyFill="1" applyBorder="1" applyAlignment="1" applyProtection="1">
      <alignment horizontal="left" vertical="center" wrapText="1"/>
      <protection locked="0"/>
    </xf>
    <xf numFmtId="0" fontId="26" fillId="9" borderId="24" xfId="0" applyFont="1" applyFill="1" applyBorder="1" applyAlignment="1">
      <alignment horizontal="center" vertical="center" wrapText="1"/>
    </xf>
    <xf numFmtId="0" fontId="26" fillId="9" borderId="111" xfId="0" applyFont="1" applyFill="1" applyBorder="1" applyAlignment="1">
      <alignment horizontal="center" vertical="center" wrapText="1"/>
    </xf>
    <xf numFmtId="0" fontId="0" fillId="2" borderId="379" xfId="0" applyFont="1" applyFill="1" applyBorder="1" applyAlignment="1">
      <alignment horizontal="left" vertical="center"/>
    </xf>
    <xf numFmtId="11" fontId="0" fillId="2" borderId="379" xfId="0" quotePrefix="1" applyNumberFormat="1" applyFill="1" applyBorder="1" applyAlignment="1">
      <alignment horizontal="center"/>
    </xf>
    <xf numFmtId="0" fontId="8" fillId="53" borderId="63" xfId="0" applyFont="1" applyFill="1" applyBorder="1" applyAlignment="1" applyProtection="1">
      <alignment horizontal="left" vertical="center"/>
      <protection locked="0"/>
    </xf>
    <xf numFmtId="0" fontId="8" fillId="53" borderId="65" xfId="0" applyFont="1" applyFill="1" applyBorder="1" applyAlignment="1" applyProtection="1">
      <alignment horizontal="left" vertical="center"/>
      <protection locked="0"/>
    </xf>
    <xf numFmtId="0" fontId="8" fillId="53" borderId="86" xfId="0" applyFont="1" applyFill="1" applyBorder="1" applyAlignment="1" applyProtection="1">
      <alignment horizontal="left" vertical="center"/>
      <protection locked="0"/>
    </xf>
    <xf numFmtId="0" fontId="113" fillId="2" borderId="0" xfId="13" applyFont="1" applyFill="1"/>
    <xf numFmtId="0" fontId="0" fillId="2" borderId="0" xfId="0" applyFill="1" applyAlignment="1" applyProtection="1">
      <alignment wrapText="1"/>
      <protection locked="0"/>
    </xf>
    <xf numFmtId="0" fontId="119" fillId="2" borderId="0" xfId="0" applyFont="1" applyFill="1" applyAlignment="1" applyProtection="1">
      <alignment horizontal="left" vertical="top" wrapText="1"/>
      <protection locked="0"/>
    </xf>
    <xf numFmtId="0" fontId="134" fillId="2" borderId="0" xfId="0" applyFont="1" applyFill="1" applyBorder="1" applyProtection="1">
      <protection locked="0"/>
    </xf>
    <xf numFmtId="0" fontId="19" fillId="2" borderId="0" xfId="0" applyFont="1" applyFill="1" applyBorder="1" applyAlignment="1" applyProtection="1">
      <alignment horizontal="left" vertical="center" wrapText="1"/>
      <protection locked="0"/>
    </xf>
    <xf numFmtId="0" fontId="19" fillId="2" borderId="0" xfId="0" applyFont="1" applyFill="1" applyBorder="1" applyAlignment="1" applyProtection="1">
      <alignment vertical="center" wrapText="1"/>
      <protection locked="0"/>
    </xf>
    <xf numFmtId="0" fontId="14" fillId="2" borderId="0" xfId="0" applyFont="1" applyFill="1" applyBorder="1" applyAlignment="1" applyProtection="1">
      <alignment horizontal="center" vertical="center" wrapText="1"/>
      <protection locked="0"/>
    </xf>
    <xf numFmtId="0" fontId="3" fillId="55" borderId="0" xfId="0" applyFont="1" applyFill="1" applyBorder="1" applyAlignment="1" applyProtection="1">
      <alignment horizontal="left" vertical="center" wrapText="1"/>
      <protection locked="0"/>
    </xf>
    <xf numFmtId="0" fontId="130" fillId="2" borderId="0" xfId="0" applyFont="1" applyFill="1" applyBorder="1" applyAlignment="1" applyProtection="1">
      <alignment horizontal="left" wrapText="1"/>
      <protection locked="0"/>
    </xf>
    <xf numFmtId="0" fontId="8" fillId="55" borderId="0" xfId="0" applyFont="1" applyFill="1" applyBorder="1" applyAlignment="1" applyProtection="1">
      <alignment horizontal="left" vertical="center"/>
      <protection locked="0"/>
    </xf>
    <xf numFmtId="0" fontId="19" fillId="2" borderId="0"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right" vertical="center" wrapText="1"/>
      <protection locked="0"/>
    </xf>
    <xf numFmtId="0" fontId="14" fillId="2" borderId="0" xfId="0" applyFont="1" applyFill="1" applyBorder="1" applyAlignment="1" applyProtection="1">
      <alignment horizontal="center" vertical="center"/>
      <protection locked="0"/>
    </xf>
    <xf numFmtId="0" fontId="119" fillId="2" borderId="0" xfId="0" applyFont="1" applyFill="1" applyAlignment="1" applyProtection="1">
      <alignment vertical="top" wrapText="1"/>
      <protection locked="0"/>
    </xf>
    <xf numFmtId="0" fontId="20" fillId="2" borderId="0" xfId="0" applyFont="1" applyFill="1" applyBorder="1" applyAlignment="1" applyProtection="1">
      <alignment vertical="center" wrapText="1"/>
      <protection locked="0"/>
    </xf>
    <xf numFmtId="0" fontId="20" fillId="2" borderId="0" xfId="0" applyNumberFormat="1" applyFont="1" applyFill="1" applyBorder="1" applyAlignment="1" applyProtection="1">
      <alignment horizontal="left" vertical="center" wrapText="1"/>
      <protection locked="0"/>
    </xf>
    <xf numFmtId="0" fontId="116" fillId="2" borderId="0" xfId="0" applyFont="1" applyFill="1" applyBorder="1" applyAlignment="1" applyProtection="1">
      <alignment vertical="center" wrapText="1"/>
      <protection locked="0"/>
    </xf>
    <xf numFmtId="0" fontId="14" fillId="2" borderId="356" xfId="0" applyFont="1" applyFill="1" applyBorder="1" applyAlignment="1" applyProtection="1">
      <alignment horizontal="center" vertical="center" wrapText="1"/>
      <protection locked="0"/>
    </xf>
    <xf numFmtId="0" fontId="14" fillId="2" borderId="357" xfId="0" applyFont="1" applyFill="1" applyBorder="1" applyAlignment="1" applyProtection="1">
      <alignment horizontal="center" vertical="center" wrapText="1"/>
      <protection locked="0"/>
    </xf>
    <xf numFmtId="0" fontId="130" fillId="2" borderId="355" xfId="0" applyFont="1" applyFill="1" applyBorder="1" applyAlignment="1" applyProtection="1">
      <alignment horizontal="left" wrapText="1"/>
      <protection locked="0"/>
    </xf>
    <xf numFmtId="0" fontId="130" fillId="2" borderId="358" xfId="0" applyFont="1" applyFill="1" applyBorder="1" applyAlignment="1" applyProtection="1">
      <alignment horizontal="left" wrapText="1"/>
      <protection locked="0"/>
    </xf>
    <xf numFmtId="0" fontId="8" fillId="55" borderId="0" xfId="0" applyFont="1" applyFill="1" applyBorder="1" applyAlignment="1" applyProtection="1">
      <alignment vertical="center"/>
      <protection locked="0"/>
    </xf>
    <xf numFmtId="0" fontId="0" fillId="2" borderId="0" xfId="0" applyFill="1" applyBorder="1" applyAlignment="1" applyProtection="1">
      <alignment horizontal="left" vertical="center" wrapText="1"/>
      <protection locked="0"/>
    </xf>
    <xf numFmtId="0" fontId="0" fillId="2" borderId="0" xfId="0" applyFill="1" applyBorder="1" applyAlignment="1" applyProtection="1">
      <alignment horizontal="center" vertical="center" wrapText="1"/>
      <protection locked="0"/>
    </xf>
    <xf numFmtId="0" fontId="115" fillId="2" borderId="0" xfId="13" applyFont="1" applyFill="1"/>
    <xf numFmtId="0" fontId="109" fillId="2" borderId="0" xfId="13" applyFill="1"/>
    <xf numFmtId="0" fontId="148" fillId="8" borderId="242" xfId="13" applyFont="1" applyFill="1" applyBorder="1" applyAlignment="1">
      <alignment horizontal="center" vertical="center" wrapText="1"/>
    </xf>
    <xf numFmtId="0" fontId="118" fillId="2" borderId="0" xfId="13" applyFont="1" applyFill="1"/>
    <xf numFmtId="0" fontId="109" fillId="2" borderId="0" xfId="13" applyFill="1" applyAlignment="1">
      <alignment horizontal="left" vertical="center"/>
    </xf>
    <xf numFmtId="3" fontId="109" fillId="2" borderId="0" xfId="13" applyNumberFormat="1" applyFill="1"/>
    <xf numFmtId="0" fontId="119" fillId="2" borderId="0" xfId="0" applyFont="1" applyFill="1"/>
    <xf numFmtId="0" fontId="19" fillId="2" borderId="0" xfId="13" applyFont="1" applyFill="1" applyBorder="1"/>
    <xf numFmtId="4" fontId="19" fillId="2" borderId="0" xfId="13" applyNumberFormat="1" applyFont="1" applyFill="1" applyBorder="1" applyAlignment="1">
      <alignment horizontal="center"/>
    </xf>
    <xf numFmtId="181" fontId="19" fillId="2" borderId="0" xfId="13" applyNumberFormat="1" applyFont="1" applyFill="1" applyBorder="1" applyAlignment="1">
      <alignment horizontal="center"/>
    </xf>
    <xf numFmtId="4" fontId="121" fillId="2" borderId="0" xfId="13" applyNumberFormat="1" applyFont="1" applyFill="1" applyBorder="1" applyAlignment="1">
      <alignment horizontal="center"/>
    </xf>
    <xf numFmtId="196" fontId="109" fillId="2" borderId="0" xfId="13" applyNumberFormat="1" applyFill="1"/>
    <xf numFmtId="181" fontId="109" fillId="2" borderId="0" xfId="13" applyNumberFormat="1" applyFill="1"/>
    <xf numFmtId="4" fontId="109" fillId="2" borderId="0" xfId="13" applyNumberFormat="1" applyFill="1"/>
    <xf numFmtId="195" fontId="109" fillId="2" borderId="0" xfId="13" applyNumberFormat="1" applyFill="1"/>
    <xf numFmtId="0" fontId="32" fillId="2" borderId="43" xfId="13" applyFont="1" applyFill="1" applyBorder="1"/>
    <xf numFmtId="0" fontId="32" fillId="2" borderId="30" xfId="13" applyFont="1" applyFill="1" applyBorder="1" applyAlignment="1">
      <alignment horizontal="center"/>
    </xf>
    <xf numFmtId="0" fontId="32" fillId="2" borderId="44" xfId="13" applyFont="1" applyFill="1" applyBorder="1" applyAlignment="1">
      <alignment horizontal="center" vertical="center"/>
    </xf>
    <xf numFmtId="0" fontId="32" fillId="2" borderId="15" xfId="13" applyFont="1" applyFill="1" applyBorder="1"/>
    <xf numFmtId="0" fontId="32" fillId="2" borderId="0" xfId="13" applyFont="1" applyFill="1" applyBorder="1" applyAlignment="1">
      <alignment horizontal="center"/>
    </xf>
    <xf numFmtId="0" fontId="32" fillId="2" borderId="16" xfId="13" applyFont="1" applyFill="1" applyBorder="1" applyAlignment="1">
      <alignment horizontal="center" vertical="center"/>
    </xf>
    <xf numFmtId="0" fontId="32" fillId="2" borderId="15" xfId="13" applyFont="1" applyFill="1" applyBorder="1" applyAlignment="1">
      <alignment horizontal="left" vertical="center"/>
    </xf>
    <xf numFmtId="0" fontId="32" fillId="2" borderId="242" xfId="13" applyFont="1" applyFill="1" applyBorder="1" applyAlignment="1">
      <alignment horizontal="center" vertical="center" wrapText="1"/>
    </xf>
    <xf numFmtId="0" fontId="32" fillId="2" borderId="239" xfId="13" applyFont="1" applyFill="1" applyBorder="1" applyAlignment="1">
      <alignment horizontal="center" vertical="center" wrapText="1"/>
    </xf>
    <xf numFmtId="0" fontId="32" fillId="2" borderId="298" xfId="13" applyFont="1" applyFill="1" applyBorder="1" applyAlignment="1">
      <alignment horizontal="center" vertical="center" wrapText="1"/>
    </xf>
    <xf numFmtId="0" fontId="32" fillId="2" borderId="0" xfId="13" applyFont="1" applyFill="1" applyBorder="1" applyAlignment="1">
      <alignment horizontal="center" vertical="center" wrapText="1"/>
    </xf>
    <xf numFmtId="0" fontId="32" fillId="2" borderId="258" xfId="13" applyFont="1" applyFill="1" applyBorder="1" applyAlignment="1">
      <alignment horizontal="center" vertical="center"/>
    </xf>
    <xf numFmtId="0" fontId="32" fillId="2" borderId="259" xfId="13" applyFont="1" applyFill="1" applyBorder="1"/>
    <xf numFmtId="0" fontId="19" fillId="2" borderId="248" xfId="13" applyFont="1" applyFill="1" applyBorder="1" applyAlignment="1">
      <alignment horizontal="center"/>
    </xf>
    <xf numFmtId="0" fontId="19" fillId="2" borderId="249" xfId="13" applyFont="1" applyFill="1" applyBorder="1" applyAlignment="1">
      <alignment horizontal="center"/>
    </xf>
    <xf numFmtId="0" fontId="19" fillId="2" borderId="249" xfId="13" applyFont="1" applyFill="1" applyBorder="1" applyAlignment="1">
      <alignment horizontal="left"/>
    </xf>
    <xf numFmtId="0" fontId="19" fillId="2" borderId="305" xfId="13" applyFont="1" applyFill="1" applyBorder="1" applyAlignment="1">
      <alignment horizontal="left"/>
    </xf>
    <xf numFmtId="0" fontId="19" fillId="2" borderId="250" xfId="13" applyFont="1" applyFill="1" applyBorder="1" applyAlignment="1">
      <alignment horizontal="left"/>
    </xf>
    <xf numFmtId="0" fontId="19" fillId="2" borderId="248" xfId="13" applyFont="1" applyFill="1" applyBorder="1" applyAlignment="1">
      <alignment horizontal="left"/>
    </xf>
    <xf numFmtId="0" fontId="19" fillId="2" borderId="294" xfId="13" applyFont="1" applyFill="1" applyBorder="1" applyAlignment="1">
      <alignment horizontal="left"/>
    </xf>
    <xf numFmtId="0" fontId="19" fillId="2" borderId="260" xfId="13" applyFont="1" applyFill="1" applyBorder="1" applyAlignment="1">
      <alignment horizontal="center"/>
    </xf>
    <xf numFmtId="0" fontId="19" fillId="2" borderId="15" xfId="13" applyFont="1" applyFill="1" applyBorder="1"/>
    <xf numFmtId="3" fontId="20" fillId="2" borderId="40" xfId="13" applyNumberFormat="1" applyFont="1" applyFill="1" applyBorder="1" applyAlignment="1">
      <alignment horizontal="center"/>
    </xf>
    <xf numFmtId="4" fontId="20" fillId="2" borderId="0" xfId="13" applyNumberFormat="1" applyFont="1" applyFill="1" applyBorder="1" applyAlignment="1">
      <alignment horizontal="center"/>
    </xf>
    <xf numFmtId="1" fontId="20" fillId="2" borderId="40" xfId="13" applyNumberFormat="1" applyFont="1" applyFill="1" applyBorder="1" applyAlignment="1">
      <alignment horizontal="center"/>
    </xf>
    <xf numFmtId="1" fontId="20" fillId="2" borderId="28" xfId="13" applyNumberFormat="1" applyFont="1" applyFill="1" applyBorder="1" applyAlignment="1">
      <alignment horizontal="center"/>
    </xf>
    <xf numFmtId="1" fontId="20" fillId="2" borderId="282" xfId="13" applyNumberFormat="1" applyFont="1" applyFill="1" applyBorder="1" applyAlignment="1">
      <alignment horizontal="center"/>
    </xf>
    <xf numFmtId="3" fontId="20" fillId="2" borderId="61" xfId="13" applyNumberFormat="1" applyFont="1" applyFill="1" applyBorder="1" applyAlignment="1">
      <alignment horizontal="center"/>
    </xf>
    <xf numFmtId="0" fontId="19" fillId="2" borderId="43" xfId="13" applyFont="1" applyFill="1" applyBorder="1"/>
    <xf numFmtId="3" fontId="19" fillId="2" borderId="78" xfId="13" applyNumberFormat="1" applyFont="1" applyFill="1" applyBorder="1" applyAlignment="1">
      <alignment horizontal="center"/>
    </xf>
    <xf numFmtId="3" fontId="19" fillId="2" borderId="30" xfId="13" applyNumberFormat="1" applyFont="1" applyFill="1" applyBorder="1" applyAlignment="1">
      <alignment horizontal="center"/>
    </xf>
    <xf numFmtId="3" fontId="19" fillId="2" borderId="53" xfId="13" applyNumberFormat="1" applyFont="1" applyFill="1" applyBorder="1" applyAlignment="1">
      <alignment horizontal="center"/>
    </xf>
    <xf numFmtId="3" fontId="19" fillId="2" borderId="67" xfId="13" applyNumberFormat="1" applyFont="1" applyFill="1" applyBorder="1" applyAlignment="1">
      <alignment horizontal="center"/>
    </xf>
    <xf numFmtId="3" fontId="19" fillId="2" borderId="10" xfId="13" applyNumberFormat="1" applyFont="1" applyFill="1" applyBorder="1" applyAlignment="1">
      <alignment horizontal="center"/>
    </xf>
    <xf numFmtId="3" fontId="19" fillId="2" borderId="11" xfId="13" applyNumberFormat="1" applyFont="1" applyFill="1" applyBorder="1" applyAlignment="1">
      <alignment horizontal="center"/>
    </xf>
    <xf numFmtId="0" fontId="19" fillId="2" borderId="261" xfId="13" applyFont="1" applyFill="1" applyBorder="1"/>
    <xf numFmtId="4" fontId="19" fillId="2" borderId="262" xfId="13" applyNumberFormat="1" applyFont="1" applyFill="1" applyBorder="1" applyAlignment="1">
      <alignment horizontal="center"/>
    </xf>
    <xf numFmtId="4" fontId="19" fillId="2" borderId="263" xfId="13" applyNumberFormat="1" applyFont="1" applyFill="1" applyBorder="1" applyAlignment="1">
      <alignment horizontal="center"/>
    </xf>
    <xf numFmtId="176" fontId="19" fillId="2" borderId="31" xfId="13" applyNumberFormat="1" applyFont="1" applyFill="1" applyBorder="1" applyAlignment="1">
      <alignment horizontal="center"/>
    </xf>
    <xf numFmtId="4" fontId="19" fillId="2" borderId="62" xfId="13" applyNumberFormat="1" applyFont="1" applyFill="1" applyBorder="1" applyAlignment="1">
      <alignment horizontal="center"/>
    </xf>
    <xf numFmtId="180" fontId="19" fillId="2" borderId="31" xfId="13" applyNumberFormat="1" applyFont="1" applyFill="1" applyBorder="1" applyAlignment="1">
      <alignment horizontal="center"/>
    </xf>
    <xf numFmtId="2" fontId="19" fillId="2" borderId="262" xfId="13" applyNumberFormat="1" applyFont="1" applyFill="1" applyBorder="1" applyAlignment="1">
      <alignment horizontal="center"/>
    </xf>
    <xf numFmtId="2" fontId="19" fillId="2" borderId="31" xfId="13" applyNumberFormat="1" applyFont="1" applyFill="1" applyBorder="1" applyAlignment="1">
      <alignment horizontal="center"/>
    </xf>
    <xf numFmtId="4" fontId="19" fillId="2" borderId="264" xfId="13" applyNumberFormat="1" applyFont="1" applyFill="1" applyBorder="1" applyAlignment="1">
      <alignment horizontal="center"/>
    </xf>
    <xf numFmtId="2" fontId="109" fillId="2" borderId="0" xfId="13" applyNumberFormat="1" applyFill="1"/>
    <xf numFmtId="0" fontId="1" fillId="2" borderId="0" xfId="1" applyFill="1"/>
    <xf numFmtId="0" fontId="1" fillId="2" borderId="0" xfId="1" applyFill="1" applyBorder="1"/>
    <xf numFmtId="0" fontId="16" fillId="2" borderId="0" xfId="1" applyFont="1" applyFill="1" applyBorder="1"/>
    <xf numFmtId="0" fontId="10" fillId="2" borderId="0" xfId="1" applyFont="1" applyFill="1" applyBorder="1"/>
    <xf numFmtId="0" fontId="24" fillId="2" borderId="0" xfId="0" applyFont="1" applyFill="1"/>
    <xf numFmtId="0" fontId="118" fillId="2" borderId="0" xfId="1" applyFont="1" applyFill="1"/>
    <xf numFmtId="0" fontId="16" fillId="2" borderId="0" xfId="1" applyFont="1" applyFill="1"/>
    <xf numFmtId="43" fontId="0" fillId="2" borderId="0" xfId="0" applyNumberFormat="1" applyFill="1"/>
    <xf numFmtId="171" fontId="0" fillId="2" borderId="0" xfId="0" applyNumberFormat="1" applyFill="1"/>
    <xf numFmtId="0" fontId="18" fillId="2" borderId="0" xfId="1" applyFont="1" applyFill="1"/>
    <xf numFmtId="0" fontId="1" fillId="2" borderId="0" xfId="1" applyFill="1" applyAlignment="1">
      <alignment wrapText="1"/>
    </xf>
    <xf numFmtId="3" fontId="1" fillId="2" borderId="0" xfId="1" applyNumberFormat="1" applyFill="1"/>
    <xf numFmtId="43" fontId="1" fillId="2" borderId="0" xfId="1" applyNumberFormat="1" applyFill="1"/>
    <xf numFmtId="0" fontId="17" fillId="2" borderId="0" xfId="1" applyFont="1" applyFill="1"/>
    <xf numFmtId="0" fontId="19" fillId="2" borderId="0" xfId="0" applyFont="1" applyFill="1" applyBorder="1"/>
    <xf numFmtId="43" fontId="1" fillId="2" borderId="0" xfId="1" applyNumberFormat="1" applyFill="1" applyBorder="1"/>
    <xf numFmtId="0" fontId="16" fillId="2" borderId="0" xfId="1" applyFont="1" applyFill="1" applyAlignment="1">
      <alignment wrapText="1"/>
    </xf>
    <xf numFmtId="0" fontId="1" fillId="2" borderId="0" xfId="1" applyFill="1" applyBorder="1" applyAlignment="1">
      <alignment wrapText="1"/>
    </xf>
    <xf numFmtId="0" fontId="16" fillId="2" borderId="0" xfId="1" applyFont="1" applyFill="1" applyBorder="1" applyAlignment="1">
      <alignment wrapText="1"/>
    </xf>
    <xf numFmtId="0" fontId="17" fillId="2" borderId="0" xfId="1" applyFont="1" applyFill="1" applyBorder="1"/>
    <xf numFmtId="171" fontId="1" fillId="2" borderId="0" xfId="1" applyNumberFormat="1" applyFill="1" applyBorder="1"/>
    <xf numFmtId="171" fontId="1" fillId="2" borderId="0" xfId="1" applyNumberFormat="1" applyFill="1"/>
    <xf numFmtId="171" fontId="16" fillId="2" borderId="0" xfId="1" applyNumberFormat="1" applyFont="1" applyFill="1"/>
    <xf numFmtId="171" fontId="16" fillId="2" borderId="0" xfId="3" applyNumberFormat="1" applyFont="1" applyFill="1" applyBorder="1"/>
    <xf numFmtId="0" fontId="18" fillId="2" borderId="0" xfId="1" applyFont="1" applyFill="1" applyBorder="1"/>
    <xf numFmtId="3" fontId="1" fillId="2" borderId="0" xfId="1" applyNumberFormat="1" applyFill="1" applyAlignment="1">
      <alignment wrapText="1"/>
    </xf>
    <xf numFmtId="0" fontId="40" fillId="2" borderId="0" xfId="0" applyFont="1" applyFill="1" applyAlignment="1">
      <alignment horizontal="left" vertical="center"/>
    </xf>
    <xf numFmtId="0" fontId="20" fillId="2" borderId="0" xfId="0" applyFont="1" applyFill="1"/>
    <xf numFmtId="1" fontId="0" fillId="2" borderId="0" xfId="0" applyNumberFormat="1" applyFill="1"/>
    <xf numFmtId="0" fontId="16" fillId="2" borderId="0" xfId="1" applyFont="1" applyFill="1" applyBorder="1" applyAlignment="1">
      <alignment horizontal="center" vertical="center"/>
    </xf>
    <xf numFmtId="1" fontId="24" fillId="2" borderId="0" xfId="0" applyNumberFormat="1" applyFont="1" applyFill="1"/>
    <xf numFmtId="178" fontId="24" fillId="2" borderId="0" xfId="0" applyNumberFormat="1" applyFont="1" applyFill="1"/>
    <xf numFmtId="178" fontId="0" fillId="2" borderId="0" xfId="0" applyNumberFormat="1" applyFill="1"/>
    <xf numFmtId="170" fontId="20" fillId="2" borderId="0" xfId="5" applyNumberFormat="1" applyFont="1" applyFill="1" applyBorder="1"/>
    <xf numFmtId="170" fontId="19" fillId="2" borderId="0" xfId="5" applyNumberFormat="1" applyFont="1" applyFill="1" applyBorder="1"/>
    <xf numFmtId="0" fontId="20" fillId="2" borderId="0" xfId="0" applyFont="1" applyFill="1" applyBorder="1" applyAlignment="1">
      <alignment horizontal="left"/>
    </xf>
    <xf numFmtId="0" fontId="20" fillId="2" borderId="0" xfId="0" applyFont="1" applyFill="1" applyBorder="1" applyAlignment="1">
      <alignment horizontal="center"/>
    </xf>
    <xf numFmtId="1" fontId="20" fillId="2" borderId="0" xfId="0" applyNumberFormat="1" applyFont="1" applyFill="1" applyBorder="1" applyAlignment="1">
      <alignment horizontal="right"/>
    </xf>
    <xf numFmtId="171" fontId="20" fillId="2" borderId="0" xfId="9" applyNumberFormat="1" applyFont="1" applyFill="1" applyBorder="1" applyAlignment="1">
      <alignment horizontal="right"/>
    </xf>
    <xf numFmtId="3" fontId="20" fillId="2" borderId="0" xfId="0" applyNumberFormat="1" applyFont="1" applyFill="1"/>
    <xf numFmtId="173" fontId="20" fillId="2" borderId="0" xfId="4" applyNumberFormat="1" applyFont="1" applyFill="1"/>
    <xf numFmtId="43" fontId="20" fillId="2" borderId="0" xfId="0" applyNumberFormat="1" applyFont="1" applyFill="1"/>
    <xf numFmtId="170" fontId="20" fillId="2" borderId="0" xfId="5" applyNumberFormat="1" applyFont="1" applyFill="1"/>
    <xf numFmtId="170" fontId="20" fillId="2" borderId="0" xfId="5" applyNumberFormat="1" applyFont="1" applyFill="1" applyBorder="1" applyAlignment="1">
      <alignment horizontal="right"/>
    </xf>
    <xf numFmtId="170" fontId="19" fillId="2" borderId="0" xfId="5" applyNumberFormat="1" applyFont="1" applyFill="1"/>
    <xf numFmtId="170" fontId="19" fillId="2" borderId="0" xfId="5" applyNumberFormat="1" applyFont="1" applyFill="1" applyBorder="1" applyAlignment="1">
      <alignment horizontal="right"/>
    </xf>
    <xf numFmtId="170" fontId="20" fillId="2" borderId="0" xfId="5" applyNumberFormat="1" applyFont="1" applyFill="1" applyAlignment="1">
      <alignment horizontal="center"/>
    </xf>
    <xf numFmtId="0" fontId="20" fillId="2" borderId="0" xfId="5" applyFont="1" applyFill="1"/>
    <xf numFmtId="170" fontId="36" fillId="2" borderId="0" xfId="5" applyNumberFormat="1" applyFont="1" applyFill="1"/>
    <xf numFmtId="170" fontId="36" fillId="2" borderId="0" xfId="5" applyNumberFormat="1" applyFont="1" applyFill="1" applyBorder="1"/>
    <xf numFmtId="170" fontId="36" fillId="2" borderId="0" xfId="5" applyNumberFormat="1" applyFont="1" applyFill="1" applyBorder="1" applyAlignment="1">
      <alignment horizontal="right"/>
    </xf>
    <xf numFmtId="0" fontId="1" fillId="2" borderId="0" xfId="1" applyFill="1" applyAlignment="1">
      <alignment horizontal="left" vertical="center"/>
    </xf>
    <xf numFmtId="0" fontId="108" fillId="56" borderId="0" xfId="0" applyFont="1" applyFill="1" applyBorder="1"/>
    <xf numFmtId="0" fontId="18" fillId="2" borderId="0" xfId="1" applyFont="1" applyFill="1" applyAlignment="1">
      <alignment wrapText="1"/>
    </xf>
    <xf numFmtId="0" fontId="17" fillId="2" borderId="0" xfId="1" applyFont="1" applyFill="1" applyBorder="1" applyAlignment="1">
      <alignment wrapText="1"/>
    </xf>
    <xf numFmtId="3" fontId="1" fillId="2" borderId="0" xfId="1" applyNumberFormat="1" applyFill="1" applyBorder="1"/>
    <xf numFmtId="0" fontId="21" fillId="2" borderId="0" xfId="2" applyFill="1" applyBorder="1"/>
    <xf numFmtId="43" fontId="18" fillId="2" borderId="0" xfId="1" applyNumberFormat="1" applyFont="1" applyFill="1" applyAlignment="1">
      <alignment wrapText="1"/>
    </xf>
    <xf numFmtId="0" fontId="17" fillId="2" borderId="0" xfId="1" applyFont="1" applyFill="1" applyAlignment="1">
      <alignment wrapText="1"/>
    </xf>
    <xf numFmtId="0" fontId="21" fillId="2" borderId="0" xfId="2" applyFill="1"/>
    <xf numFmtId="0" fontId="118" fillId="2" borderId="0" xfId="1" applyFont="1" applyFill="1" applyAlignment="1">
      <alignment wrapText="1"/>
    </xf>
    <xf numFmtId="43" fontId="0" fillId="2" borderId="0" xfId="0" applyNumberFormat="1" applyFill="1" applyBorder="1"/>
    <xf numFmtId="189" fontId="0" fillId="2" borderId="0" xfId="0" applyNumberFormat="1" applyFill="1" applyBorder="1"/>
    <xf numFmtId="179" fontId="0" fillId="2" borderId="0" xfId="0" applyNumberFormat="1" applyFill="1" applyBorder="1"/>
    <xf numFmtId="170" fontId="43" fillId="2" borderId="0" xfId="5" applyNumberFormat="1" applyFont="1" applyFill="1" applyBorder="1"/>
    <xf numFmtId="170" fontId="25" fillId="2" borderId="0" xfId="5" applyNumberFormat="1" applyFont="1" applyFill="1" applyBorder="1"/>
    <xf numFmtId="170" fontId="25" fillId="2" borderId="0" xfId="5" applyNumberFormat="1" applyFont="1" applyFill="1"/>
    <xf numFmtId="0" fontId="38" fillId="2" borderId="0" xfId="0" applyFont="1" applyFill="1" applyAlignment="1">
      <alignment horizontal="left" vertical="center"/>
    </xf>
    <xf numFmtId="0" fontId="25" fillId="2" borderId="0" xfId="0" applyFont="1" applyFill="1"/>
    <xf numFmtId="170" fontId="34" fillId="2" borderId="0" xfId="5" applyNumberFormat="1" applyFont="1" applyFill="1"/>
    <xf numFmtId="170" fontId="34" fillId="2" borderId="0" xfId="5" applyNumberFormat="1" applyFont="1" applyFill="1" applyBorder="1"/>
    <xf numFmtId="170" fontId="30" fillId="2" borderId="0" xfId="5" applyNumberFormat="1" applyFont="1" applyFill="1" applyBorder="1" applyAlignment="1">
      <alignment horizontal="center"/>
    </xf>
    <xf numFmtId="3" fontId="25" fillId="2" borderId="0" xfId="0" applyNumberFormat="1" applyFont="1" applyFill="1"/>
    <xf numFmtId="2" fontId="45" fillId="2" borderId="0" xfId="7" applyNumberFormat="1" applyFont="1" applyFill="1" applyBorder="1" applyAlignment="1">
      <alignment horizontal="right" wrapText="1"/>
    </xf>
    <xf numFmtId="0" fontId="25" fillId="2" borderId="0" xfId="0" applyFont="1" applyFill="1" applyBorder="1"/>
    <xf numFmtId="0" fontId="47" fillId="2" borderId="0" xfId="0" applyFont="1" applyFill="1"/>
    <xf numFmtId="0" fontId="25" fillId="2" borderId="0" xfId="0" applyFont="1" applyFill="1" applyBorder="1" applyAlignment="1">
      <alignment horizontal="left" vertical="center"/>
    </xf>
    <xf numFmtId="0" fontId="25" fillId="2" borderId="0" xfId="0" applyFont="1" applyFill="1" applyBorder="1" applyAlignment="1">
      <alignment horizontal="center" vertical="center"/>
    </xf>
    <xf numFmtId="3" fontId="25" fillId="2" borderId="0" xfId="5" applyNumberFormat="1" applyFont="1" applyFill="1" applyBorder="1" applyAlignment="1">
      <alignment horizontal="center" vertical="center"/>
    </xf>
    <xf numFmtId="171" fontId="25" fillId="2" borderId="0" xfId="0" applyNumberFormat="1" applyFont="1" applyFill="1" applyBorder="1" applyAlignment="1">
      <alignment horizontal="center" vertical="center"/>
    </xf>
    <xf numFmtId="171" fontId="25" fillId="2" borderId="0" xfId="9" applyNumberFormat="1" applyFont="1" applyFill="1" applyBorder="1" applyAlignment="1">
      <alignment horizontal="center" vertical="center"/>
    </xf>
    <xf numFmtId="171" fontId="25" fillId="2" borderId="0" xfId="9" applyNumberFormat="1" applyFont="1" applyFill="1" applyBorder="1" applyAlignment="1">
      <alignment horizontal="left" vertical="center"/>
    </xf>
    <xf numFmtId="171" fontId="25" fillId="2" borderId="0" xfId="9" applyNumberFormat="1" applyFont="1" applyFill="1" applyBorder="1" applyAlignment="1">
      <alignment horizontal="left"/>
    </xf>
    <xf numFmtId="0" fontId="25" fillId="2" borderId="0" xfId="0" applyFont="1" applyFill="1" applyAlignment="1">
      <alignment horizontal="center" vertical="center"/>
    </xf>
    <xf numFmtId="0" fontId="34" fillId="2" borderId="0" xfId="0" applyFont="1" applyFill="1" applyBorder="1" applyAlignment="1">
      <alignment horizontal="left" vertical="center"/>
    </xf>
    <xf numFmtId="3" fontId="25" fillId="2" borderId="0" xfId="0" applyNumberFormat="1" applyFont="1" applyFill="1" applyBorder="1" applyAlignment="1">
      <alignment horizontal="center" vertical="center"/>
    </xf>
    <xf numFmtId="0" fontId="46" fillId="2" borderId="0" xfId="0" applyFont="1" applyFill="1" applyAlignment="1">
      <alignment horizontal="left" vertical="center"/>
    </xf>
    <xf numFmtId="0" fontId="25" fillId="2" borderId="0" xfId="0" applyFont="1" applyFill="1" applyAlignment="1">
      <alignment wrapText="1"/>
    </xf>
    <xf numFmtId="9" fontId="25" fillId="2" borderId="0" xfId="4" applyFont="1" applyFill="1" applyBorder="1" applyAlignment="1">
      <alignment horizontal="center" vertical="center"/>
    </xf>
    <xf numFmtId="43" fontId="25" fillId="2" borderId="0" xfId="0" applyNumberFormat="1" applyFont="1" applyFill="1" applyAlignment="1">
      <alignment horizontal="center" vertical="center"/>
    </xf>
    <xf numFmtId="0" fontId="25" fillId="2" borderId="0" xfId="0" applyFont="1" applyFill="1" applyBorder="1" applyAlignment="1">
      <alignment horizontal="center"/>
    </xf>
    <xf numFmtId="3" fontId="25" fillId="2" borderId="0" xfId="5" applyNumberFormat="1" applyFont="1" applyFill="1" applyBorder="1" applyAlignment="1">
      <alignment horizontal="center"/>
    </xf>
    <xf numFmtId="171" fontId="25" fillId="2" borderId="0" xfId="3" applyNumberFormat="1" applyFont="1" applyFill="1"/>
    <xf numFmtId="0" fontId="52" fillId="2" borderId="0" xfId="0" applyFont="1" applyFill="1" applyAlignment="1">
      <alignment vertical="center"/>
    </xf>
    <xf numFmtId="43" fontId="25" fillId="2" borderId="0" xfId="0" applyNumberFormat="1" applyFont="1" applyFill="1"/>
    <xf numFmtId="9" fontId="25" fillId="2" borderId="0" xfId="4" applyFont="1" applyFill="1"/>
    <xf numFmtId="0" fontId="24" fillId="2" borderId="0" xfId="0" applyFont="1" applyFill="1" applyBorder="1"/>
    <xf numFmtId="171" fontId="0" fillId="2" borderId="0" xfId="0" applyNumberFormat="1" applyFill="1" applyBorder="1"/>
    <xf numFmtId="0" fontId="0" fillId="2" borderId="0" xfId="0" applyFill="1" applyBorder="1" applyAlignment="1">
      <alignment horizontal="left" indent="2"/>
    </xf>
    <xf numFmtId="170" fontId="25" fillId="2" borderId="0" xfId="5" applyNumberFormat="1" applyFont="1" applyFill="1" applyBorder="1" applyAlignment="1">
      <alignment horizontal="right"/>
    </xf>
    <xf numFmtId="43" fontId="25" fillId="2" borderId="0" xfId="0" applyNumberFormat="1" applyFont="1" applyFill="1" applyBorder="1"/>
    <xf numFmtId="3" fontId="25" fillId="2" borderId="0" xfId="0" applyNumberFormat="1" applyFont="1" applyFill="1" applyBorder="1"/>
    <xf numFmtId="0" fontId="51" fillId="2" borderId="0" xfId="0" applyFont="1" applyFill="1"/>
    <xf numFmtId="0" fontId="25" fillId="2" borderId="0" xfId="0" applyFont="1" applyFill="1" applyAlignment="1">
      <alignment vertical="center"/>
    </xf>
    <xf numFmtId="170" fontId="44" fillId="2" borderId="0" xfId="5" applyNumberFormat="1" applyFont="1" applyFill="1" applyBorder="1"/>
    <xf numFmtId="0" fontId="30" fillId="2" borderId="0" xfId="0" applyFont="1" applyFill="1" applyBorder="1" applyAlignment="1">
      <alignment horizontal="center" wrapText="1"/>
    </xf>
    <xf numFmtId="170" fontId="25" fillId="2" borderId="0" xfId="5" applyNumberFormat="1" applyFont="1" applyFill="1" applyBorder="1" applyAlignment="1">
      <alignment horizontal="center"/>
    </xf>
    <xf numFmtId="2" fontId="25" fillId="2" borderId="0" xfId="5" applyNumberFormat="1" applyFont="1" applyFill="1" applyBorder="1" applyAlignment="1">
      <alignment horizontal="center"/>
    </xf>
    <xf numFmtId="1" fontId="25" fillId="2" borderId="0" xfId="5" applyNumberFormat="1" applyFont="1" applyFill="1" applyBorder="1" applyAlignment="1">
      <alignment horizontal="center"/>
    </xf>
    <xf numFmtId="0" fontId="0" fillId="2" borderId="30" xfId="0" applyFill="1" applyBorder="1"/>
    <xf numFmtId="0" fontId="0" fillId="2" borderId="0" xfId="0" applyFill="1" applyAlignment="1">
      <alignment vertical="top"/>
    </xf>
    <xf numFmtId="43" fontId="0" fillId="2" borderId="0" xfId="3" applyFont="1" applyFill="1" applyBorder="1"/>
    <xf numFmtId="43" fontId="0" fillId="2" borderId="0" xfId="3" applyFont="1" applyFill="1"/>
    <xf numFmtId="0" fontId="106" fillId="56" borderId="0" xfId="0" applyFont="1" applyFill="1" applyBorder="1"/>
    <xf numFmtId="0" fontId="106" fillId="2" borderId="0" xfId="0" applyFont="1" applyFill="1" applyBorder="1"/>
    <xf numFmtId="179" fontId="0" fillId="2" borderId="0" xfId="3" applyNumberFormat="1" applyFont="1" applyFill="1" applyBorder="1"/>
    <xf numFmtId="179" fontId="1" fillId="2" borderId="0" xfId="11" applyNumberFormat="1" applyFont="1" applyFill="1" applyBorder="1"/>
    <xf numFmtId="179" fontId="16" fillId="2" borderId="0" xfId="11" applyNumberFormat="1" applyFont="1" applyFill="1" applyBorder="1"/>
    <xf numFmtId="189" fontId="0" fillId="2" borderId="0" xfId="3" applyNumberFormat="1" applyFont="1" applyFill="1" applyBorder="1"/>
    <xf numFmtId="190" fontId="24" fillId="2" borderId="0" xfId="0" applyNumberFormat="1" applyFont="1" applyFill="1" applyBorder="1"/>
    <xf numFmtId="165" fontId="0" fillId="2" borderId="0" xfId="0" applyNumberFormat="1" applyFill="1" applyBorder="1"/>
    <xf numFmtId="191" fontId="106" fillId="2" borderId="0" xfId="0" applyNumberFormat="1" applyFont="1" applyFill="1" applyBorder="1"/>
    <xf numFmtId="167" fontId="0" fillId="2" borderId="0" xfId="0" applyNumberFormat="1" applyFill="1" applyBorder="1"/>
    <xf numFmtId="191" fontId="0" fillId="2" borderId="0" xfId="0" applyNumberFormat="1" applyFill="1" applyBorder="1"/>
    <xf numFmtId="0" fontId="0" fillId="2" borderId="0" xfId="0" quotePrefix="1" applyFill="1" applyBorder="1"/>
    <xf numFmtId="186" fontId="0" fillId="2" borderId="0" xfId="0" applyNumberFormat="1" applyFill="1" applyBorder="1"/>
    <xf numFmtId="192" fontId="106" fillId="2" borderId="0" xfId="0" applyNumberFormat="1" applyFont="1" applyFill="1" applyBorder="1"/>
    <xf numFmtId="193" fontId="106" fillId="2" borderId="0" xfId="0" applyNumberFormat="1" applyFont="1" applyFill="1" applyBorder="1"/>
    <xf numFmtId="179" fontId="24" fillId="2" borderId="0" xfId="0" applyNumberFormat="1" applyFont="1" applyFill="1" applyBorder="1"/>
    <xf numFmtId="197" fontId="0" fillId="2" borderId="0" xfId="0" applyNumberFormat="1" applyFill="1" applyBorder="1"/>
    <xf numFmtId="197" fontId="0" fillId="2" borderId="0" xfId="0" applyNumberFormat="1" applyFill="1"/>
    <xf numFmtId="0" fontId="0" fillId="2" borderId="0" xfId="0" applyFill="1" applyAlignment="1">
      <alignment wrapText="1"/>
    </xf>
    <xf numFmtId="0" fontId="0" fillId="2" borderId="0" xfId="0" applyNumberFormat="1" applyFill="1"/>
    <xf numFmtId="171" fontId="24" fillId="2" borderId="0" xfId="3" applyNumberFormat="1" applyFont="1" applyFill="1"/>
    <xf numFmtId="171" fontId="24" fillId="2" borderId="0" xfId="3" applyNumberFormat="1" applyFont="1" applyFill="1" applyBorder="1"/>
    <xf numFmtId="171" fontId="0" fillId="2" borderId="0" xfId="3" applyNumberFormat="1" applyFont="1" applyFill="1" applyBorder="1"/>
    <xf numFmtId="0" fontId="58" fillId="2" borderId="0" xfId="1" applyFont="1" applyFill="1" applyBorder="1"/>
    <xf numFmtId="0" fontId="35" fillId="2" borderId="0" xfId="0" applyFont="1" applyFill="1" applyBorder="1"/>
    <xf numFmtId="1" fontId="134" fillId="2" borderId="0" xfId="0" applyNumberFormat="1" applyFont="1" applyFill="1" applyBorder="1"/>
    <xf numFmtId="43" fontId="35" fillId="2" borderId="0" xfId="3" applyFont="1" applyFill="1" applyBorder="1"/>
    <xf numFmtId="1" fontId="35" fillId="2" borderId="0" xfId="0" applyNumberFormat="1" applyFont="1" applyFill="1" applyBorder="1"/>
    <xf numFmtId="0" fontId="139" fillId="2" borderId="0" xfId="1" applyFont="1" applyFill="1" applyBorder="1"/>
    <xf numFmtId="0" fontId="140" fillId="2" borderId="0" xfId="0" applyFont="1" applyFill="1" applyBorder="1"/>
    <xf numFmtId="0" fontId="141" fillId="2" borderId="0" xfId="0" applyFont="1" applyFill="1" applyBorder="1"/>
    <xf numFmtId="0" fontId="139" fillId="2" borderId="0" xfId="1" applyFont="1" applyFill="1" applyBorder="1" applyAlignment="1">
      <alignment wrapText="1"/>
    </xf>
    <xf numFmtId="0" fontId="16" fillId="2" borderId="63" xfId="1" applyFont="1" applyFill="1" applyBorder="1" applyAlignment="1">
      <alignment wrapText="1"/>
    </xf>
    <xf numFmtId="0" fontId="24" fillId="2" borderId="65" xfId="0" applyFont="1" applyFill="1" applyBorder="1"/>
    <xf numFmtId="0" fontId="24" fillId="2" borderId="92" xfId="0" applyFont="1" applyFill="1" applyBorder="1"/>
    <xf numFmtId="0" fontId="24" fillId="2" borderId="45" xfId="0" applyFont="1" applyFill="1" applyBorder="1"/>
    <xf numFmtId="0" fontId="24" fillId="2" borderId="31" xfId="0" applyFont="1" applyFill="1" applyBorder="1"/>
    <xf numFmtId="0" fontId="24" fillId="2" borderId="48" xfId="0" applyFont="1" applyFill="1" applyBorder="1"/>
    <xf numFmtId="0" fontId="142" fillId="2" borderId="0" xfId="0" applyFont="1" applyFill="1" applyBorder="1"/>
    <xf numFmtId="43" fontId="140" fillId="2" borderId="0" xfId="0" applyNumberFormat="1" applyFont="1" applyFill="1" applyBorder="1"/>
    <xf numFmtId="0" fontId="0" fillId="2" borderId="49" xfId="0" applyFill="1" applyBorder="1"/>
    <xf numFmtId="43" fontId="0" fillId="2" borderId="43" xfId="0" applyNumberFormat="1" applyFill="1" applyBorder="1"/>
    <xf numFmtId="43" fontId="0" fillId="2" borderId="30" xfId="0" applyNumberFormat="1" applyFill="1" applyBorder="1"/>
    <xf numFmtId="43" fontId="0" fillId="2" borderId="44" xfId="0" applyNumberFormat="1" applyFill="1" applyBorder="1"/>
    <xf numFmtId="43" fontId="0" fillId="2" borderId="49" xfId="0" applyNumberFormat="1" applyFill="1" applyBorder="1"/>
    <xf numFmtId="43" fontId="0" fillId="2" borderId="15" xfId="0" applyNumberFormat="1" applyFill="1" applyBorder="1"/>
    <xf numFmtId="43" fontId="0" fillId="2" borderId="16" xfId="0" applyNumberFormat="1" applyFill="1" applyBorder="1"/>
    <xf numFmtId="0" fontId="0" fillId="2" borderId="48" xfId="0" applyFill="1" applyBorder="1"/>
    <xf numFmtId="43" fontId="0" fillId="2" borderId="45" xfId="0" applyNumberFormat="1" applyFill="1" applyBorder="1"/>
    <xf numFmtId="0" fontId="0" fillId="2" borderId="31" xfId="0" applyFill="1" applyBorder="1"/>
    <xf numFmtId="43" fontId="0" fillId="2" borderId="31" xfId="0" applyNumberFormat="1" applyFill="1" applyBorder="1"/>
    <xf numFmtId="43" fontId="0" fillId="2" borderId="46" xfId="0" applyNumberFormat="1" applyFill="1" applyBorder="1"/>
    <xf numFmtId="43" fontId="0" fillId="2" borderId="48" xfId="0" applyNumberFormat="1" applyFill="1" applyBorder="1"/>
    <xf numFmtId="167" fontId="35" fillId="2" borderId="0" xfId="0" applyNumberFormat="1" applyFont="1" applyFill="1" applyBorder="1"/>
    <xf numFmtId="176" fontId="35" fillId="2" borderId="0" xfId="0" applyNumberFormat="1" applyFont="1" applyFill="1" applyBorder="1"/>
    <xf numFmtId="176" fontId="134" fillId="2" borderId="0" xfId="0" applyNumberFormat="1" applyFont="1" applyFill="1" applyBorder="1"/>
    <xf numFmtId="43" fontId="35" fillId="2" borderId="0" xfId="0" applyNumberFormat="1" applyFont="1" applyFill="1" applyBorder="1"/>
    <xf numFmtId="0" fontId="25" fillId="2" borderId="0" xfId="1" applyFont="1" applyFill="1" applyBorder="1"/>
    <xf numFmtId="0" fontId="34" fillId="2" borderId="0" xfId="1" applyFont="1" applyFill="1" applyBorder="1" applyAlignment="1">
      <alignment horizontal="center"/>
    </xf>
    <xf numFmtId="0" fontId="34" fillId="2" borderId="0" xfId="1" applyFont="1" applyFill="1" applyBorder="1" applyAlignment="1">
      <alignment wrapText="1"/>
    </xf>
    <xf numFmtId="0" fontId="105" fillId="57" borderId="0" xfId="17" applyFont="1" applyFill="1" applyBorder="1" applyAlignment="1">
      <alignment horizontal="center" vertical="center" wrapText="1"/>
    </xf>
    <xf numFmtId="0" fontId="57" fillId="2" borderId="0" xfId="17" applyFont="1" applyFill="1" applyBorder="1" applyAlignment="1">
      <alignment horizontal="center" vertical="center" wrapText="1"/>
    </xf>
    <xf numFmtId="4" fontId="57" fillId="2" borderId="0" xfId="17" applyNumberFormat="1" applyFont="1" applyFill="1" applyBorder="1" applyAlignment="1">
      <alignment horizontal="center" vertical="center" wrapText="1"/>
    </xf>
    <xf numFmtId="0" fontId="128" fillId="2" borderId="0" xfId="0" applyFont="1" applyFill="1" applyBorder="1"/>
    <xf numFmtId="0" fontId="23" fillId="2" borderId="0" xfId="0" applyFont="1" applyFill="1" applyBorder="1"/>
    <xf numFmtId="0" fontId="10" fillId="2" borderId="0" xfId="1" applyFont="1" applyFill="1" applyBorder="1" applyAlignment="1">
      <alignment wrapText="1"/>
    </xf>
    <xf numFmtId="0" fontId="149" fillId="2" borderId="0" xfId="0" applyFont="1" applyFill="1" applyBorder="1"/>
    <xf numFmtId="43" fontId="128" fillId="2" borderId="0" xfId="0" applyNumberFormat="1" applyFont="1" applyFill="1" applyBorder="1"/>
    <xf numFmtId="0" fontId="113" fillId="2" borderId="0" xfId="1" applyFont="1" applyFill="1" applyBorder="1"/>
    <xf numFmtId="43" fontId="110" fillId="2" borderId="0" xfId="3" applyFont="1" applyFill="1" applyBorder="1"/>
    <xf numFmtId="0" fontId="110" fillId="2" borderId="0" xfId="1" applyFont="1" applyFill="1" applyBorder="1" applyAlignment="1">
      <alignment horizontal="center"/>
    </xf>
    <xf numFmtId="43" fontId="110" fillId="2" borderId="0" xfId="1" applyNumberFormat="1" applyFont="1" applyFill="1" applyBorder="1"/>
    <xf numFmtId="9" fontId="113" fillId="2" borderId="0" xfId="1" applyNumberFormat="1" applyFont="1" applyFill="1" applyBorder="1"/>
    <xf numFmtId="0" fontId="150" fillId="2" borderId="0" xfId="1" applyFont="1" applyFill="1" applyBorder="1"/>
    <xf numFmtId="4" fontId="113" fillId="2" borderId="0" xfId="1" applyNumberFormat="1" applyFont="1" applyFill="1" applyBorder="1"/>
    <xf numFmtId="0" fontId="113" fillId="2" borderId="0" xfId="1" applyFont="1" applyFill="1" applyBorder="1" applyAlignment="1">
      <alignment wrapText="1"/>
    </xf>
    <xf numFmtId="167" fontId="113" fillId="2" borderId="0" xfId="1" applyNumberFormat="1" applyFont="1" applyFill="1" applyBorder="1"/>
    <xf numFmtId="0" fontId="110" fillId="2" borderId="0" xfId="1" applyFont="1" applyFill="1" applyBorder="1"/>
    <xf numFmtId="1" fontId="23" fillId="2" borderId="0" xfId="0" applyNumberFormat="1" applyFont="1" applyFill="1" applyBorder="1"/>
    <xf numFmtId="1" fontId="128" fillId="2" borderId="0" xfId="0" applyNumberFormat="1" applyFont="1" applyFill="1" applyBorder="1"/>
    <xf numFmtId="0" fontId="9" fillId="57" borderId="0" xfId="17" applyFont="1" applyFill="1" applyBorder="1" applyAlignment="1">
      <alignment horizontal="center" vertical="center" wrapText="1"/>
    </xf>
    <xf numFmtId="0" fontId="151" fillId="2" borderId="0" xfId="17" applyFont="1" applyFill="1" applyBorder="1" applyAlignment="1">
      <alignment horizontal="center" vertical="center" wrapText="1"/>
    </xf>
    <xf numFmtId="0" fontId="152" fillId="2" borderId="0" xfId="19" applyFont="1" applyFill="1" applyBorder="1" applyAlignment="1">
      <alignment horizontal="center" vertical="center"/>
    </xf>
    <xf numFmtId="0" fontId="152" fillId="2" borderId="0" xfId="19" applyFont="1" applyFill="1" applyBorder="1" applyAlignment="1">
      <alignment vertical="center"/>
    </xf>
    <xf numFmtId="0" fontId="152" fillId="2" borderId="0" xfId="19" applyFont="1" applyFill="1" applyBorder="1" applyAlignment="1">
      <alignment horizontal="left" vertical="center" wrapText="1"/>
    </xf>
    <xf numFmtId="0" fontId="152" fillId="2" borderId="0" xfId="0" applyFont="1" applyFill="1" applyBorder="1" applyAlignment="1">
      <alignment vertical="center"/>
    </xf>
    <xf numFmtId="0" fontId="152" fillId="2" borderId="0" xfId="19" applyFont="1" applyFill="1" applyBorder="1" applyAlignment="1">
      <alignment horizontal="left" vertical="center"/>
    </xf>
    <xf numFmtId="0" fontId="101" fillId="2" borderId="0" xfId="0" applyFont="1" applyFill="1" applyBorder="1" applyAlignment="1">
      <alignment horizontal="center" vertical="center"/>
    </xf>
    <xf numFmtId="171" fontId="153" fillId="2" borderId="0" xfId="3" applyNumberFormat="1" applyFont="1" applyFill="1" applyBorder="1"/>
    <xf numFmtId="3" fontId="149" fillId="2" borderId="0" xfId="0" applyNumberFormat="1" applyFont="1" applyFill="1" applyBorder="1" applyAlignment="1">
      <alignment horizontal="center" vertical="center"/>
    </xf>
    <xf numFmtId="0" fontId="101" fillId="2" borderId="0" xfId="0" applyFont="1" applyFill="1" applyBorder="1" applyAlignment="1">
      <alignment horizontal="center" vertical="center" wrapText="1"/>
    </xf>
    <xf numFmtId="9" fontId="128" fillId="2" borderId="0" xfId="18" applyFont="1" applyFill="1" applyBorder="1" applyAlignment="1" applyProtection="1">
      <alignment horizontal="center" vertical="center"/>
      <protection locked="0"/>
    </xf>
    <xf numFmtId="10" fontId="128" fillId="2" borderId="0" xfId="18" applyNumberFormat="1" applyFont="1" applyFill="1" applyBorder="1" applyAlignment="1" applyProtection="1">
      <alignment horizontal="center" vertical="center"/>
      <protection locked="0"/>
    </xf>
    <xf numFmtId="43" fontId="128" fillId="2" borderId="0" xfId="3" applyFont="1" applyFill="1" applyBorder="1"/>
    <xf numFmtId="2" fontId="128" fillId="2" borderId="0" xfId="3" applyNumberFormat="1" applyFont="1" applyFill="1" applyBorder="1"/>
    <xf numFmtId="2" fontId="128" fillId="2" borderId="0" xfId="0" applyNumberFormat="1" applyFont="1" applyFill="1" applyBorder="1"/>
    <xf numFmtId="171" fontId="128" fillId="2" borderId="0" xfId="3" applyNumberFormat="1" applyFont="1" applyFill="1" applyBorder="1"/>
    <xf numFmtId="199" fontId="128" fillId="2" borderId="0" xfId="3" applyNumberFormat="1" applyFont="1" applyFill="1" applyBorder="1"/>
    <xf numFmtId="0" fontId="101" fillId="2" borderId="0" xfId="0" applyFont="1" applyFill="1" applyBorder="1" applyAlignment="1">
      <alignment horizontal="left" vertical="top"/>
    </xf>
    <xf numFmtId="171" fontId="128" fillId="2" borderId="0" xfId="0" applyNumberFormat="1" applyFont="1" applyFill="1" applyBorder="1"/>
    <xf numFmtId="1" fontId="154" fillId="2" borderId="0" xfId="12" applyNumberFormat="1" applyFont="1" applyFill="1" applyBorder="1" applyAlignment="1">
      <alignment horizontal="center" vertical="center"/>
    </xf>
    <xf numFmtId="0" fontId="24" fillId="18" borderId="106" xfId="0" applyFont="1" applyFill="1" applyBorder="1"/>
    <xf numFmtId="0" fontId="128" fillId="2" borderId="0" xfId="0" applyFont="1" applyFill="1"/>
    <xf numFmtId="0" fontId="28" fillId="2" borderId="0" xfId="0" applyFont="1" applyFill="1" applyBorder="1" applyAlignment="1" applyProtection="1">
      <alignment horizontal="left" vertical="center" wrapText="1" indent="1"/>
    </xf>
    <xf numFmtId="167" fontId="25" fillId="2" borderId="0" xfId="0" applyNumberFormat="1" applyFont="1" applyFill="1" applyBorder="1" applyAlignment="1">
      <alignment horizontal="center" vertical="center"/>
    </xf>
    <xf numFmtId="0" fontId="26" fillId="2" borderId="0" xfId="0" applyFont="1" applyFill="1" applyBorder="1" applyAlignment="1">
      <alignment horizontal="center" vertical="center" wrapText="1"/>
    </xf>
    <xf numFmtId="0" fontId="68" fillId="2" borderId="114" xfId="0" applyFont="1" applyFill="1" applyBorder="1" applyAlignment="1">
      <alignment horizontal="left" vertical="center" wrapText="1"/>
    </xf>
    <xf numFmtId="0" fontId="68" fillId="2" borderId="118" xfId="0" applyFont="1" applyFill="1" applyBorder="1" applyAlignment="1">
      <alignment horizontal="left" vertical="center" wrapText="1"/>
    </xf>
    <xf numFmtId="0" fontId="155" fillId="2" borderId="0" xfId="0" applyFont="1" applyFill="1" applyAlignment="1" applyProtection="1"/>
    <xf numFmtId="0" fontId="8" fillId="10" borderId="379" xfId="0" applyFont="1" applyFill="1" applyBorder="1" applyAlignment="1" applyProtection="1">
      <alignment vertical="center"/>
    </xf>
    <xf numFmtId="0" fontId="0" fillId="2" borderId="379" xfId="0" applyFont="1" applyFill="1" applyBorder="1" applyAlignment="1" applyProtection="1">
      <alignment vertical="center" wrapText="1"/>
    </xf>
    <xf numFmtId="0" fontId="0" fillId="2" borderId="379" xfId="0" applyFont="1" applyFill="1" applyBorder="1" applyAlignment="1" applyProtection="1">
      <alignment horizontal="center" vertical="center"/>
    </xf>
    <xf numFmtId="1" fontId="0" fillId="2" borderId="379" xfId="0" applyNumberFormat="1" applyFont="1" applyFill="1" applyBorder="1" applyAlignment="1" applyProtection="1">
      <alignment horizontal="center" vertical="center"/>
    </xf>
    <xf numFmtId="186" fontId="0" fillId="2" borderId="379" xfId="0" applyNumberFormat="1" applyFont="1" applyFill="1" applyBorder="1" applyAlignment="1" applyProtection="1">
      <alignment horizontal="center" vertical="center"/>
    </xf>
    <xf numFmtId="0" fontId="0" fillId="0" borderId="379" xfId="0" applyFont="1" applyFill="1" applyBorder="1" applyAlignment="1" applyProtection="1">
      <alignment horizontal="center" vertical="center"/>
    </xf>
    <xf numFmtId="165" fontId="0" fillId="2" borderId="379" xfId="0" applyNumberFormat="1" applyFont="1" applyFill="1" applyBorder="1" applyAlignment="1" applyProtection="1">
      <alignment horizontal="center" vertical="center"/>
    </xf>
    <xf numFmtId="0" fontId="14" fillId="9" borderId="9" xfId="0" applyFont="1" applyFill="1" applyBorder="1" applyAlignment="1" applyProtection="1">
      <alignment horizontal="left" vertical="center" wrapText="1" indent="1"/>
    </xf>
    <xf numFmtId="0" fontId="14" fillId="9" borderId="10" xfId="0" applyFont="1" applyFill="1" applyBorder="1" applyAlignment="1" applyProtection="1">
      <alignment vertical="center" wrapText="1"/>
    </xf>
    <xf numFmtId="0" fontId="14" fillId="9" borderId="10"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wrapText="1"/>
    </xf>
    <xf numFmtId="0" fontId="146" fillId="10" borderId="381" xfId="0" applyFont="1" applyFill="1" applyBorder="1" applyAlignment="1" applyProtection="1">
      <alignment horizontal="left" vertical="center" indent="1"/>
    </xf>
    <xf numFmtId="0" fontId="8" fillId="10" borderId="382" xfId="0" applyFont="1" applyFill="1" applyBorder="1" applyAlignment="1" applyProtection="1">
      <alignment vertical="center"/>
    </xf>
    <xf numFmtId="0" fontId="0" fillId="2" borderId="381" xfId="0" applyFont="1" applyFill="1" applyBorder="1" applyAlignment="1" applyProtection="1">
      <alignment horizontal="left" vertical="center" indent="1"/>
    </xf>
    <xf numFmtId="0" fontId="0" fillId="2" borderId="382" xfId="0" applyFont="1" applyFill="1" applyBorder="1" applyAlignment="1" applyProtection="1">
      <alignment horizontal="center" vertical="center"/>
    </xf>
    <xf numFmtId="0" fontId="0" fillId="2" borderId="383" xfId="0" applyFont="1" applyFill="1" applyBorder="1" applyAlignment="1" applyProtection="1">
      <alignment horizontal="left" vertical="center" indent="1"/>
    </xf>
    <xf numFmtId="0" fontId="0" fillId="2" borderId="384" xfId="0" applyFont="1" applyFill="1" applyBorder="1" applyAlignment="1" applyProtection="1">
      <alignment vertical="center" wrapText="1"/>
    </xf>
    <xf numFmtId="0" fontId="0" fillId="2" borderId="384" xfId="0" applyFont="1" applyFill="1" applyBorder="1" applyAlignment="1" applyProtection="1">
      <alignment horizontal="center" vertical="center"/>
    </xf>
    <xf numFmtId="0" fontId="0" fillId="2" borderId="385" xfId="0" applyFont="1" applyFill="1" applyBorder="1" applyAlignment="1" applyProtection="1">
      <alignment horizontal="center" vertical="center"/>
    </xf>
    <xf numFmtId="0" fontId="7" fillId="0" borderId="379" xfId="0" applyFont="1" applyFill="1" applyBorder="1" applyAlignment="1" applyProtection="1">
      <alignment horizontal="center" vertical="center" wrapText="1"/>
    </xf>
    <xf numFmtId="0" fontId="7" fillId="0" borderId="384" xfId="0" applyFont="1" applyFill="1" applyBorder="1" applyAlignment="1" applyProtection="1">
      <alignment horizontal="center" vertical="center" wrapText="1"/>
    </xf>
    <xf numFmtId="0" fontId="85" fillId="2" borderId="0" xfId="0" applyFont="1" applyFill="1"/>
    <xf numFmtId="0" fontId="34" fillId="2" borderId="0" xfId="0" applyFont="1" applyFill="1" applyBorder="1" applyAlignment="1">
      <alignment vertical="center"/>
    </xf>
    <xf numFmtId="0" fontId="25" fillId="2" borderId="0" xfId="0" applyFont="1" applyFill="1" applyBorder="1" applyAlignment="1">
      <alignment vertical="center"/>
    </xf>
    <xf numFmtId="166" fontId="35" fillId="2" borderId="0" xfId="0" applyNumberFormat="1" applyFont="1" applyFill="1" applyBorder="1" applyAlignment="1">
      <alignment horizontal="center"/>
    </xf>
    <xf numFmtId="0" fontId="21" fillId="2" borderId="0" xfId="2" applyFill="1" applyBorder="1" applyAlignment="1" applyProtection="1"/>
    <xf numFmtId="165" fontId="25" fillId="2" borderId="0" xfId="0" applyNumberFormat="1" applyFont="1" applyFill="1" applyBorder="1" applyAlignment="1">
      <alignment horizontal="center"/>
    </xf>
    <xf numFmtId="0" fontId="25" fillId="2" borderId="0" xfId="0" applyFont="1" applyFill="1" applyBorder="1" applyAlignment="1">
      <alignment horizontal="left"/>
    </xf>
    <xf numFmtId="0" fontId="25" fillId="2" borderId="0" xfId="0" applyFont="1" applyFill="1" applyBorder="1" applyAlignment="1"/>
    <xf numFmtId="0" fontId="86" fillId="2" borderId="0" xfId="0" applyFont="1" applyFill="1"/>
    <xf numFmtId="0" fontId="0" fillId="0" borderId="379" xfId="0" applyBorder="1"/>
    <xf numFmtId="0" fontId="25" fillId="0" borderId="379" xfId="0" applyFont="1" applyFill="1" applyBorder="1" applyAlignment="1">
      <alignment horizontal="left" vertical="center"/>
    </xf>
    <xf numFmtId="0" fontId="28" fillId="11" borderId="379" xfId="0" applyFont="1" applyFill="1" applyBorder="1" applyAlignment="1" applyProtection="1">
      <alignment horizontal="left" vertical="center" wrapText="1" indent="1"/>
    </xf>
    <xf numFmtId="43" fontId="0" fillId="0" borderId="379" xfId="3" applyFont="1" applyBorder="1"/>
    <xf numFmtId="43" fontId="0" fillId="0" borderId="379" xfId="3" applyFont="1" applyFill="1" applyBorder="1"/>
    <xf numFmtId="0" fontId="0" fillId="2" borderId="379" xfId="0" applyFill="1" applyBorder="1"/>
    <xf numFmtId="184" fontId="0" fillId="2" borderId="379" xfId="0" applyNumberFormat="1" applyFill="1" applyBorder="1"/>
    <xf numFmtId="0" fontId="0" fillId="0" borderId="9" xfId="0" applyBorder="1"/>
    <xf numFmtId="0" fontId="0" fillId="0" borderId="10" xfId="0" applyBorder="1"/>
    <xf numFmtId="0" fontId="25" fillId="0" borderId="10" xfId="0" applyFont="1" applyFill="1" applyBorder="1" applyAlignment="1">
      <alignment horizontal="left" vertical="center"/>
    </xf>
    <xf numFmtId="0" fontId="28" fillId="11" borderId="10" xfId="0" applyFont="1" applyFill="1" applyBorder="1" applyAlignment="1" applyProtection="1">
      <alignment horizontal="left" vertical="center" wrapText="1" indent="1"/>
    </xf>
    <xf numFmtId="0" fontId="0" fillId="11" borderId="10" xfId="0" applyFill="1" applyBorder="1"/>
    <xf numFmtId="0" fontId="29" fillId="0" borderId="10" xfId="0" applyFont="1" applyFill="1" applyBorder="1" applyAlignment="1" applyProtection="1">
      <alignment horizontal="center" vertical="center"/>
    </xf>
    <xf numFmtId="165" fontId="25" fillId="0" borderId="10" xfId="0" applyNumberFormat="1" applyFont="1" applyFill="1" applyBorder="1" applyAlignment="1">
      <alignment horizontal="center"/>
    </xf>
    <xf numFmtId="167" fontId="25" fillId="2" borderId="10" xfId="0" applyNumberFormat="1" applyFont="1" applyFill="1" applyBorder="1" applyAlignment="1">
      <alignment horizontal="center" vertical="center"/>
    </xf>
    <xf numFmtId="0" fontId="25" fillId="2" borderId="11" xfId="0" applyFont="1" applyFill="1" applyBorder="1" applyAlignment="1">
      <alignment horizontal="left"/>
    </xf>
    <xf numFmtId="0" fontId="25" fillId="0" borderId="381" xfId="0" applyFont="1" applyFill="1" applyBorder="1" applyAlignment="1">
      <alignment horizontal="left" vertical="center"/>
    </xf>
    <xf numFmtId="0" fontId="0" fillId="2" borderId="382" xfId="0" applyFill="1" applyBorder="1"/>
    <xf numFmtId="0" fontId="25" fillId="0" borderId="383" xfId="0" applyFont="1" applyFill="1" applyBorder="1" applyAlignment="1">
      <alignment horizontal="left" vertical="center"/>
    </xf>
    <xf numFmtId="0" fontId="25" fillId="0" borderId="384" xfId="0" applyFont="1" applyFill="1" applyBorder="1" applyAlignment="1">
      <alignment horizontal="left" vertical="center"/>
    </xf>
    <xf numFmtId="0" fontId="28" fillId="0" borderId="384" xfId="0" applyFont="1" applyFill="1" applyBorder="1" applyAlignment="1" applyProtection="1">
      <alignment horizontal="left" vertical="center" wrapText="1" indent="1"/>
    </xf>
    <xf numFmtId="0" fontId="0" fillId="0" borderId="384" xfId="0" applyFill="1" applyBorder="1"/>
    <xf numFmtId="43" fontId="0" fillId="0" borderId="384" xfId="3" applyFont="1" applyFill="1" applyBorder="1"/>
    <xf numFmtId="43" fontId="0" fillId="2" borderId="384" xfId="3" applyFont="1" applyFill="1" applyBorder="1"/>
    <xf numFmtId="43" fontId="0" fillId="2" borderId="385" xfId="3" applyFont="1" applyFill="1" applyBorder="1"/>
    <xf numFmtId="0" fontId="24" fillId="2" borderId="63" xfId="0" applyFont="1" applyFill="1" applyBorder="1"/>
    <xf numFmtId="0" fontId="0" fillId="2" borderId="65" xfId="0" applyFill="1" applyBorder="1"/>
    <xf numFmtId="0" fontId="0" fillId="2" borderId="86" xfId="0" applyFill="1" applyBorder="1"/>
    <xf numFmtId="0" fontId="26" fillId="2" borderId="0" xfId="0" applyFont="1" applyFill="1" applyBorder="1" applyAlignment="1">
      <alignment horizontal="center" vertical="center"/>
    </xf>
    <xf numFmtId="11" fontId="0" fillId="2" borderId="0" xfId="0" applyNumberFormat="1" applyFill="1" applyBorder="1" applyAlignment="1">
      <alignment horizontal="center"/>
    </xf>
    <xf numFmtId="177" fontId="0" fillId="2" borderId="0" xfId="3" applyNumberFormat="1" applyFont="1" applyFill="1" applyBorder="1"/>
    <xf numFmtId="0" fontId="0" fillId="18" borderId="44" xfId="0" applyFill="1" applyBorder="1"/>
    <xf numFmtId="0" fontId="0" fillId="18" borderId="16" xfId="0" applyFill="1" applyBorder="1"/>
    <xf numFmtId="0" fontId="0" fillId="18" borderId="15" xfId="0" applyFill="1" applyBorder="1"/>
    <xf numFmtId="0" fontId="0" fillId="18" borderId="45" xfId="0" applyFill="1" applyBorder="1"/>
    <xf numFmtId="0" fontId="0" fillId="18" borderId="31" xfId="0" applyFill="1" applyBorder="1"/>
    <xf numFmtId="0" fontId="0" fillId="18" borderId="46" xfId="0" applyFill="1" applyBorder="1"/>
    <xf numFmtId="0" fontId="7" fillId="3" borderId="32" xfId="0" applyFont="1" applyFill="1" applyBorder="1" applyAlignment="1" applyProtection="1">
      <alignment horizontal="center" vertical="center" wrapText="1"/>
      <protection locked="0"/>
    </xf>
    <xf numFmtId="3" fontId="20" fillId="2" borderId="35" xfId="5" applyNumberFormat="1" applyFont="1" applyFill="1" applyBorder="1" applyAlignment="1">
      <alignment horizontal="center"/>
    </xf>
    <xf numFmtId="3" fontId="20" fillId="2" borderId="37" xfId="5" applyNumberFormat="1" applyFont="1" applyFill="1" applyBorder="1" applyAlignment="1">
      <alignment horizontal="center"/>
    </xf>
    <xf numFmtId="43" fontId="1" fillId="42" borderId="30" xfId="3" applyNumberFormat="1" applyFont="1" applyFill="1" applyBorder="1" applyAlignment="1">
      <alignment wrapText="1"/>
    </xf>
    <xf numFmtId="0" fontId="54" fillId="0" borderId="0" xfId="0" applyFont="1" applyAlignment="1">
      <alignment wrapText="1"/>
    </xf>
    <xf numFmtId="0" fontId="130" fillId="2" borderId="362" xfId="0" applyFont="1" applyFill="1" applyBorder="1" applyAlignment="1" applyProtection="1">
      <alignment horizontal="left" vertical="center" wrapText="1"/>
      <protection locked="0"/>
    </xf>
    <xf numFmtId="0" fontId="0" fillId="3" borderId="32" xfId="0" applyFill="1" applyBorder="1"/>
    <xf numFmtId="0" fontId="0" fillId="3" borderId="32" xfId="0" applyFill="1" applyBorder="1" applyAlignment="1">
      <alignment horizontal="center" vertical="center"/>
    </xf>
    <xf numFmtId="0" fontId="0" fillId="3" borderId="362" xfId="0" applyFill="1" applyBorder="1" applyAlignment="1" applyProtection="1">
      <alignment horizontal="center" vertical="center"/>
      <protection locked="0"/>
    </xf>
    <xf numFmtId="0" fontId="134" fillId="2" borderId="0" xfId="0" applyFont="1" applyFill="1" applyBorder="1" applyAlignment="1" applyProtection="1">
      <alignment horizontal="center"/>
      <protection locked="0"/>
    </xf>
    <xf numFmtId="43" fontId="1" fillId="2" borderId="0" xfId="1" applyNumberFormat="1" applyFill="1" applyAlignment="1">
      <alignment wrapText="1"/>
    </xf>
    <xf numFmtId="43" fontId="0" fillId="46" borderId="44" xfId="0" applyNumberFormat="1" applyFill="1" applyBorder="1"/>
    <xf numFmtId="43" fontId="0" fillId="46" borderId="16" xfId="0" applyNumberFormat="1" applyFill="1" applyBorder="1"/>
    <xf numFmtId="43" fontId="1" fillId="46" borderId="16" xfId="1" applyNumberFormat="1" applyFill="1" applyBorder="1"/>
    <xf numFmtId="43" fontId="0" fillId="46" borderId="46" xfId="0" applyNumberFormat="1" applyFill="1" applyBorder="1"/>
    <xf numFmtId="43" fontId="1" fillId="2" borderId="0" xfId="3" applyFont="1" applyFill="1"/>
    <xf numFmtId="43" fontId="119" fillId="2" borderId="0" xfId="0" applyNumberFormat="1" applyFont="1" applyFill="1"/>
    <xf numFmtId="0" fontId="0" fillId="47" borderId="46" xfId="0" applyFill="1" applyBorder="1"/>
    <xf numFmtId="0" fontId="156" fillId="18" borderId="0" xfId="1" applyFont="1" applyFill="1" applyBorder="1"/>
    <xf numFmtId="0" fontId="157" fillId="18" borderId="23" xfId="1" applyFont="1" applyFill="1" applyBorder="1"/>
    <xf numFmtId="0" fontId="157" fillId="18" borderId="109" xfId="1" applyFont="1" applyFill="1" applyBorder="1"/>
    <xf numFmtId="171" fontId="1" fillId="42" borderId="47" xfId="3" applyNumberFormat="1" applyFont="1" applyFill="1" applyBorder="1" applyAlignment="1">
      <alignment wrapText="1"/>
    </xf>
    <xf numFmtId="171" fontId="1" fillId="42" borderId="49" xfId="3" applyNumberFormat="1" applyFont="1" applyFill="1" applyBorder="1" applyAlignment="1">
      <alignment wrapText="1"/>
    </xf>
    <xf numFmtId="171" fontId="1" fillId="3" borderId="49" xfId="3" applyNumberFormat="1" applyFont="1" applyFill="1" applyBorder="1" applyAlignment="1">
      <alignment wrapText="1"/>
    </xf>
    <xf numFmtId="171" fontId="1" fillId="3" borderId="48" xfId="3" applyNumberFormat="1" applyFont="1" applyFill="1" applyBorder="1" applyAlignment="1">
      <alignment wrapText="1"/>
    </xf>
    <xf numFmtId="43" fontId="0" fillId="42" borderId="47" xfId="3" applyFont="1" applyFill="1" applyBorder="1"/>
    <xf numFmtId="171" fontId="0" fillId="3" borderId="48" xfId="20" applyNumberFormat="1" applyFont="1" applyFill="1" applyBorder="1"/>
    <xf numFmtId="170" fontId="30" fillId="8" borderId="44" xfId="5" applyNumberFormat="1" applyFont="1" applyFill="1" applyBorder="1" applyAlignment="1">
      <alignment horizontal="center" vertical="top"/>
    </xf>
    <xf numFmtId="170" fontId="30" fillId="8" borderId="79" xfId="5" applyNumberFormat="1" applyFont="1" applyFill="1" applyBorder="1" applyAlignment="1">
      <alignment horizontal="center" vertical="top"/>
    </xf>
    <xf numFmtId="170" fontId="30" fillId="8" borderId="82" xfId="5" applyNumberFormat="1" applyFont="1" applyFill="1" applyBorder="1" applyAlignment="1">
      <alignment horizontal="center" vertical="top"/>
    </xf>
    <xf numFmtId="0" fontId="10" fillId="9" borderId="43" xfId="1" applyFont="1" applyFill="1" applyBorder="1" applyAlignment="1">
      <alignment horizontal="right"/>
    </xf>
    <xf numFmtId="0" fontId="10" fillId="9" borderId="44" xfId="1" applyFont="1" applyFill="1" applyBorder="1"/>
    <xf numFmtId="0" fontId="10" fillId="9" borderId="45" xfId="1" applyFont="1" applyFill="1" applyBorder="1" applyAlignment="1">
      <alignment horizontal="center" vertical="center"/>
    </xf>
    <xf numFmtId="0" fontId="10" fillId="9" borderId="46" xfId="1" applyFont="1" applyFill="1" applyBorder="1" applyAlignment="1">
      <alignment horizontal="center" vertical="center"/>
    </xf>
    <xf numFmtId="0" fontId="158" fillId="2" borderId="0" xfId="1" applyFont="1" applyFill="1"/>
    <xf numFmtId="0" fontId="158" fillId="2" borderId="0" xfId="1" applyFont="1" applyFill="1" applyAlignment="1">
      <alignment horizontal="left"/>
    </xf>
    <xf numFmtId="43" fontId="25" fillId="0" borderId="64" xfId="3" applyFont="1" applyFill="1" applyBorder="1" applyAlignment="1">
      <alignment horizontal="center"/>
    </xf>
    <xf numFmtId="177" fontId="25" fillId="16" borderId="80" xfId="3" applyNumberFormat="1" applyFont="1" applyFill="1" applyBorder="1" applyAlignment="1">
      <alignment horizontal="center"/>
    </xf>
    <xf numFmtId="170" fontId="30" fillId="8" borderId="389" xfId="5" applyNumberFormat="1" applyFont="1" applyFill="1" applyBorder="1" applyAlignment="1">
      <alignment horizontal="center"/>
    </xf>
    <xf numFmtId="170" fontId="30" fillId="8" borderId="43" xfId="5" applyNumberFormat="1" applyFont="1" applyFill="1" applyBorder="1" applyAlignment="1">
      <alignment horizontal="center" vertical="top"/>
    </xf>
    <xf numFmtId="43" fontId="25" fillId="0" borderId="66" xfId="3" applyFont="1" applyFill="1" applyBorder="1" applyAlignment="1">
      <alignment horizontal="center"/>
    </xf>
    <xf numFmtId="3" fontId="25" fillId="0" borderId="40" xfId="5" applyNumberFormat="1" applyFont="1" applyFill="1" applyBorder="1" applyAlignment="1">
      <alignment horizontal="center"/>
    </xf>
    <xf numFmtId="170" fontId="30" fillId="8" borderId="375" xfId="5" applyNumberFormat="1" applyFont="1" applyFill="1" applyBorder="1" applyAlignment="1">
      <alignment horizontal="center"/>
    </xf>
    <xf numFmtId="170" fontId="30" fillId="8" borderId="390" xfId="5" applyNumberFormat="1" applyFont="1" applyFill="1" applyBorder="1" applyAlignment="1">
      <alignment horizontal="center"/>
    </xf>
    <xf numFmtId="172" fontId="25" fillId="16" borderId="0" xfId="0" applyNumberFormat="1" applyFont="1" applyFill="1" applyBorder="1" applyAlignment="1">
      <alignment horizontal="center"/>
    </xf>
    <xf numFmtId="171" fontId="25" fillId="2" borderId="374" xfId="3" applyNumberFormat="1" applyFont="1" applyFill="1" applyBorder="1"/>
    <xf numFmtId="43" fontId="25" fillId="2" borderId="391" xfId="3" applyFont="1" applyFill="1" applyBorder="1"/>
    <xf numFmtId="171" fontId="25" fillId="2" borderId="15" xfId="3" applyNumberFormat="1" applyFont="1" applyFill="1" applyBorder="1"/>
    <xf numFmtId="43" fontId="25" fillId="2" borderId="16" xfId="3" applyFont="1" applyFill="1" applyBorder="1"/>
    <xf numFmtId="171" fontId="25" fillId="2" borderId="45" xfId="3" applyNumberFormat="1" applyFont="1" applyFill="1" applyBorder="1"/>
    <xf numFmtId="43" fontId="25" fillId="2" borderId="46" xfId="3" applyFont="1" applyFill="1" applyBorder="1"/>
    <xf numFmtId="171" fontId="34" fillId="2" borderId="63" xfId="3" applyNumberFormat="1" applyFont="1" applyFill="1" applyBorder="1"/>
    <xf numFmtId="171" fontId="34" fillId="2" borderId="86" xfId="3" applyNumberFormat="1" applyFont="1" applyFill="1" applyBorder="1"/>
    <xf numFmtId="170" fontId="25" fillId="2" borderId="15" xfId="5" applyNumberFormat="1" applyFont="1" applyFill="1" applyBorder="1"/>
    <xf numFmtId="1" fontId="25" fillId="2" borderId="16" xfId="5" applyNumberFormat="1" applyFont="1" applyFill="1" applyBorder="1" applyAlignment="1">
      <alignment horizontal="center"/>
    </xf>
    <xf numFmtId="170" fontId="30" fillId="8" borderId="58" xfId="5" applyNumberFormat="1" applyFont="1" applyFill="1" applyBorder="1" applyAlignment="1">
      <alignment horizontal="left"/>
    </xf>
    <xf numFmtId="1" fontId="91" fillId="2" borderId="0" xfId="22" applyNumberFormat="1" applyFont="1" applyFill="1" applyAlignment="1">
      <alignment horizontal="left" vertical="center"/>
    </xf>
    <xf numFmtId="1" fontId="91" fillId="2" borderId="0" xfId="23" applyNumberFormat="1" applyFont="1" applyFill="1">
      <alignment horizontal="left" vertical="center"/>
    </xf>
    <xf numFmtId="1" fontId="159" fillId="2" borderId="387" xfId="22" applyNumberFormat="1" applyFont="1" applyFill="1" applyBorder="1" applyAlignment="1">
      <alignment horizontal="left" vertical="center"/>
    </xf>
    <xf numFmtId="0" fontId="160" fillId="2" borderId="387" xfId="24" applyFont="1" applyFill="1" applyBorder="1" applyAlignment="1">
      <alignment horizontal="left" vertical="center"/>
    </xf>
    <xf numFmtId="174" fontId="160" fillId="2" borderId="387" xfId="3" applyNumberFormat="1" applyFont="1" applyFill="1" applyBorder="1" applyAlignment="1">
      <alignment horizontal="right" vertical="center"/>
    </xf>
    <xf numFmtId="170" fontId="161" fillId="58" borderId="0" xfId="25" applyNumberFormat="1" applyFont="1" applyFill="1" applyBorder="1" applyAlignment="1">
      <alignment vertical="center"/>
    </xf>
    <xf numFmtId="170" fontId="161" fillId="58" borderId="0" xfId="25" applyNumberFormat="1" applyFont="1" applyFill="1" applyAlignment="1">
      <alignment vertical="center"/>
    </xf>
    <xf numFmtId="0" fontId="40" fillId="0" borderId="0" xfId="0" applyFont="1" applyFill="1" applyAlignment="1">
      <alignment horizontal="left" vertical="center"/>
    </xf>
    <xf numFmtId="170" fontId="20" fillId="0" borderId="0" xfId="5" applyNumberFormat="1" applyFont="1" applyFill="1"/>
    <xf numFmtId="170" fontId="30" fillId="8" borderId="64" xfId="5" applyNumberFormat="1" applyFont="1" applyFill="1" applyBorder="1" applyAlignment="1">
      <alignment horizontal="center"/>
    </xf>
    <xf numFmtId="170" fontId="30" fillId="8" borderId="67" xfId="5" applyNumberFormat="1" applyFont="1" applyFill="1" applyBorder="1" applyAlignment="1">
      <alignment horizontal="center"/>
    </xf>
    <xf numFmtId="0" fontId="0" fillId="47" borderId="0" xfId="0" applyFill="1" applyBorder="1"/>
    <xf numFmtId="171" fontId="0" fillId="3" borderId="49" xfId="20" applyNumberFormat="1" applyFont="1" applyFill="1" applyBorder="1"/>
    <xf numFmtId="0" fontId="0" fillId="59" borderId="31" xfId="0" applyFill="1" applyBorder="1" applyAlignment="1">
      <alignment wrapText="1"/>
    </xf>
    <xf numFmtId="3" fontId="1" fillId="3" borderId="16" xfId="1" applyNumberFormat="1" applyFont="1" applyFill="1" applyBorder="1"/>
    <xf numFmtId="0" fontId="0" fillId="47" borderId="49" xfId="0" applyFill="1" applyBorder="1"/>
    <xf numFmtId="43" fontId="1" fillId="3" borderId="16" xfId="3" applyFont="1" applyFill="1" applyBorder="1"/>
    <xf numFmtId="43" fontId="1" fillId="42" borderId="44" xfId="3" applyFont="1" applyFill="1" applyBorder="1"/>
    <xf numFmtId="43" fontId="1" fillId="3" borderId="46" xfId="3" applyFont="1" applyFill="1" applyBorder="1"/>
    <xf numFmtId="0" fontId="0" fillId="47" borderId="16" xfId="0" applyFill="1" applyBorder="1"/>
    <xf numFmtId="43" fontId="35" fillId="60" borderId="49" xfId="0" applyNumberFormat="1" applyFont="1" applyFill="1" applyBorder="1"/>
    <xf numFmtId="43" fontId="35" fillId="60" borderId="48" xfId="0" applyNumberFormat="1" applyFont="1" applyFill="1" applyBorder="1"/>
    <xf numFmtId="177" fontId="0" fillId="42" borderId="0" xfId="3" applyNumberFormat="1" applyFont="1" applyFill="1" applyBorder="1"/>
    <xf numFmtId="170" fontId="30" fillId="8" borderId="389" xfId="5" applyNumberFormat="1" applyFont="1" applyFill="1" applyBorder="1" applyAlignment="1">
      <alignment horizontal="center" vertical="center"/>
    </xf>
    <xf numFmtId="170" fontId="30" fillId="8" borderId="92" xfId="5" applyNumberFormat="1" applyFont="1" applyFill="1" applyBorder="1" applyAlignment="1">
      <alignment horizontal="center"/>
    </xf>
    <xf numFmtId="170" fontId="30" fillId="8" borderId="392" xfId="5" applyNumberFormat="1" applyFont="1" applyFill="1" applyBorder="1" applyAlignment="1">
      <alignment horizontal="center"/>
    </xf>
    <xf numFmtId="170" fontId="30" fillId="8" borderId="383" xfId="5" applyNumberFormat="1" applyFont="1" applyFill="1" applyBorder="1" applyAlignment="1">
      <alignment horizontal="center" vertical="center"/>
    </xf>
    <xf numFmtId="170" fontId="30" fillId="8" borderId="384" xfId="5" applyNumberFormat="1" applyFont="1" applyFill="1" applyBorder="1" applyAlignment="1">
      <alignment horizontal="center" vertical="center"/>
    </xf>
    <xf numFmtId="43" fontId="25" fillId="2" borderId="360" xfId="3" applyFont="1" applyFill="1" applyBorder="1"/>
    <xf numFmtId="43" fontId="25" fillId="2" borderId="55" xfId="3" applyFont="1" applyFill="1" applyBorder="1"/>
    <xf numFmtId="43" fontId="25" fillId="2" borderId="58" xfId="3" applyFont="1" applyFill="1" applyBorder="1"/>
    <xf numFmtId="43" fontId="25" fillId="2" borderId="377" xfId="3" applyFont="1" applyFill="1" applyBorder="1"/>
    <xf numFmtId="43" fontId="25" fillId="2" borderId="282" xfId="3" applyFont="1" applyFill="1" applyBorder="1"/>
    <xf numFmtId="43" fontId="25" fillId="2" borderId="62" xfId="3" applyFont="1" applyFill="1" applyBorder="1"/>
    <xf numFmtId="170" fontId="30" fillId="8" borderId="393" xfId="5" applyNumberFormat="1" applyFont="1" applyFill="1" applyBorder="1" applyAlignment="1">
      <alignment horizontal="center" vertical="center"/>
    </xf>
    <xf numFmtId="3" fontId="25" fillId="2" borderId="49" xfId="0" applyNumberFormat="1" applyFont="1" applyFill="1" applyBorder="1"/>
    <xf numFmtId="3" fontId="25" fillId="2" borderId="48" xfId="0" applyNumberFormat="1" applyFont="1" applyFill="1" applyBorder="1"/>
    <xf numFmtId="4" fontId="25" fillId="2" borderId="46" xfId="13" applyNumberFormat="1" applyFont="1" applyFill="1" applyBorder="1" applyAlignment="1">
      <alignment horizontal="center" vertical="center"/>
    </xf>
    <xf numFmtId="43" fontId="35" fillId="42" borderId="0" xfId="3" applyFont="1" applyFill="1" applyBorder="1"/>
    <xf numFmtId="43" fontId="35" fillId="3" borderId="0" xfId="3" applyFont="1" applyFill="1" applyBorder="1"/>
    <xf numFmtId="43" fontId="35" fillId="3" borderId="31" xfId="3" applyFont="1" applyFill="1" applyBorder="1"/>
    <xf numFmtId="43" fontId="35" fillId="42" borderId="0" xfId="3" applyFont="1" applyFill="1"/>
    <xf numFmtId="0" fontId="35" fillId="42" borderId="44" xfId="0" applyFont="1" applyFill="1" applyBorder="1" applyAlignment="1">
      <alignment wrapText="1"/>
    </xf>
    <xf numFmtId="0" fontId="35" fillId="42" borderId="16" xfId="0" applyFont="1" applyFill="1" applyBorder="1" applyAlignment="1">
      <alignment wrapText="1"/>
    </xf>
    <xf numFmtId="0" fontId="35" fillId="42" borderId="46" xfId="0" applyFont="1" applyFill="1" applyBorder="1" applyAlignment="1">
      <alignment wrapText="1"/>
    </xf>
    <xf numFmtId="9" fontId="25" fillId="2" borderId="16" xfId="15" applyFont="1" applyFill="1" applyBorder="1" applyAlignment="1">
      <alignment horizontal="center"/>
    </xf>
    <xf numFmtId="9" fontId="47" fillId="14" borderId="308" xfId="15" applyFont="1" applyFill="1" applyBorder="1" applyAlignment="1">
      <alignment horizontal="center" vertical="center"/>
    </xf>
    <xf numFmtId="3" fontId="47" fillId="44" borderId="0" xfId="13" applyNumberFormat="1" applyFont="1" applyFill="1" applyBorder="1" applyAlignment="1">
      <alignment horizontal="center" vertical="center"/>
    </xf>
    <xf numFmtId="9" fontId="47" fillId="44" borderId="0" xfId="4" applyFont="1" applyFill="1" applyBorder="1" applyAlignment="1">
      <alignment horizontal="center" vertical="center"/>
    </xf>
    <xf numFmtId="0" fontId="25" fillId="12" borderId="394" xfId="13" applyFont="1" applyFill="1" applyBorder="1" applyAlignment="1">
      <alignment horizontal="center" vertical="center"/>
    </xf>
    <xf numFmtId="0" fontId="25" fillId="14" borderId="395" xfId="13" applyFont="1" applyFill="1" applyBorder="1" applyAlignment="1">
      <alignment horizontal="center"/>
    </xf>
    <xf numFmtId="2" fontId="25" fillId="2" borderId="80" xfId="13" applyNumberFormat="1" applyFont="1" applyFill="1" applyBorder="1"/>
    <xf numFmtId="2" fontId="25" fillId="14" borderId="80" xfId="13" applyNumberFormat="1" applyFont="1" applyFill="1" applyBorder="1"/>
    <xf numFmtId="2" fontId="34" fillId="2" borderId="80" xfId="13" applyNumberFormat="1" applyFont="1" applyFill="1" applyBorder="1" applyAlignment="1">
      <alignment horizontal="right"/>
    </xf>
    <xf numFmtId="9" fontId="25" fillId="2" borderId="314" xfId="15" applyFont="1" applyFill="1" applyBorder="1" applyAlignment="1">
      <alignment horizontal="right" vertical="center"/>
    </xf>
    <xf numFmtId="2" fontId="25" fillId="14" borderId="279" xfId="13" applyNumberFormat="1" applyFont="1" applyFill="1" applyBorder="1" applyAlignment="1">
      <alignment horizontal="center"/>
    </xf>
    <xf numFmtId="4" fontId="25" fillId="2" borderId="80" xfId="13" applyNumberFormat="1" applyFont="1" applyFill="1" applyBorder="1"/>
    <xf numFmtId="2" fontId="25" fillId="2" borderId="80" xfId="13" applyNumberFormat="1" applyFont="1" applyFill="1" applyBorder="1" applyAlignment="1">
      <alignment horizontal="center"/>
    </xf>
    <xf numFmtId="0" fontId="25" fillId="14" borderId="80" xfId="13" applyFont="1" applyFill="1" applyBorder="1"/>
    <xf numFmtId="0" fontId="34" fillId="44" borderId="9" xfId="13" applyFont="1" applyFill="1" applyBorder="1" applyAlignment="1">
      <alignment horizontal="left" vertical="center"/>
    </xf>
    <xf numFmtId="0" fontId="25" fillId="44" borderId="11" xfId="13" applyFont="1" applyFill="1" applyBorder="1" applyAlignment="1">
      <alignment horizontal="center" vertical="center"/>
    </xf>
    <xf numFmtId="43" fontId="25" fillId="44" borderId="382" xfId="3" applyFont="1" applyFill="1" applyBorder="1" applyAlignment="1">
      <alignment horizontal="center" vertical="center"/>
    </xf>
    <xf numFmtId="43" fontId="54" fillId="44" borderId="385" xfId="3" applyFont="1" applyFill="1" applyBorder="1" applyAlignment="1">
      <alignment horizontal="center" vertical="center"/>
    </xf>
    <xf numFmtId="0" fontId="166" fillId="44" borderId="0" xfId="13" applyFont="1" applyFill="1" applyBorder="1" applyAlignment="1">
      <alignment horizontal="center" vertical="center"/>
    </xf>
    <xf numFmtId="43" fontId="166" fillId="44" borderId="0" xfId="3" applyFont="1" applyFill="1" applyBorder="1" applyAlignment="1">
      <alignment horizontal="center" vertical="center"/>
    </xf>
    <xf numFmtId="0" fontId="166" fillId="44" borderId="0" xfId="13" applyFont="1" applyFill="1" applyBorder="1"/>
    <xf numFmtId="0" fontId="61" fillId="44" borderId="345" xfId="13" applyFont="1" applyFill="1" applyBorder="1"/>
    <xf numFmtId="0" fontId="25" fillId="44" borderId="345" xfId="13" applyFont="1" applyFill="1" applyBorder="1"/>
    <xf numFmtId="0" fontId="25" fillId="44" borderId="396" xfId="13" applyFont="1" applyFill="1" applyBorder="1"/>
    <xf numFmtId="0" fontId="25" fillId="44" borderId="9" xfId="13" applyFont="1" applyFill="1" applyBorder="1" applyAlignment="1">
      <alignment horizontal="center" vertical="center"/>
    </xf>
    <xf numFmtId="43" fontId="25" fillId="44" borderId="381" xfId="3" applyFont="1" applyFill="1" applyBorder="1" applyAlignment="1">
      <alignment horizontal="center" vertical="center"/>
    </xf>
    <xf numFmtId="43" fontId="54" fillId="44" borderId="383" xfId="3" applyFont="1" applyFill="1" applyBorder="1" applyAlignment="1">
      <alignment horizontal="center" vertical="center"/>
    </xf>
    <xf numFmtId="2" fontId="25" fillId="44" borderId="0" xfId="13" applyNumberFormat="1" applyFont="1" applyFill="1" applyBorder="1"/>
    <xf numFmtId="4" fontId="25" fillId="2" borderId="0" xfId="13" applyNumberFormat="1" applyFont="1" applyFill="1" applyBorder="1" applyAlignment="1">
      <alignment horizontal="left" vertical="top" wrapText="1"/>
    </xf>
    <xf numFmtId="2" fontId="25" fillId="2" borderId="0" xfId="13" applyNumberFormat="1" applyFont="1" applyFill="1" applyBorder="1" applyAlignment="1">
      <alignment horizontal="left" vertical="top" wrapText="1"/>
    </xf>
    <xf numFmtId="0" fontId="34" fillId="2" borderId="386" xfId="13" applyFont="1" applyFill="1" applyBorder="1" applyAlignment="1">
      <alignment vertical="center"/>
    </xf>
    <xf numFmtId="4" fontId="34" fillId="2" borderId="388" xfId="13" applyNumberFormat="1" applyFont="1" applyFill="1" applyBorder="1"/>
    <xf numFmtId="2" fontId="34" fillId="2" borderId="394" xfId="13" applyNumberFormat="1" applyFont="1" applyFill="1" applyBorder="1" applyAlignment="1">
      <alignment horizontal="center" vertical="center"/>
    </xf>
    <xf numFmtId="2" fontId="34" fillId="2" borderId="397" xfId="13" applyNumberFormat="1" applyFont="1" applyFill="1" applyBorder="1" applyAlignment="1">
      <alignment horizontal="center" vertical="center"/>
    </xf>
    <xf numFmtId="4" fontId="34" fillId="2" borderId="395" xfId="13" applyNumberFormat="1" applyFont="1" applyFill="1" applyBorder="1"/>
    <xf numFmtId="0" fontId="25" fillId="12" borderId="282" xfId="13" applyFont="1" applyFill="1" applyBorder="1" applyAlignment="1">
      <alignment horizontal="center" vertical="center"/>
    </xf>
    <xf numFmtId="0" fontId="25" fillId="14" borderId="0" xfId="13" applyFont="1" applyFill="1" applyBorder="1" applyAlignment="1">
      <alignment horizontal="center"/>
    </xf>
    <xf numFmtId="0" fontId="25" fillId="14" borderId="80" xfId="13" applyFont="1" applyFill="1" applyBorder="1" applyAlignment="1">
      <alignment horizontal="center"/>
    </xf>
    <xf numFmtId="0" fontId="25" fillId="12" borderId="0" xfId="13" applyFont="1" applyFill="1" applyBorder="1" applyAlignment="1">
      <alignment horizontal="center" vertical="center"/>
    </xf>
    <xf numFmtId="0" fontId="54" fillId="14" borderId="16" xfId="13" applyFont="1" applyFill="1" applyBorder="1" applyAlignment="1">
      <alignment horizontal="center"/>
    </xf>
    <xf numFmtId="4" fontId="34" fillId="2" borderId="386" xfId="13" applyNumberFormat="1" applyFont="1" applyFill="1" applyBorder="1"/>
    <xf numFmtId="4" fontId="34" fillId="2" borderId="387" xfId="13" applyNumberFormat="1" applyFont="1" applyFill="1" applyBorder="1"/>
    <xf numFmtId="171" fontId="25" fillId="2" borderId="0" xfId="3" applyNumberFormat="1" applyFont="1" applyFill="1" applyBorder="1" applyAlignment="1">
      <alignment horizontal="left" vertical="top" wrapText="1"/>
    </xf>
    <xf numFmtId="2" fontId="34" fillId="44" borderId="274" xfId="13" applyNumberFormat="1" applyFont="1" applyFill="1" applyBorder="1" applyAlignment="1">
      <alignment horizontal="center" wrapText="1"/>
    </xf>
    <xf numFmtId="43" fontId="34" fillId="44" borderId="274" xfId="3" applyFont="1" applyFill="1" applyBorder="1"/>
    <xf numFmtId="0" fontId="34" fillId="44" borderId="0" xfId="13" applyFont="1" applyFill="1" applyBorder="1" applyAlignment="1">
      <alignment horizontal="center" vertical="center"/>
    </xf>
    <xf numFmtId="9" fontId="25" fillId="44" borderId="0" xfId="4" applyFont="1" applyFill="1" applyBorder="1" applyAlignment="1">
      <alignment horizontal="center" vertical="center"/>
    </xf>
    <xf numFmtId="9" fontId="25" fillId="44" borderId="0" xfId="13" applyNumberFormat="1" applyFont="1" applyFill="1" applyBorder="1" applyAlignment="1">
      <alignment horizontal="center" vertical="center"/>
    </xf>
    <xf numFmtId="2" fontId="34" fillId="44" borderId="0" xfId="14" applyNumberFormat="1" applyFont="1" applyFill="1" applyBorder="1" applyAlignment="1">
      <alignment horizontal="center" vertical="center"/>
    </xf>
    <xf numFmtId="0" fontId="164" fillId="44" borderId="0" xfId="13" applyFont="1" applyFill="1" applyBorder="1" applyAlignment="1">
      <alignment horizontal="center" vertical="center"/>
    </xf>
    <xf numFmtId="3" fontId="164" fillId="44" borderId="0" xfId="13" applyNumberFormat="1" applyFont="1" applyFill="1" applyBorder="1" applyAlignment="1">
      <alignment horizontal="center" vertical="center"/>
    </xf>
    <xf numFmtId="184" fontId="25" fillId="14" borderId="0" xfId="15" applyNumberFormat="1" applyFont="1" applyFill="1" applyBorder="1" applyAlignment="1">
      <alignment horizontal="center" vertical="center"/>
    </xf>
    <xf numFmtId="0" fontId="25" fillId="14" borderId="16" xfId="13" applyFont="1" applyFill="1" applyBorder="1" applyAlignment="1">
      <alignment horizontal="left" vertical="top" wrapText="1"/>
    </xf>
    <xf numFmtId="188" fontId="110" fillId="8" borderId="386" xfId="13" applyNumberFormat="1" applyFont="1" applyFill="1" applyBorder="1" applyAlignment="1">
      <alignment horizontal="center"/>
    </xf>
    <xf numFmtId="188" fontId="110" fillId="8" borderId="387" xfId="13" applyNumberFormat="1" applyFont="1" applyFill="1" applyBorder="1" applyAlignment="1">
      <alignment horizontal="center"/>
    </xf>
    <xf numFmtId="188" fontId="110" fillId="8" borderId="388" xfId="13" applyNumberFormat="1" applyFont="1" applyFill="1" applyBorder="1" applyAlignment="1">
      <alignment horizontal="center"/>
    </xf>
    <xf numFmtId="3" fontId="25" fillId="2" borderId="0" xfId="13" applyNumberFormat="1" applyFont="1" applyFill="1" applyBorder="1"/>
    <xf numFmtId="17" fontId="25" fillId="0" borderId="0" xfId="13" applyNumberFormat="1" applyFont="1" applyFill="1" applyAlignment="1">
      <alignment horizontal="left"/>
    </xf>
    <xf numFmtId="3" fontId="165" fillId="2" borderId="0" xfId="0" applyNumberFormat="1" applyFont="1" applyFill="1" applyBorder="1" applyAlignment="1">
      <alignment horizontal="center" vertical="center" wrapText="1" readingOrder="1"/>
    </xf>
    <xf numFmtId="170" fontId="161" fillId="58" borderId="25" xfId="25" applyNumberFormat="1" applyFont="1" applyFill="1" applyBorder="1" applyAlignment="1">
      <alignment horizontal="right" vertical="center" wrapText="1"/>
    </xf>
    <xf numFmtId="174" fontId="4" fillId="2" borderId="394" xfId="3" applyNumberFormat="1" applyFont="1" applyFill="1" applyBorder="1" applyAlignment="1">
      <alignment horizontal="right" vertical="center"/>
    </xf>
    <xf numFmtId="174" fontId="4" fillId="2" borderId="397" xfId="3" applyNumberFormat="1" applyFont="1" applyFill="1" applyBorder="1" applyAlignment="1">
      <alignment horizontal="right" vertical="center"/>
    </xf>
    <xf numFmtId="174" fontId="4" fillId="2" borderId="395" xfId="3" applyNumberFormat="1" applyFont="1" applyFill="1" applyBorder="1" applyAlignment="1">
      <alignment horizontal="right" vertical="center"/>
    </xf>
    <xf numFmtId="174" fontId="4" fillId="2" borderId="282" xfId="3" applyNumberFormat="1" applyFont="1" applyFill="1" applyBorder="1" applyAlignment="1">
      <alignment horizontal="right" vertical="center"/>
    </xf>
    <xf numFmtId="174" fontId="4" fillId="2" borderId="0" xfId="3" applyNumberFormat="1" applyFont="1" applyFill="1" applyBorder="1" applyAlignment="1">
      <alignment horizontal="right" vertical="center"/>
    </xf>
    <xf numFmtId="174" fontId="4" fillId="2" borderId="80" xfId="3" applyNumberFormat="1" applyFont="1" applyFill="1" applyBorder="1" applyAlignment="1">
      <alignment horizontal="right" vertical="center"/>
    </xf>
    <xf numFmtId="174" fontId="160" fillId="2" borderId="386" xfId="3" applyNumberFormat="1" applyFont="1" applyFill="1" applyBorder="1" applyAlignment="1">
      <alignment horizontal="right" vertical="center"/>
    </xf>
    <xf numFmtId="174" fontId="160" fillId="2" borderId="388" xfId="3" applyNumberFormat="1" applyFont="1" applyFill="1" applyBorder="1" applyAlignment="1">
      <alignment horizontal="right" vertical="center"/>
    </xf>
    <xf numFmtId="170" fontId="163" fillId="58" borderId="0" xfId="25" applyNumberFormat="1" applyFont="1" applyFill="1" applyBorder="1" applyAlignment="1">
      <alignment horizontal="center" vertical="center"/>
    </xf>
    <xf numFmtId="0" fontId="32" fillId="8" borderId="398" xfId="0" applyFont="1" applyFill="1" applyBorder="1" applyAlignment="1">
      <alignment horizontal="center" vertical="top" wrapText="1"/>
    </xf>
    <xf numFmtId="170" fontId="161" fillId="58" borderId="399" xfId="25" applyNumberFormat="1" applyFont="1" applyFill="1" applyBorder="1" applyAlignment="1">
      <alignment vertical="center"/>
    </xf>
    <xf numFmtId="170" fontId="161" fillId="58" borderId="400" xfId="25" applyNumberFormat="1" applyFont="1" applyFill="1" applyBorder="1" applyAlignment="1">
      <alignment vertical="center"/>
    </xf>
    <xf numFmtId="170" fontId="161" fillId="58" borderId="401" xfId="25" applyNumberFormat="1" applyFont="1" applyFill="1" applyBorder="1" applyAlignment="1">
      <alignment vertical="center"/>
    </xf>
    <xf numFmtId="170" fontId="161" fillId="58" borderId="402" xfId="25" applyNumberFormat="1" applyFont="1" applyFill="1" applyBorder="1" applyAlignment="1">
      <alignment horizontal="right" vertical="center" wrapText="1"/>
    </xf>
    <xf numFmtId="170" fontId="161" fillId="58" borderId="403" xfId="25" applyNumberFormat="1" applyFont="1" applyFill="1" applyBorder="1" applyAlignment="1">
      <alignment horizontal="right" vertical="center" wrapText="1"/>
    </xf>
    <xf numFmtId="0" fontId="32" fillId="8" borderId="390" xfId="0" applyFont="1" applyFill="1" applyBorder="1" applyAlignment="1">
      <alignment horizontal="center" vertical="top" wrapText="1"/>
    </xf>
    <xf numFmtId="0" fontId="20" fillId="2" borderId="0" xfId="0" applyNumberFormat="1" applyFont="1"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20" fillId="2" borderId="0" xfId="0" applyFont="1" applyFill="1" applyBorder="1" applyAlignment="1" applyProtection="1">
      <alignment horizontal="left" vertical="center" wrapText="1"/>
      <protection locked="0"/>
    </xf>
    <xf numFmtId="0" fontId="20" fillId="2" borderId="0" xfId="0" applyFont="1" applyFill="1" applyBorder="1" applyAlignment="1" applyProtection="1">
      <alignment horizontal="center" vertical="center" wrapText="1"/>
      <protection locked="0"/>
    </xf>
    <xf numFmtId="0" fontId="0" fillId="2" borderId="0" xfId="0" applyFill="1" applyBorder="1" applyAlignment="1" applyProtection="1">
      <alignment horizontal="center" vertical="center" wrapText="1"/>
      <protection locked="0"/>
    </xf>
    <xf numFmtId="0" fontId="19" fillId="2" borderId="0" xfId="0" applyFont="1" applyFill="1" applyBorder="1" applyAlignment="1" applyProtection="1">
      <alignment vertical="center" wrapText="1"/>
      <protection locked="0"/>
    </xf>
    <xf numFmtId="0" fontId="0" fillId="2" borderId="0" xfId="0" applyFill="1" applyBorder="1" applyAlignment="1" applyProtection="1">
      <alignment vertical="center" wrapText="1"/>
      <protection locked="0"/>
    </xf>
    <xf numFmtId="0" fontId="24" fillId="18" borderId="106" xfId="0" applyFont="1" applyFill="1" applyBorder="1" applyAlignment="1">
      <alignment vertical="center" wrapText="1"/>
    </xf>
    <xf numFmtId="0" fontId="24" fillId="0" borderId="107" xfId="0" applyFont="1" applyBorder="1" applyAlignment="1">
      <alignment vertical="center"/>
    </xf>
    <xf numFmtId="0" fontId="24" fillId="0" borderId="108" xfId="0" applyFont="1" applyBorder="1" applyAlignment="1">
      <alignment vertical="center"/>
    </xf>
    <xf numFmtId="0" fontId="24" fillId="0" borderId="23" xfId="0" applyFont="1" applyBorder="1" applyAlignment="1">
      <alignment vertical="center"/>
    </xf>
    <xf numFmtId="0" fontId="24" fillId="0" borderId="0" xfId="0" applyFont="1" applyAlignment="1">
      <alignment vertical="center"/>
    </xf>
    <xf numFmtId="0" fontId="24" fillId="0" borderId="20" xfId="0" applyFont="1" applyBorder="1" applyAlignment="1">
      <alignment vertical="center"/>
    </xf>
    <xf numFmtId="0" fontId="24" fillId="0" borderId="109" xfId="0" applyFont="1" applyBorder="1" applyAlignment="1">
      <alignment vertical="center"/>
    </xf>
    <xf numFmtId="0" fontId="24" fillId="0" borderId="105" xfId="0" applyFont="1" applyBorder="1" applyAlignment="1">
      <alignment vertical="center"/>
    </xf>
    <xf numFmtId="0" fontId="24" fillId="0" borderId="110" xfId="0" applyFont="1" applyBorder="1" applyAlignment="1">
      <alignment vertical="center"/>
    </xf>
    <xf numFmtId="0" fontId="25" fillId="44" borderId="0" xfId="13" applyFont="1" applyFill="1" applyBorder="1" applyAlignment="1">
      <alignment vertical="center" wrapText="1"/>
    </xf>
    <xf numFmtId="0" fontId="109" fillId="44" borderId="0" xfId="13" applyFill="1" applyBorder="1" applyAlignment="1">
      <alignment wrapText="1"/>
    </xf>
    <xf numFmtId="0" fontId="0" fillId="2" borderId="30" xfId="0" applyFill="1" applyBorder="1" applyAlignment="1">
      <alignment horizontal="left" vertical="top" wrapText="1"/>
    </xf>
    <xf numFmtId="0" fontId="0" fillId="2" borderId="44" xfId="0" applyFill="1" applyBorder="1" applyAlignment="1">
      <alignment horizontal="left" vertical="top" wrapText="1"/>
    </xf>
    <xf numFmtId="0" fontId="0" fillId="2" borderId="0" xfId="0" applyFill="1" applyAlignment="1">
      <alignment horizontal="left" vertical="top" wrapText="1"/>
    </xf>
    <xf numFmtId="0" fontId="0" fillId="2" borderId="16" xfId="0" applyFill="1" applyBorder="1" applyAlignment="1">
      <alignment horizontal="left" vertical="top" wrapText="1"/>
    </xf>
    <xf numFmtId="0" fontId="0" fillId="2" borderId="31" xfId="0" applyFill="1" applyBorder="1" applyAlignment="1">
      <alignment horizontal="left" vertical="top" wrapText="1"/>
    </xf>
    <xf numFmtId="0" fontId="0" fillId="2" borderId="46" xfId="0" applyFill="1" applyBorder="1" applyAlignment="1">
      <alignment horizontal="left" vertical="top" wrapText="1"/>
    </xf>
    <xf numFmtId="0" fontId="25" fillId="2" borderId="0" xfId="13" applyFont="1" applyFill="1" applyBorder="1" applyAlignment="1">
      <alignment vertical="center" wrapText="1"/>
    </xf>
    <xf numFmtId="0" fontId="109" fillId="2" borderId="0" xfId="13" applyFill="1" applyAlignment="1">
      <alignment wrapText="1"/>
    </xf>
    <xf numFmtId="2" fontId="34" fillId="17" borderId="309" xfId="14" applyNumberFormat="1" applyFont="1" applyFill="1" applyBorder="1" applyAlignment="1">
      <alignment horizontal="center" vertical="center"/>
    </xf>
    <xf numFmtId="2" fontId="110" fillId="17" borderId="5" xfId="14" applyNumberFormat="1" applyFont="1" applyFill="1" applyBorder="1" applyAlignment="1">
      <alignment horizontal="center" vertical="center"/>
    </xf>
    <xf numFmtId="2" fontId="110" fillId="17" borderId="4" xfId="14" applyNumberFormat="1" applyFont="1" applyFill="1" applyBorder="1" applyAlignment="1">
      <alignment horizontal="center" vertical="center"/>
    </xf>
    <xf numFmtId="0" fontId="134" fillId="2" borderId="0" xfId="13" applyFont="1" applyFill="1" applyAlignment="1">
      <alignment horizontal="left" wrapText="1"/>
    </xf>
    <xf numFmtId="0" fontId="16" fillId="0" borderId="0" xfId="13" applyFont="1" applyAlignment="1"/>
    <xf numFmtId="0" fontId="30" fillId="8" borderId="229" xfId="13" applyFont="1" applyFill="1" applyBorder="1" applyAlignment="1" applyProtection="1">
      <alignment horizontal="left" vertical="center" wrapText="1"/>
      <protection locked="0"/>
    </xf>
    <xf numFmtId="0" fontId="30" fillId="8" borderId="232" xfId="13" applyFont="1" applyFill="1" applyBorder="1" applyAlignment="1" applyProtection="1">
      <alignment horizontal="left" vertical="center" wrapText="1"/>
      <protection locked="0"/>
    </xf>
    <xf numFmtId="2" fontId="30" fillId="8" borderId="230" xfId="13" applyNumberFormat="1" applyFont="1" applyFill="1" applyBorder="1" applyAlignment="1">
      <alignment horizontal="center" vertical="center"/>
    </xf>
    <xf numFmtId="2" fontId="30" fillId="8" borderId="231" xfId="13" applyNumberFormat="1" applyFont="1" applyFill="1" applyBorder="1" applyAlignment="1">
      <alignment horizontal="center" vertical="center"/>
    </xf>
    <xf numFmtId="2" fontId="62" fillId="17" borderId="3" xfId="14" applyNumberFormat="1" applyFont="1" applyFill="1" applyBorder="1" applyAlignment="1">
      <alignment horizontal="center" vertical="center"/>
    </xf>
    <xf numFmtId="2" fontId="62" fillId="17" borderId="5" xfId="14" applyNumberFormat="1" applyFont="1" applyFill="1" applyBorder="1" applyAlignment="1">
      <alignment horizontal="center" vertical="center"/>
    </xf>
    <xf numFmtId="2" fontId="62" fillId="17" borderId="4" xfId="14" applyNumberFormat="1" applyFont="1" applyFill="1" applyBorder="1" applyAlignment="1">
      <alignment horizontal="center" vertical="center"/>
    </xf>
    <xf numFmtId="2" fontId="30" fillId="8" borderId="367" xfId="13" applyNumberFormat="1" applyFont="1" applyFill="1" applyBorder="1" applyAlignment="1">
      <alignment horizontal="center" vertical="center"/>
    </xf>
    <xf numFmtId="0" fontId="109" fillId="0" borderId="231" xfId="13" applyBorder="1" applyAlignment="1">
      <alignment horizontal="center" vertical="center"/>
    </xf>
    <xf numFmtId="0" fontId="0" fillId="0" borderId="368" xfId="0" applyBorder="1" applyAlignment="1"/>
    <xf numFmtId="0" fontId="34" fillId="17" borderId="373" xfId="14" applyFont="1" applyFill="1" applyBorder="1" applyAlignment="1">
      <alignment horizontal="center"/>
    </xf>
    <xf numFmtId="0" fontId="109" fillId="0" borderId="339" xfId="13" applyBorder="1" applyAlignment="1">
      <alignment horizontal="center"/>
    </xf>
    <xf numFmtId="0" fontId="0" fillId="0" borderId="332" xfId="0" applyBorder="1" applyAlignment="1"/>
    <xf numFmtId="0" fontId="32" fillId="8" borderId="240" xfId="13" applyFont="1" applyFill="1" applyBorder="1" applyAlignment="1">
      <alignment horizontal="center"/>
    </xf>
    <xf numFmtId="0" fontId="32" fillId="8" borderId="236" xfId="13" applyFont="1" applyFill="1" applyBorder="1" applyAlignment="1">
      <alignment horizontal="center"/>
    </xf>
    <xf numFmtId="0" fontId="32" fillId="8" borderId="303" xfId="13" applyFont="1" applyFill="1" applyBorder="1" applyAlignment="1">
      <alignment horizontal="center"/>
    </xf>
    <xf numFmtId="0" fontId="32" fillId="8" borderId="241" xfId="13" applyFont="1" applyFill="1" applyBorder="1" applyAlignment="1">
      <alignment horizontal="center" vertical="center" wrapText="1"/>
    </xf>
    <xf numFmtId="0" fontId="32" fillId="8" borderId="246" xfId="13" applyFont="1" applyFill="1" applyBorder="1" applyAlignment="1">
      <alignment horizontal="center" vertical="center" wrapText="1"/>
    </xf>
    <xf numFmtId="0" fontId="32" fillId="8" borderId="247" xfId="13" applyFont="1" applyFill="1" applyBorder="1" applyAlignment="1">
      <alignment horizontal="center" vertical="center" wrapText="1"/>
    </xf>
    <xf numFmtId="0" fontId="32" fillId="8" borderId="242" xfId="13" applyFont="1" applyFill="1" applyBorder="1" applyAlignment="1">
      <alignment horizontal="center"/>
    </xf>
    <xf numFmtId="0" fontId="32" fillId="8" borderId="243" xfId="13" applyFont="1" applyFill="1" applyBorder="1" applyAlignment="1">
      <alignment horizontal="center"/>
    </xf>
    <xf numFmtId="0" fontId="32" fillId="8" borderId="244" xfId="13" applyFont="1" applyFill="1" applyBorder="1" applyAlignment="1">
      <alignment horizontal="center"/>
    </xf>
    <xf numFmtId="0" fontId="32" fillId="8" borderId="245" xfId="13" applyFont="1" applyFill="1" applyBorder="1" applyAlignment="1">
      <alignment horizontal="center"/>
    </xf>
    <xf numFmtId="0" fontId="32" fillId="8" borderId="298" xfId="13" applyFont="1" applyFill="1" applyBorder="1" applyAlignment="1">
      <alignment horizontal="center" vertical="center" wrapText="1"/>
    </xf>
    <xf numFmtId="0" fontId="0" fillId="0" borderId="300" xfId="0" applyBorder="1" applyAlignment="1">
      <alignment horizontal="center" vertical="center" wrapText="1"/>
    </xf>
    <xf numFmtId="0" fontId="32" fillId="8" borderId="301" xfId="13" applyFont="1" applyFill="1" applyBorder="1" applyAlignment="1">
      <alignment horizontal="center" vertical="center"/>
    </xf>
    <xf numFmtId="0" fontId="0" fillId="0" borderId="80" xfId="0" applyBorder="1" applyAlignment="1">
      <alignment horizontal="center" vertical="center"/>
    </xf>
    <xf numFmtId="0" fontId="0" fillId="0" borderId="302" xfId="0" applyBorder="1" applyAlignment="1">
      <alignment horizontal="center" vertical="center"/>
    </xf>
    <xf numFmtId="0" fontId="32" fillId="8" borderId="306" xfId="13" applyFont="1" applyFill="1" applyBorder="1" applyAlignment="1">
      <alignment horizontal="center"/>
    </xf>
    <xf numFmtId="0" fontId="0" fillId="0" borderId="304" xfId="0" applyBorder="1" applyAlignment="1">
      <alignment horizontal="center"/>
    </xf>
    <xf numFmtId="0" fontId="0" fillId="0" borderId="307" xfId="0" applyBorder="1" applyAlignment="1">
      <alignment horizontal="center"/>
    </xf>
    <xf numFmtId="0" fontId="32" fillId="2" borderId="243" xfId="13" applyFont="1" applyFill="1" applyBorder="1" applyAlignment="1">
      <alignment horizontal="center"/>
    </xf>
    <xf numFmtId="0" fontId="32" fillId="2" borderId="244" xfId="13" applyFont="1" applyFill="1" applyBorder="1" applyAlignment="1">
      <alignment horizontal="center"/>
    </xf>
    <xf numFmtId="0" fontId="32" fillId="2" borderId="245" xfId="13" applyFont="1" applyFill="1" applyBorder="1" applyAlignment="1">
      <alignment horizontal="center"/>
    </xf>
    <xf numFmtId="0" fontId="32" fillId="2" borderId="304" xfId="13" applyFont="1" applyFill="1" applyBorder="1" applyAlignment="1">
      <alignment horizontal="center"/>
    </xf>
    <xf numFmtId="0" fontId="32" fillId="8" borderId="254" xfId="13" applyFont="1" applyFill="1" applyBorder="1" applyAlignment="1">
      <alignment horizontal="left" wrapText="1"/>
    </xf>
    <xf numFmtId="0" fontId="32" fillId="8" borderId="255" xfId="13" applyFont="1" applyFill="1" applyBorder="1" applyAlignment="1">
      <alignment horizontal="left" wrapText="1"/>
    </xf>
    <xf numFmtId="0" fontId="32" fillId="2" borderId="238" xfId="13" applyFont="1" applyFill="1" applyBorder="1" applyAlignment="1">
      <alignment horizontal="center"/>
    </xf>
    <xf numFmtId="0" fontId="32" fillId="2" borderId="30" xfId="13" applyFont="1" applyFill="1" applyBorder="1" applyAlignment="1">
      <alignment horizontal="center"/>
    </xf>
    <xf numFmtId="0" fontId="32" fillId="8" borderId="35" xfId="0" applyFont="1" applyFill="1" applyBorder="1" applyAlignment="1">
      <alignment horizontal="left" vertical="top" wrapText="1"/>
    </xf>
    <xf numFmtId="0" fontId="32" fillId="8" borderId="71" xfId="0" applyFont="1" applyFill="1" applyBorder="1" applyAlignment="1">
      <alignment horizontal="left" vertical="top" wrapText="1"/>
    </xf>
    <xf numFmtId="0" fontId="32" fillId="8" borderId="36" xfId="0" applyFont="1" applyFill="1" applyBorder="1" applyAlignment="1">
      <alignment horizontal="left" vertical="top" wrapText="1"/>
    </xf>
    <xf numFmtId="170" fontId="20" fillId="2" borderId="71" xfId="5" applyNumberFormat="1" applyFont="1" applyFill="1" applyBorder="1" applyAlignment="1">
      <alignment horizontal="left"/>
    </xf>
    <xf numFmtId="170" fontId="20" fillId="2" borderId="36" xfId="5" applyNumberFormat="1" applyFont="1" applyFill="1" applyBorder="1" applyAlignment="1">
      <alignment horizontal="left"/>
    </xf>
    <xf numFmtId="170" fontId="20" fillId="2" borderId="83" xfId="5" applyNumberFormat="1" applyFont="1" applyFill="1" applyBorder="1" applyAlignment="1">
      <alignment horizontal="left"/>
    </xf>
    <xf numFmtId="170" fontId="20" fillId="2" borderId="38" xfId="5" applyNumberFormat="1" applyFont="1" applyFill="1" applyBorder="1" applyAlignment="1">
      <alignment horizontal="left"/>
    </xf>
    <xf numFmtId="0" fontId="32" fillId="8" borderId="50" xfId="0" applyFont="1" applyFill="1" applyBorder="1" applyAlignment="1">
      <alignment horizontal="center" vertical="top" wrapText="1"/>
    </xf>
    <xf numFmtId="0" fontId="32" fillId="8" borderId="55" xfId="0" applyFont="1" applyFill="1" applyBorder="1" applyAlignment="1">
      <alignment horizontal="center" vertical="top" wrapText="1"/>
    </xf>
    <xf numFmtId="0" fontId="32" fillId="8" borderId="58" xfId="0" applyFont="1" applyFill="1" applyBorder="1" applyAlignment="1">
      <alignment horizontal="center" vertical="top" wrapText="1"/>
    </xf>
    <xf numFmtId="0" fontId="32" fillId="8" borderId="51" xfId="0" applyFont="1" applyFill="1" applyBorder="1" applyAlignment="1">
      <alignment horizontal="center" vertical="top" wrapText="1"/>
    </xf>
    <xf numFmtId="0" fontId="32" fillId="8" borderId="40" xfId="0" applyFont="1" applyFill="1" applyBorder="1" applyAlignment="1">
      <alignment horizontal="center" vertical="top" wrapText="1"/>
    </xf>
    <xf numFmtId="0" fontId="32" fillId="8" borderId="59" xfId="0" applyFont="1" applyFill="1" applyBorder="1" applyAlignment="1">
      <alignment horizontal="center" vertical="top" wrapText="1"/>
    </xf>
    <xf numFmtId="0" fontId="32" fillId="8" borderId="10" xfId="0" applyFont="1" applyFill="1" applyBorder="1" applyAlignment="1">
      <alignment horizontal="center" vertical="top" wrapText="1"/>
    </xf>
    <xf numFmtId="0" fontId="32" fillId="8" borderId="13" xfId="0" applyFont="1" applyFill="1" applyBorder="1" applyAlignment="1">
      <alignment horizontal="center" vertical="top" wrapText="1"/>
    </xf>
    <xf numFmtId="0" fontId="32" fillId="8" borderId="18" xfId="0" applyFont="1" applyFill="1" applyBorder="1" applyAlignment="1">
      <alignment horizontal="center" vertical="top" wrapText="1"/>
    </xf>
    <xf numFmtId="0" fontId="32" fillId="8" borderId="11" xfId="0" applyFont="1" applyFill="1" applyBorder="1" applyAlignment="1">
      <alignment horizontal="center" vertical="top" wrapText="1"/>
    </xf>
    <xf numFmtId="0" fontId="32" fillId="8" borderId="67" xfId="0" applyFont="1" applyFill="1" applyBorder="1" applyAlignment="1">
      <alignment horizontal="center" vertical="top" wrapText="1"/>
    </xf>
    <xf numFmtId="0" fontId="32" fillId="8" borderId="53" xfId="0" applyFont="1" applyFill="1" applyBorder="1" applyAlignment="1">
      <alignment horizontal="center" vertical="top" wrapText="1"/>
    </xf>
    <xf numFmtId="0" fontId="32" fillId="8" borderId="54" xfId="0" applyFont="1" applyFill="1" applyBorder="1" applyAlignment="1">
      <alignment horizontal="center" vertical="top" wrapText="1"/>
    </xf>
    <xf numFmtId="0" fontId="32" fillId="8" borderId="9" xfId="0" applyFont="1" applyFill="1" applyBorder="1" applyAlignment="1">
      <alignment horizontal="center" vertical="top" wrapText="1"/>
    </xf>
    <xf numFmtId="0" fontId="32" fillId="8" borderId="27" xfId="0" applyFont="1" applyFill="1" applyBorder="1" applyAlignment="1">
      <alignment horizontal="center" vertical="top" wrapText="1"/>
    </xf>
    <xf numFmtId="0" fontId="32" fillId="8" borderId="26" xfId="0" applyFont="1" applyFill="1" applyBorder="1" applyAlignment="1">
      <alignment horizontal="center" vertical="top" wrapText="1"/>
    </xf>
    <xf numFmtId="0" fontId="32" fillId="8" borderId="70" xfId="0" applyFont="1" applyFill="1" applyBorder="1" applyAlignment="1">
      <alignment horizontal="center" vertical="top" wrapText="1"/>
    </xf>
    <xf numFmtId="0" fontId="32" fillId="8" borderId="75" xfId="0" applyFont="1" applyFill="1" applyBorder="1" applyAlignment="1">
      <alignment horizontal="center" vertical="top" wrapText="1"/>
    </xf>
    <xf numFmtId="0" fontId="32" fillId="8" borderId="12" xfId="0" applyFont="1" applyFill="1" applyBorder="1" applyAlignment="1">
      <alignment horizontal="center" vertical="top" wrapText="1"/>
    </xf>
    <xf numFmtId="0" fontId="32" fillId="8" borderId="14" xfId="0" applyFont="1" applyFill="1" applyBorder="1" applyAlignment="1">
      <alignment horizontal="center" vertical="top" wrapText="1"/>
    </xf>
    <xf numFmtId="0" fontId="32" fillId="8" borderId="13" xfId="0" applyFont="1" applyFill="1" applyBorder="1" applyAlignment="1">
      <alignment horizontal="center" vertical="top"/>
    </xf>
    <xf numFmtId="0" fontId="32" fillId="8" borderId="34" xfId="0" applyFont="1" applyFill="1" applyBorder="1" applyAlignment="1">
      <alignment horizontal="center" vertical="top" wrapText="1"/>
    </xf>
    <xf numFmtId="0" fontId="32" fillId="8" borderId="35" xfId="0" applyFont="1" applyFill="1" applyBorder="1" applyAlignment="1">
      <alignment horizontal="center" vertical="top"/>
    </xf>
    <xf numFmtId="0" fontId="32" fillId="8" borderId="36" xfId="0" applyFont="1" applyFill="1" applyBorder="1" applyAlignment="1">
      <alignment horizontal="center" vertical="top"/>
    </xf>
    <xf numFmtId="170" fontId="21" fillId="2" borderId="71" xfId="2" applyNumberFormat="1" applyFill="1" applyBorder="1" applyAlignment="1" applyProtection="1">
      <alignment horizontal="left" vertical="top" wrapText="1"/>
    </xf>
    <xf numFmtId="170" fontId="25" fillId="2" borderId="71" xfId="5" applyNumberFormat="1" applyFont="1" applyFill="1" applyBorder="1" applyAlignment="1">
      <alignment horizontal="left" vertical="top" wrapText="1"/>
    </xf>
    <xf numFmtId="170" fontId="25" fillId="2" borderId="87" xfId="5" applyNumberFormat="1" applyFont="1" applyFill="1" applyBorder="1" applyAlignment="1">
      <alignment horizontal="left" vertical="top" wrapText="1"/>
    </xf>
    <xf numFmtId="170" fontId="25" fillId="2" borderId="0" xfId="5" applyNumberFormat="1" applyFont="1" applyFill="1" applyBorder="1" applyAlignment="1">
      <alignment horizontal="left" vertical="top" wrapText="1"/>
    </xf>
    <xf numFmtId="170" fontId="25" fillId="2" borderId="16" xfId="5" applyNumberFormat="1" applyFont="1" applyFill="1" applyBorder="1" applyAlignment="1">
      <alignment horizontal="left" vertical="top" wrapText="1"/>
    </xf>
    <xf numFmtId="170" fontId="30" fillId="8" borderId="67" xfId="5" applyNumberFormat="1" applyFont="1" applyFill="1" applyBorder="1" applyAlignment="1">
      <alignment horizontal="center"/>
    </xf>
    <xf numFmtId="170" fontId="30" fillId="8" borderId="53" xfId="5" applyNumberFormat="1" applyFont="1" applyFill="1" applyBorder="1" applyAlignment="1">
      <alignment horizontal="center"/>
    </xf>
    <xf numFmtId="0" fontId="25" fillId="0" borderId="65" xfId="0" applyFont="1" applyBorder="1" applyAlignment="1">
      <alignment horizontal="center"/>
    </xf>
    <xf numFmtId="0" fontId="25" fillId="0" borderId="74" xfId="0" applyFont="1" applyBorder="1" applyAlignment="1">
      <alignment horizontal="center"/>
    </xf>
    <xf numFmtId="170" fontId="30" fillId="8" borderId="43" xfId="5" applyNumberFormat="1" applyFont="1" applyFill="1" applyBorder="1" applyAlignment="1">
      <alignment horizontal="center" vertical="center"/>
    </xf>
    <xf numFmtId="170" fontId="30" fillId="8" borderId="30" xfId="5" applyNumberFormat="1" applyFont="1" applyFill="1" applyBorder="1" applyAlignment="1">
      <alignment horizontal="center" vertical="center"/>
    </xf>
    <xf numFmtId="170" fontId="30" fillId="8" borderId="77" xfId="5" applyNumberFormat="1" applyFont="1" applyFill="1" applyBorder="1" applyAlignment="1">
      <alignment horizontal="center" vertical="center"/>
    </xf>
    <xf numFmtId="170" fontId="30" fillId="8" borderId="82" xfId="5" applyNumberFormat="1" applyFont="1" applyFill="1" applyBorder="1" applyAlignment="1">
      <alignment horizontal="center" vertical="top"/>
    </xf>
    <xf numFmtId="170" fontId="30" fillId="8" borderId="83" xfId="5" applyNumberFormat="1" applyFont="1" applyFill="1" applyBorder="1" applyAlignment="1">
      <alignment horizontal="center" vertical="top"/>
    </xf>
    <xf numFmtId="170" fontId="30" fillId="8" borderId="38" xfId="5" applyNumberFormat="1" applyFont="1" applyFill="1" applyBorder="1" applyAlignment="1">
      <alignment horizontal="center" vertical="top"/>
    </xf>
    <xf numFmtId="0" fontId="25" fillId="0" borderId="64" xfId="0" applyFont="1" applyBorder="1" applyAlignment="1">
      <alignment horizontal="center"/>
    </xf>
    <xf numFmtId="170" fontId="53" fillId="8" borderId="65" xfId="5" applyNumberFormat="1" applyFont="1" applyFill="1" applyBorder="1" applyAlignment="1">
      <alignment horizontal="left"/>
    </xf>
    <xf numFmtId="170" fontId="53" fillId="8" borderId="86" xfId="5" applyNumberFormat="1" applyFont="1" applyFill="1" applyBorder="1" applyAlignment="1">
      <alignment horizontal="left"/>
    </xf>
    <xf numFmtId="170" fontId="21" fillId="0" borderId="78" xfId="2" applyNumberFormat="1" applyFill="1" applyBorder="1" applyAlignment="1" applyProtection="1">
      <alignment horizontal="left" vertical="top" wrapText="1"/>
    </xf>
    <xf numFmtId="170" fontId="25" fillId="0" borderId="30" xfId="5" applyNumberFormat="1" applyFont="1" applyFill="1" applyBorder="1" applyAlignment="1">
      <alignment horizontal="left" vertical="top" wrapText="1"/>
    </xf>
    <xf numFmtId="170" fontId="25" fillId="0" borderId="44" xfId="5" applyNumberFormat="1" applyFont="1" applyFill="1" applyBorder="1" applyAlignment="1">
      <alignment horizontal="left" vertical="top" wrapText="1"/>
    </xf>
    <xf numFmtId="170" fontId="25" fillId="0" borderId="28" xfId="5" applyNumberFormat="1" applyFont="1" applyFill="1" applyBorder="1" applyAlignment="1">
      <alignment horizontal="left" vertical="top" wrapText="1"/>
    </xf>
    <xf numFmtId="170" fontId="25" fillId="0" borderId="0" xfId="5" applyNumberFormat="1" applyFont="1" applyFill="1" applyBorder="1" applyAlignment="1">
      <alignment horizontal="left" vertical="top" wrapText="1"/>
    </xf>
    <xf numFmtId="170" fontId="25" fillId="0" borderId="16" xfId="5" applyNumberFormat="1" applyFont="1" applyFill="1" applyBorder="1" applyAlignment="1">
      <alignment horizontal="left" vertical="top" wrapText="1"/>
    </xf>
    <xf numFmtId="0" fontId="0" fillId="0" borderId="37" xfId="0" applyBorder="1" applyAlignment="1">
      <alignment horizontal="left" vertical="top"/>
    </xf>
    <xf numFmtId="0" fontId="0" fillId="0" borderId="83" xfId="0" applyBorder="1" applyAlignment="1">
      <alignment horizontal="left" vertical="top"/>
    </xf>
    <xf numFmtId="0" fontId="0" fillId="0" borderId="79" xfId="0" applyBorder="1" applyAlignment="1">
      <alignment horizontal="left" vertical="top"/>
    </xf>
    <xf numFmtId="0" fontId="30" fillId="8" borderId="50" xfId="0" applyFont="1" applyFill="1" applyBorder="1" applyAlignment="1">
      <alignment horizontal="center" vertical="top" wrapText="1"/>
    </xf>
    <xf numFmtId="0" fontId="30" fillId="8" borderId="55" xfId="0" applyFont="1" applyFill="1" applyBorder="1" applyAlignment="1">
      <alignment horizontal="center" vertical="top" wrapText="1"/>
    </xf>
    <xf numFmtId="0" fontId="30" fillId="8" borderId="58" xfId="0" applyFont="1" applyFill="1" applyBorder="1" applyAlignment="1">
      <alignment horizontal="center" vertical="top" wrapText="1"/>
    </xf>
    <xf numFmtId="0" fontId="30" fillId="8" borderId="51" xfId="0" applyFont="1" applyFill="1" applyBorder="1" applyAlignment="1">
      <alignment horizontal="center" vertical="top" wrapText="1"/>
    </xf>
    <xf numFmtId="0" fontId="30" fillId="8" borderId="40" xfId="0" applyFont="1" applyFill="1" applyBorder="1" applyAlignment="1">
      <alignment horizontal="center" vertical="top" wrapText="1"/>
    </xf>
    <xf numFmtId="0" fontId="30" fillId="8" borderId="59" xfId="0" applyFont="1" applyFill="1" applyBorder="1" applyAlignment="1">
      <alignment horizontal="center" vertical="top" wrapText="1"/>
    </xf>
    <xf numFmtId="170" fontId="30" fillId="8" borderId="64" xfId="5" applyNumberFormat="1" applyFont="1" applyFill="1" applyBorder="1" applyAlignment="1">
      <alignment horizontal="center"/>
    </xf>
    <xf numFmtId="170" fontId="30" fillId="8" borderId="65" xfId="5" applyNumberFormat="1" applyFont="1" applyFill="1" applyBorder="1" applyAlignment="1">
      <alignment horizontal="center"/>
    </xf>
    <xf numFmtId="0" fontId="30" fillId="8" borderId="286" xfId="5" applyNumberFormat="1" applyFont="1" applyFill="1" applyBorder="1" applyAlignment="1">
      <alignment horizontal="center" vertical="top"/>
    </xf>
    <xf numFmtId="0" fontId="30" fillId="8" borderId="275" xfId="5" applyNumberFormat="1" applyFont="1" applyFill="1" applyBorder="1" applyAlignment="1">
      <alignment horizontal="center" vertical="top"/>
    </xf>
    <xf numFmtId="0" fontId="30" fillId="8" borderId="316" xfId="5" applyNumberFormat="1" applyFont="1" applyFill="1" applyBorder="1" applyAlignment="1">
      <alignment horizontal="center" vertical="top"/>
    </xf>
    <xf numFmtId="170" fontId="30" fillId="8" borderId="52" xfId="5" applyNumberFormat="1" applyFont="1" applyFill="1" applyBorder="1" applyAlignment="1">
      <alignment horizontal="center"/>
    </xf>
    <xf numFmtId="170" fontId="30" fillId="8" borderId="54" xfId="5" applyNumberFormat="1" applyFont="1" applyFill="1" applyBorder="1" applyAlignment="1">
      <alignment horizontal="center"/>
    </xf>
    <xf numFmtId="170" fontId="30" fillId="8" borderId="315" xfId="5" applyNumberFormat="1" applyFont="1" applyFill="1" applyBorder="1" applyAlignment="1">
      <alignment horizontal="center"/>
    </xf>
    <xf numFmtId="170" fontId="30" fillId="8" borderId="275" xfId="5" applyNumberFormat="1" applyFont="1" applyFill="1" applyBorder="1" applyAlignment="1">
      <alignment horizontal="center"/>
    </xf>
    <xf numFmtId="170" fontId="30" fillId="8" borderId="286" xfId="5" applyNumberFormat="1" applyFont="1" applyFill="1" applyBorder="1" applyAlignment="1">
      <alignment horizontal="center"/>
    </xf>
    <xf numFmtId="170" fontId="30" fillId="8" borderId="288" xfId="5" applyNumberFormat="1" applyFont="1" applyFill="1" applyBorder="1" applyAlignment="1">
      <alignment horizontal="center"/>
    </xf>
    <xf numFmtId="170" fontId="30" fillId="8" borderId="316" xfId="5" applyNumberFormat="1" applyFont="1" applyFill="1" applyBorder="1" applyAlignment="1">
      <alignment horizontal="center"/>
    </xf>
    <xf numFmtId="170" fontId="30" fillId="8" borderId="82" xfId="5" applyNumberFormat="1" applyFont="1" applyFill="1" applyBorder="1" applyAlignment="1">
      <alignment horizontal="center"/>
    </xf>
    <xf numFmtId="170" fontId="30" fillId="8" borderId="314" xfId="5" applyNumberFormat="1" applyFont="1" applyFill="1" applyBorder="1" applyAlignment="1">
      <alignment horizontal="center"/>
    </xf>
    <xf numFmtId="170" fontId="30" fillId="8" borderId="37" xfId="5" applyNumberFormat="1" applyFont="1" applyFill="1" applyBorder="1" applyAlignment="1">
      <alignment horizontal="center"/>
    </xf>
    <xf numFmtId="170" fontId="30" fillId="8" borderId="299" xfId="5" applyNumberFormat="1" applyFont="1" applyFill="1" applyBorder="1" applyAlignment="1">
      <alignment horizontal="center"/>
    </xf>
    <xf numFmtId="170" fontId="30" fillId="8" borderId="284" xfId="5" applyNumberFormat="1" applyFont="1" applyFill="1" applyBorder="1" applyAlignment="1">
      <alignment horizontal="center"/>
    </xf>
    <xf numFmtId="0" fontId="0" fillId="0" borderId="283" xfId="0" applyBorder="1" applyAlignment="1">
      <alignment horizontal="center"/>
    </xf>
    <xf numFmtId="0" fontId="30" fillId="8" borderId="315" xfId="5" applyNumberFormat="1" applyFont="1" applyFill="1" applyBorder="1" applyAlignment="1">
      <alignment horizontal="center" vertical="top"/>
    </xf>
    <xf numFmtId="0" fontId="0" fillId="0" borderId="53" xfId="0" applyBorder="1" applyAlignment="1">
      <alignment horizontal="center"/>
    </xf>
    <xf numFmtId="0" fontId="0" fillId="0" borderId="54" xfId="0" applyBorder="1" applyAlignment="1">
      <alignment horizontal="center"/>
    </xf>
    <xf numFmtId="170" fontId="30" fillId="8" borderId="27" xfId="5" applyNumberFormat="1" applyFont="1" applyFill="1" applyBorder="1" applyAlignment="1">
      <alignment horizontal="center"/>
    </xf>
    <xf numFmtId="170" fontId="30" fillId="8" borderId="26" xfId="5" applyNumberFormat="1" applyFont="1" applyFill="1" applyBorder="1" applyAlignment="1">
      <alignment horizontal="center"/>
    </xf>
    <xf numFmtId="0" fontId="30" fillId="8" borderId="27" xfId="0" applyFont="1" applyFill="1" applyBorder="1" applyAlignment="1">
      <alignment horizontal="center" wrapText="1"/>
    </xf>
    <xf numFmtId="0" fontId="30" fillId="8" borderId="70" xfId="0" applyFont="1" applyFill="1" applyBorder="1" applyAlignment="1">
      <alignment horizontal="center" wrapText="1"/>
    </xf>
    <xf numFmtId="0" fontId="30" fillId="8" borderId="26" xfId="0" applyFont="1" applyFill="1" applyBorder="1" applyAlignment="1">
      <alignment horizontal="center" wrapText="1"/>
    </xf>
    <xf numFmtId="0" fontId="25" fillId="0" borderId="65" xfId="0" applyFont="1" applyBorder="1" applyAlignment="1">
      <alignment horizontal="center" vertical="center"/>
    </xf>
    <xf numFmtId="0" fontId="25" fillId="0" borderId="74" xfId="0" applyFont="1" applyBorder="1" applyAlignment="1">
      <alignment horizontal="center" vertical="center"/>
    </xf>
    <xf numFmtId="170" fontId="30" fillId="8" borderId="386" xfId="5" applyNumberFormat="1" applyFont="1" applyFill="1" applyBorder="1" applyAlignment="1">
      <alignment horizontal="center"/>
    </xf>
    <xf numFmtId="170" fontId="30" fillId="8" borderId="387" xfId="5" applyNumberFormat="1" applyFont="1" applyFill="1" applyBorder="1" applyAlignment="1">
      <alignment horizontal="center"/>
    </xf>
    <xf numFmtId="0" fontId="0" fillId="0" borderId="387" xfId="0" applyBorder="1" applyAlignment="1"/>
    <xf numFmtId="0" fontId="0" fillId="0" borderId="388" xfId="0" applyBorder="1" applyAlignment="1"/>
    <xf numFmtId="170" fontId="30" fillId="8" borderId="377" xfId="5" applyNumberFormat="1" applyFont="1" applyFill="1" applyBorder="1" applyAlignment="1">
      <alignment horizontal="center"/>
    </xf>
    <xf numFmtId="170" fontId="30" fillId="8" borderId="30" xfId="5" applyNumberFormat="1" applyFont="1" applyFill="1" applyBorder="1" applyAlignment="1">
      <alignment horizontal="center"/>
    </xf>
    <xf numFmtId="0" fontId="0" fillId="0" borderId="30" xfId="0" applyBorder="1" applyAlignment="1">
      <alignment horizontal="center"/>
    </xf>
    <xf numFmtId="170" fontId="30" fillId="8" borderId="27" xfId="5" applyNumberFormat="1" applyFont="1" applyFill="1" applyBorder="1" applyAlignment="1">
      <alignment horizontal="center" vertical="top" wrapText="1"/>
    </xf>
    <xf numFmtId="170" fontId="30" fillId="8" borderId="70" xfId="5" applyNumberFormat="1" applyFont="1" applyFill="1" applyBorder="1" applyAlignment="1">
      <alignment horizontal="center" vertical="top" wrapText="1"/>
    </xf>
    <xf numFmtId="170" fontId="30" fillId="8" borderId="75" xfId="5" applyNumberFormat="1" applyFont="1" applyFill="1" applyBorder="1" applyAlignment="1">
      <alignment horizontal="center" vertical="top" wrapText="1"/>
    </xf>
    <xf numFmtId="0" fontId="30" fillId="8" borderId="50" xfId="0" applyFont="1" applyFill="1" applyBorder="1" applyAlignment="1">
      <alignment horizontal="left" vertical="top" wrapText="1"/>
    </xf>
    <xf numFmtId="0" fontId="30" fillId="8" borderId="55" xfId="0" applyFont="1" applyFill="1" applyBorder="1" applyAlignment="1">
      <alignment horizontal="left" vertical="top" wrapText="1"/>
    </xf>
    <xf numFmtId="0" fontId="30" fillId="8" borderId="73" xfId="0" applyFont="1" applyFill="1" applyBorder="1" applyAlignment="1">
      <alignment horizontal="left" vertical="top" wrapText="1"/>
    </xf>
    <xf numFmtId="0" fontId="30" fillId="8" borderId="51" xfId="0" applyFont="1" applyFill="1" applyBorder="1" applyAlignment="1">
      <alignment horizontal="left" vertical="top" wrapText="1"/>
    </xf>
    <xf numFmtId="0" fontId="30" fillId="8" borderId="40" xfId="0" applyFont="1" applyFill="1" applyBorder="1" applyAlignment="1">
      <alignment horizontal="left" vertical="top" wrapText="1"/>
    </xf>
    <xf numFmtId="0" fontId="30" fillId="8" borderId="33" xfId="0" applyFont="1" applyFill="1" applyBorder="1" applyAlignment="1">
      <alignment horizontal="left" vertical="top" wrapText="1"/>
    </xf>
    <xf numFmtId="0" fontId="30" fillId="8" borderId="34" xfId="0" applyFont="1" applyFill="1" applyBorder="1" applyAlignment="1">
      <alignment horizontal="center" wrapText="1"/>
    </xf>
    <xf numFmtId="170" fontId="30" fillId="8" borderId="34" xfId="5" applyNumberFormat="1" applyFont="1" applyFill="1" applyBorder="1" applyAlignment="1">
      <alignment horizontal="center"/>
    </xf>
    <xf numFmtId="170" fontId="30" fillId="8" borderId="70" xfId="5" applyNumberFormat="1" applyFont="1" applyFill="1" applyBorder="1" applyAlignment="1">
      <alignment horizontal="center"/>
    </xf>
    <xf numFmtId="170" fontId="30" fillId="8" borderId="69" xfId="5" applyNumberFormat="1" applyFont="1" applyFill="1" applyBorder="1" applyAlignment="1">
      <alignment horizontal="center" vertical="top" wrapText="1"/>
    </xf>
    <xf numFmtId="170" fontId="30" fillId="8" borderId="61" xfId="5" applyNumberFormat="1" applyFont="1" applyFill="1" applyBorder="1" applyAlignment="1">
      <alignment horizontal="center" vertical="top" wrapText="1"/>
    </xf>
    <xf numFmtId="170" fontId="30" fillId="8" borderId="72" xfId="5" applyNumberFormat="1" applyFont="1" applyFill="1" applyBorder="1" applyAlignment="1">
      <alignment horizontal="center" vertical="top" wrapText="1"/>
    </xf>
    <xf numFmtId="170" fontId="30" fillId="8" borderId="35" xfId="5" applyNumberFormat="1" applyFont="1" applyFill="1" applyBorder="1" applyAlignment="1">
      <alignment horizontal="center"/>
    </xf>
    <xf numFmtId="170" fontId="30" fillId="8" borderId="71" xfId="5" applyNumberFormat="1" applyFont="1" applyFill="1" applyBorder="1" applyAlignment="1">
      <alignment horizontal="center"/>
    </xf>
    <xf numFmtId="170" fontId="30" fillId="8" borderId="381" xfId="5" applyNumberFormat="1" applyFont="1" applyFill="1" applyBorder="1" applyAlignment="1">
      <alignment horizontal="center"/>
    </xf>
    <xf numFmtId="0" fontId="0" fillId="0" borderId="379" xfId="0" applyBorder="1" applyAlignment="1">
      <alignment horizontal="center"/>
    </xf>
    <xf numFmtId="0" fontId="0" fillId="0" borderId="382" xfId="0" applyBorder="1" applyAlignment="1">
      <alignment horizontal="center"/>
    </xf>
    <xf numFmtId="170" fontId="30" fillId="8" borderId="43" xfId="5" applyNumberFormat="1" applyFont="1" applyFill="1" applyBorder="1" applyAlignment="1">
      <alignment horizontal="center"/>
    </xf>
    <xf numFmtId="170" fontId="30" fillId="8" borderId="44" xfId="5" applyNumberFormat="1" applyFont="1" applyFill="1" applyBorder="1" applyAlignment="1">
      <alignment horizontal="center"/>
    </xf>
    <xf numFmtId="0" fontId="10" fillId="9" borderId="43" xfId="1" applyFont="1" applyFill="1" applyBorder="1" applyAlignment="1">
      <alignment horizontal="center" vertical="top"/>
    </xf>
    <xf numFmtId="0" fontId="23" fillId="0" borderId="30" xfId="0" applyFont="1" applyBorder="1" applyAlignment="1">
      <alignment horizontal="center" vertical="top"/>
    </xf>
    <xf numFmtId="0" fontId="23" fillId="0" borderId="44" xfId="0" applyFont="1" applyBorder="1" applyAlignment="1">
      <alignment horizontal="center" vertical="top"/>
    </xf>
    <xf numFmtId="0" fontId="10" fillId="9" borderId="30" xfId="1" applyFont="1" applyFill="1" applyBorder="1" applyAlignment="1">
      <alignment horizontal="center" vertical="top"/>
    </xf>
    <xf numFmtId="0" fontId="10" fillId="9" borderId="30" xfId="1" applyFont="1" applyFill="1" applyBorder="1" applyAlignment="1"/>
    <xf numFmtId="0" fontId="128" fillId="0" borderId="30" xfId="0" applyFont="1" applyBorder="1" applyAlignment="1"/>
    <xf numFmtId="0" fontId="0" fillId="0" borderId="30" xfId="0" applyBorder="1" applyAlignment="1"/>
    <xf numFmtId="0" fontId="56" fillId="2" borderId="0" xfId="0" applyFont="1" applyFill="1" applyBorder="1" applyAlignment="1">
      <alignment horizontal="center" vertical="center" wrapText="1"/>
    </xf>
    <xf numFmtId="0" fontId="0" fillId="0" borderId="30" xfId="0" applyBorder="1" applyAlignment="1">
      <alignment horizontal="center" vertical="top"/>
    </xf>
    <xf numFmtId="0" fontId="9" fillId="7" borderId="7" xfId="1" applyFont="1" applyFill="1" applyBorder="1" applyAlignment="1" applyProtection="1">
      <alignment horizontal="center" vertical="center"/>
    </xf>
    <xf numFmtId="0" fontId="9" fillId="7" borderId="8" xfId="1" applyFont="1" applyFill="1" applyBorder="1" applyAlignment="1" applyProtection="1">
      <alignment horizontal="center" vertical="center"/>
    </xf>
    <xf numFmtId="0" fontId="9" fillId="7" borderId="6" xfId="1" applyFont="1" applyFill="1" applyBorder="1" applyAlignment="1" applyProtection="1">
      <alignment horizontal="center" vertical="center"/>
    </xf>
    <xf numFmtId="0" fontId="9" fillId="40" borderId="3" xfId="1" applyFont="1" applyFill="1" applyBorder="1" applyAlignment="1" applyProtection="1">
      <alignment horizontal="center" vertical="center"/>
    </xf>
    <xf numFmtId="0" fontId="9" fillId="40" borderId="5" xfId="1" applyFont="1" applyFill="1" applyBorder="1" applyAlignment="1" applyProtection="1">
      <alignment horizontal="center" vertical="center"/>
    </xf>
    <xf numFmtId="0" fontId="9" fillId="40" borderId="4" xfId="1" applyFont="1" applyFill="1" applyBorder="1" applyAlignment="1" applyProtection="1">
      <alignment horizontal="center" vertical="center"/>
    </xf>
    <xf numFmtId="0" fontId="9" fillId="34" borderId="3" xfId="1" applyFont="1" applyFill="1" applyBorder="1" applyAlignment="1" applyProtection="1">
      <alignment horizontal="center" vertical="center"/>
    </xf>
    <xf numFmtId="0" fontId="9" fillId="34" borderId="5" xfId="1" applyFont="1" applyFill="1" applyBorder="1" applyAlignment="1" applyProtection="1">
      <alignment horizontal="center" vertical="center"/>
    </xf>
    <xf numFmtId="0" fontId="9" fillId="34" borderId="4" xfId="1" applyFont="1" applyFill="1" applyBorder="1" applyAlignment="1" applyProtection="1">
      <alignment horizontal="center" vertical="center"/>
    </xf>
    <xf numFmtId="0" fontId="0" fillId="34" borderId="5" xfId="0" applyFill="1" applyBorder="1" applyAlignment="1">
      <alignment horizontal="center" vertical="center"/>
    </xf>
    <xf numFmtId="0" fontId="54" fillId="18" borderId="23" xfId="0" applyFont="1" applyFill="1" applyBorder="1" applyAlignment="1">
      <alignment vertical="top" wrapText="1"/>
    </xf>
    <xf numFmtId="0" fontId="54" fillId="18" borderId="0" xfId="0" applyFont="1" applyFill="1" applyAlignment="1">
      <alignment vertical="top" wrapText="1"/>
    </xf>
    <xf numFmtId="0" fontId="54" fillId="18" borderId="20" xfId="0" applyFont="1" applyFill="1" applyBorder="1" applyAlignment="1">
      <alignment vertical="top" wrapText="1"/>
    </xf>
    <xf numFmtId="0" fontId="54" fillId="18" borderId="109" xfId="0" applyFont="1" applyFill="1" applyBorder="1" applyAlignment="1">
      <alignment vertical="top" wrapText="1"/>
    </xf>
    <xf numFmtId="0" fontId="54" fillId="18" borderId="105" xfId="0" applyFont="1" applyFill="1" applyBorder="1" applyAlignment="1">
      <alignment vertical="top" wrapText="1"/>
    </xf>
    <xf numFmtId="0" fontId="54" fillId="18" borderId="110" xfId="0" applyFont="1" applyFill="1" applyBorder="1" applyAlignment="1">
      <alignment vertical="top" wrapText="1"/>
    </xf>
    <xf numFmtId="0" fontId="26" fillId="2" borderId="0" xfId="0" applyFont="1" applyFill="1" applyBorder="1" applyAlignment="1">
      <alignment horizontal="center" vertical="center" wrapText="1"/>
    </xf>
    <xf numFmtId="0" fontId="57" fillId="2" borderId="0" xfId="0" applyFont="1" applyFill="1" applyBorder="1" applyAlignment="1">
      <alignment horizontal="left" vertical="center" wrapText="1"/>
    </xf>
    <xf numFmtId="0" fontId="0" fillId="2" borderId="0" xfId="0" applyFont="1" applyFill="1" applyBorder="1" applyAlignment="1">
      <alignment horizontal="left" vertical="center"/>
    </xf>
    <xf numFmtId="11" fontId="0" fillId="2" borderId="0" xfId="0" applyNumberFormat="1" applyFill="1" applyBorder="1" applyAlignment="1">
      <alignment horizontal="center"/>
    </xf>
    <xf numFmtId="10" fontId="0" fillId="2" borderId="0" xfId="0" quotePrefix="1" applyNumberFormat="1" applyFill="1" applyBorder="1" applyAlignment="1">
      <alignment horizontal="center"/>
    </xf>
    <xf numFmtId="11" fontId="0" fillId="2" borderId="379" xfId="0" applyNumberFormat="1" applyFill="1" applyBorder="1" applyAlignment="1">
      <alignment horizontal="center"/>
    </xf>
    <xf numFmtId="10" fontId="0" fillId="2" borderId="379" xfId="0" quotePrefix="1" applyNumberFormat="1" applyFill="1" applyBorder="1" applyAlignment="1">
      <alignment horizontal="center"/>
    </xf>
    <xf numFmtId="0" fontId="26" fillId="9" borderId="378" xfId="0" applyFont="1" applyFill="1" applyBorder="1" applyAlignment="1">
      <alignment horizontal="center" vertical="center"/>
    </xf>
    <xf numFmtId="0" fontId="26" fillId="9" borderId="24" xfId="0" applyFont="1" applyFill="1" applyBorder="1" applyAlignment="1">
      <alignment horizontal="center" vertical="center"/>
    </xf>
    <xf numFmtId="0" fontId="26" fillId="9" borderId="380" xfId="0" applyFont="1" applyFill="1" applyBorder="1" applyAlignment="1">
      <alignment horizontal="center" vertical="center"/>
    </xf>
    <xf numFmtId="0" fontId="26" fillId="9" borderId="111" xfId="0" applyFont="1" applyFill="1" applyBorder="1" applyAlignment="1">
      <alignment horizontal="center" vertical="center"/>
    </xf>
    <xf numFmtId="0" fontId="26" fillId="9" borderId="24" xfId="0" applyFont="1" applyFill="1" applyBorder="1" applyAlignment="1">
      <alignment horizontal="center" vertical="center" wrapText="1"/>
    </xf>
    <xf numFmtId="0" fontId="26" fillId="9" borderId="111" xfId="0" applyFont="1" applyFill="1" applyBorder="1" applyAlignment="1">
      <alignment horizontal="center" vertical="center" wrapText="1"/>
    </xf>
    <xf numFmtId="0" fontId="9" fillId="9" borderId="96" xfId="1" applyFont="1" applyFill="1" applyBorder="1" applyAlignment="1" applyProtection="1">
      <alignment horizontal="center" vertical="center" wrapText="1"/>
    </xf>
    <xf numFmtId="0" fontId="1" fillId="2" borderId="95" xfId="1" applyFont="1" applyFill="1" applyBorder="1" applyAlignment="1" applyProtection="1">
      <alignment horizontal="left" vertical="center" wrapText="1" indent="1"/>
    </xf>
    <xf numFmtId="0" fontId="1" fillId="2" borderId="96" xfId="1" applyFont="1" applyFill="1" applyBorder="1" applyAlignment="1" applyProtection="1">
      <alignment horizontal="left" vertical="center" wrapText="1" indent="1"/>
    </xf>
    <xf numFmtId="0" fontId="1" fillId="2" borderId="97" xfId="1" applyFont="1" applyFill="1" applyBorder="1" applyAlignment="1" applyProtection="1">
      <alignment horizontal="left" vertical="center" wrapText="1" indent="1"/>
    </xf>
    <xf numFmtId="0" fontId="1" fillId="2" borderId="98" xfId="1" applyFont="1" applyFill="1" applyBorder="1" applyAlignment="1" applyProtection="1">
      <alignment horizontal="left" vertical="center" wrapText="1" indent="1"/>
    </xf>
    <xf numFmtId="0" fontId="1" fillId="2" borderId="98" xfId="1" applyFont="1" applyFill="1" applyBorder="1" applyAlignment="1" applyProtection="1">
      <alignment horizontal="left" vertical="center" indent="1"/>
    </xf>
    <xf numFmtId="0" fontId="69" fillId="19" borderId="128" xfId="0" applyFont="1" applyFill="1" applyBorder="1" applyAlignment="1">
      <alignment vertical="center" wrapText="1"/>
    </xf>
    <xf numFmtId="0" fontId="0" fillId="0" borderId="129" xfId="0" applyBorder="1" applyAlignment="1">
      <alignment vertical="center" wrapText="1"/>
    </xf>
    <xf numFmtId="0" fontId="64" fillId="2" borderId="113" xfId="0" applyFont="1" applyFill="1" applyBorder="1" applyAlignment="1">
      <alignment horizontal="center" vertical="center" textRotation="90"/>
    </xf>
    <xf numFmtId="0" fontId="64" fillId="2" borderId="115" xfId="0" applyFont="1" applyFill="1" applyBorder="1" applyAlignment="1">
      <alignment horizontal="center" vertical="center" textRotation="90"/>
    </xf>
    <xf numFmtId="0" fontId="64" fillId="2" borderId="117" xfId="0" applyFont="1" applyFill="1" applyBorder="1" applyAlignment="1">
      <alignment horizontal="center" vertical="center" textRotation="90"/>
    </xf>
    <xf numFmtId="0" fontId="30" fillId="0" borderId="94" xfId="0" applyFont="1" applyFill="1" applyBorder="1" applyAlignment="1">
      <alignment horizontal="center" vertical="center" wrapText="1"/>
    </xf>
    <xf numFmtId="0" fontId="30" fillId="0" borderId="33" xfId="0" applyFont="1" applyFill="1" applyBorder="1" applyAlignment="1">
      <alignment horizontal="center" vertical="center" wrapText="1"/>
    </xf>
    <xf numFmtId="0" fontId="30" fillId="0" borderId="103" xfId="0" applyFont="1" applyFill="1" applyBorder="1" applyAlignment="1">
      <alignment horizontal="center" vertical="center" wrapText="1"/>
    </xf>
    <xf numFmtId="0" fontId="30" fillId="0" borderId="37" xfId="0" applyFont="1" applyFill="1" applyBorder="1" applyAlignment="1">
      <alignment horizontal="center" vertical="center" wrapText="1"/>
    </xf>
    <xf numFmtId="0" fontId="64" fillId="2" borderId="113" xfId="0" applyFont="1" applyFill="1" applyBorder="1" applyAlignment="1">
      <alignment horizontal="center" vertical="center" textRotation="90" wrapText="1"/>
    </xf>
    <xf numFmtId="0" fontId="64" fillId="2" borderId="115" xfId="0" applyFont="1" applyFill="1" applyBorder="1" applyAlignment="1">
      <alignment horizontal="center" vertical="center" textRotation="90" wrapText="1"/>
    </xf>
    <xf numFmtId="0" fontId="64" fillId="2" borderId="117" xfId="0" applyFont="1" applyFill="1" applyBorder="1" applyAlignment="1">
      <alignment horizontal="center" vertical="center" textRotation="90" wrapText="1"/>
    </xf>
    <xf numFmtId="0" fontId="14" fillId="9" borderId="174" xfId="1" applyFont="1" applyFill="1" applyBorder="1" applyAlignment="1" applyProtection="1">
      <alignment horizontal="center" vertical="center" wrapText="1"/>
    </xf>
    <xf numFmtId="0" fontId="14" fillId="9" borderId="21" xfId="1" applyFont="1" applyFill="1" applyBorder="1" applyAlignment="1" applyProtection="1">
      <alignment horizontal="center" vertical="center" wrapText="1"/>
    </xf>
    <xf numFmtId="0" fontId="14" fillId="9" borderId="22" xfId="1" applyFont="1" applyFill="1" applyBorder="1" applyAlignment="1" applyProtection="1">
      <alignment horizontal="center" vertical="center" wrapText="1"/>
    </xf>
    <xf numFmtId="0" fontId="14" fillId="9" borderId="175" xfId="1" applyFont="1" applyFill="1" applyBorder="1" applyAlignment="1" applyProtection="1">
      <alignment horizontal="center" vertical="center" wrapText="1"/>
    </xf>
    <xf numFmtId="0" fontId="14" fillId="9" borderId="176" xfId="1" applyFont="1" applyFill="1" applyBorder="1" applyAlignment="1" applyProtection="1">
      <alignment horizontal="center" vertical="center" wrapText="1"/>
    </xf>
    <xf numFmtId="0" fontId="14" fillId="9" borderId="24" xfId="1" applyFont="1" applyFill="1" applyBorder="1" applyAlignment="1" applyProtection="1">
      <alignment horizontal="center" vertical="center" wrapText="1"/>
    </xf>
    <xf numFmtId="0" fontId="1" fillId="2" borderId="96" xfId="1" applyFont="1" applyFill="1" applyBorder="1" applyAlignment="1" applyProtection="1">
      <alignment horizontal="left" vertical="center" indent="1"/>
    </xf>
    <xf numFmtId="170" fontId="20" fillId="0" borderId="102" xfId="5" applyNumberFormat="1" applyFont="1" applyFill="1" applyBorder="1" applyAlignment="1">
      <alignment horizontal="left"/>
    </xf>
    <xf numFmtId="170" fontId="20" fillId="0" borderId="91" xfId="5" applyNumberFormat="1" applyFont="1" applyFill="1" applyBorder="1" applyAlignment="1">
      <alignment horizontal="left"/>
    </xf>
    <xf numFmtId="170" fontId="20" fillId="0" borderId="83" xfId="5" applyNumberFormat="1" applyFont="1" applyFill="1" applyBorder="1" applyAlignment="1">
      <alignment horizontal="left"/>
    </xf>
    <xf numFmtId="170" fontId="20" fillId="0" borderId="38" xfId="5" applyNumberFormat="1" applyFont="1" applyFill="1" applyBorder="1" applyAlignment="1">
      <alignment horizontal="left"/>
    </xf>
    <xf numFmtId="0" fontId="32" fillId="9" borderId="103" xfId="0" applyFont="1" applyFill="1" applyBorder="1" applyAlignment="1">
      <alignment horizontal="left" vertical="top" wrapText="1"/>
    </xf>
    <xf numFmtId="0" fontId="32" fillId="9" borderId="102" xfId="0" applyFont="1" applyFill="1" applyBorder="1" applyAlignment="1">
      <alignment horizontal="left" vertical="top" wrapText="1"/>
    </xf>
    <xf numFmtId="0" fontId="32" fillId="9" borderId="91" xfId="0" applyFont="1" applyFill="1" applyBorder="1" applyAlignment="1">
      <alignment horizontal="left" vertical="top" wrapText="1"/>
    </xf>
    <xf numFmtId="0" fontId="9" fillId="9" borderId="96" xfId="1" applyFont="1" applyFill="1" applyBorder="1" applyAlignment="1" applyProtection="1">
      <alignment horizontal="left" vertical="center" wrapText="1" indent="1"/>
    </xf>
    <xf numFmtId="0" fontId="26" fillId="9" borderId="22" xfId="0" applyFont="1" applyFill="1" applyBorder="1" applyAlignment="1" applyProtection="1">
      <alignment horizontal="center" vertical="center"/>
    </xf>
    <xf numFmtId="0" fontId="26" fillId="9" borderId="111" xfId="0" applyFont="1" applyFill="1" applyBorder="1" applyAlignment="1" applyProtection="1">
      <alignment horizontal="center" vertical="center"/>
    </xf>
    <xf numFmtId="0" fontId="26" fillId="9" borderId="291" xfId="0" applyFont="1" applyFill="1" applyBorder="1" applyAlignment="1" applyProtection="1">
      <alignment horizontal="center" vertical="center"/>
    </xf>
    <xf numFmtId="0" fontId="0" fillId="9" borderId="173" xfId="0" applyFill="1" applyBorder="1" applyAlignment="1">
      <alignment horizontal="center" vertical="center"/>
    </xf>
    <xf numFmtId="0" fontId="85" fillId="2" borderId="30" xfId="0" applyFont="1" applyFill="1" applyBorder="1" applyAlignment="1"/>
    <xf numFmtId="0" fontId="75" fillId="0" borderId="166" xfId="0" applyFont="1" applyBorder="1" applyAlignment="1">
      <alignment horizontal="left" vertical="center" wrapText="1"/>
    </xf>
    <xf numFmtId="0" fontId="0" fillId="0" borderId="169" xfId="0" applyBorder="1" applyAlignment="1">
      <alignment horizontal="left" vertical="center" wrapText="1"/>
    </xf>
    <xf numFmtId="0" fontId="75" fillId="0" borderId="43" xfId="0" applyFont="1" applyBorder="1" applyAlignment="1">
      <alignment horizontal="center" vertical="center" wrapText="1"/>
    </xf>
    <xf numFmtId="0" fontId="75" fillId="0" borderId="30" xfId="0" applyFont="1" applyBorder="1" applyAlignment="1">
      <alignment horizontal="center" vertical="center" wrapText="1"/>
    </xf>
    <xf numFmtId="0" fontId="0" fillId="0" borderId="44" xfId="0" applyBorder="1" applyAlignment="1"/>
    <xf numFmtId="0" fontId="75" fillId="0" borderId="158" xfId="0" applyFont="1" applyBorder="1" applyAlignment="1">
      <alignment horizontal="center" vertical="center" wrapText="1"/>
    </xf>
    <xf numFmtId="0" fontId="0" fillId="0" borderId="169" xfId="0" applyBorder="1" applyAlignment="1">
      <alignment horizontal="center" vertical="center" wrapText="1"/>
    </xf>
    <xf numFmtId="0" fontId="75" fillId="0" borderId="170" xfId="0" applyFont="1" applyBorder="1" applyAlignment="1">
      <alignment horizontal="center" vertical="center" wrapText="1"/>
    </xf>
    <xf numFmtId="0" fontId="0" fillId="0" borderId="171" xfId="0" applyBorder="1" applyAlignment="1">
      <alignment horizontal="center" vertical="center" wrapText="1"/>
    </xf>
    <xf numFmtId="0" fontId="0" fillId="0" borderId="47" xfId="0" applyBorder="1" applyAlignment="1">
      <alignment horizontal="center" vertical="center"/>
    </xf>
    <xf numFmtId="0" fontId="0" fillId="0" borderId="49" xfId="0" applyBorder="1" applyAlignment="1">
      <alignment horizontal="center" vertical="center"/>
    </xf>
    <xf numFmtId="0" fontId="0" fillId="0" borderId="48" xfId="0" applyBorder="1" applyAlignment="1">
      <alignment horizontal="center" vertical="center"/>
    </xf>
    <xf numFmtId="0" fontId="79" fillId="0" borderId="47" xfId="0" applyFont="1" applyBorder="1" applyAlignment="1">
      <alignment horizontal="left" vertical="center" wrapText="1"/>
    </xf>
    <xf numFmtId="0" fontId="0" fillId="0" borderId="49" xfId="0" applyBorder="1" applyAlignment="1">
      <alignment horizontal="left" vertical="center" wrapText="1"/>
    </xf>
    <xf numFmtId="0" fontId="0" fillId="0" borderId="48" xfId="0" applyBorder="1" applyAlignment="1">
      <alignment horizontal="left" vertical="center" wrapText="1"/>
    </xf>
    <xf numFmtId="0" fontId="75" fillId="0" borderId="45" xfId="0" applyFont="1" applyBorder="1" applyAlignment="1">
      <alignment horizontal="center" vertical="center" wrapText="1"/>
    </xf>
    <xf numFmtId="0" fontId="75" fillId="0" borderId="31" xfId="0" applyFont="1" applyBorder="1" applyAlignment="1">
      <alignment horizontal="center" vertical="center" wrapText="1"/>
    </xf>
    <xf numFmtId="0" fontId="0" fillId="0" borderId="31" xfId="0" applyBorder="1" applyAlignment="1"/>
    <xf numFmtId="0" fontId="0" fillId="0" borderId="46" xfId="0" applyBorder="1" applyAlignment="1"/>
    <xf numFmtId="0" fontId="79" fillId="2" borderId="43" xfId="0" applyFont="1" applyFill="1" applyBorder="1" applyAlignment="1">
      <alignment horizontal="justify" vertical="center" wrapText="1"/>
    </xf>
    <xf numFmtId="0" fontId="79" fillId="2" borderId="30" xfId="0" applyFont="1" applyFill="1" applyBorder="1" applyAlignment="1">
      <alignment horizontal="justify" vertical="center" wrapText="1"/>
    </xf>
    <xf numFmtId="0" fontId="0" fillId="2" borderId="30" xfId="0" applyFill="1" applyBorder="1" applyAlignment="1"/>
    <xf numFmtId="0" fontId="0" fillId="2" borderId="44" xfId="0" applyFill="1" applyBorder="1" applyAlignment="1"/>
    <xf numFmtId="0" fontId="79" fillId="2" borderId="45" xfId="0" applyFont="1" applyFill="1" applyBorder="1" applyAlignment="1">
      <alignment horizontal="left" vertical="center" wrapText="1"/>
    </xf>
    <xf numFmtId="0" fontId="79" fillId="2" borderId="31" xfId="0" applyFont="1" applyFill="1" applyBorder="1" applyAlignment="1">
      <alignment horizontal="left" vertical="center" wrapText="1"/>
    </xf>
    <xf numFmtId="0" fontId="0" fillId="2" borderId="31" xfId="0" applyFill="1" applyBorder="1" applyAlignment="1"/>
    <xf numFmtId="0" fontId="0" fillId="2" borderId="46" xfId="0" applyFill="1" applyBorder="1" applyAlignment="1"/>
    <xf numFmtId="0" fontId="75" fillId="0" borderId="153" xfId="0" applyFont="1" applyBorder="1" applyAlignment="1">
      <alignment horizontal="left" vertical="center" wrapText="1"/>
    </xf>
    <xf numFmtId="0" fontId="75" fillId="0" borderId="156" xfId="0" applyFont="1" applyBorder="1" applyAlignment="1">
      <alignment horizontal="justify" vertical="center" wrapText="1"/>
    </xf>
    <xf numFmtId="0" fontId="75" fillId="0" borderId="157" xfId="0" applyFont="1" applyBorder="1" applyAlignment="1">
      <alignment horizontal="justify" vertical="center" wrapText="1"/>
    </xf>
    <xf numFmtId="0" fontId="78" fillId="0" borderId="49" xfId="0" applyFont="1" applyBorder="1" applyAlignment="1">
      <alignment horizontal="center" vertical="center" wrapText="1"/>
    </xf>
    <xf numFmtId="0" fontId="0" fillId="0" borderId="49" xfId="0" applyBorder="1" applyAlignment="1"/>
    <xf numFmtId="0" fontId="78" fillId="0" borderId="15" xfId="0" applyFont="1" applyBorder="1" applyAlignment="1">
      <alignment horizontal="center" vertical="center" wrapText="1"/>
    </xf>
    <xf numFmtId="0" fontId="0" fillId="0" borderId="15" xfId="0" applyBorder="1" applyAlignment="1"/>
    <xf numFmtId="0" fontId="26" fillId="9" borderId="22" xfId="0" applyFont="1" applyFill="1" applyBorder="1" applyAlignment="1" applyProtection="1">
      <alignment horizontal="center" vertical="center" wrapText="1"/>
    </xf>
    <xf numFmtId="0" fontId="26" fillId="9" borderId="111" xfId="0" applyFont="1" applyFill="1" applyBorder="1" applyAlignment="1" applyProtection="1">
      <alignment horizontal="center" vertical="center" wrapText="1"/>
    </xf>
    <xf numFmtId="0" fontId="26" fillId="9" borderId="289" xfId="0" applyFont="1" applyFill="1" applyBorder="1" applyAlignment="1" applyProtection="1">
      <alignment horizontal="center" vertical="center" wrapText="1"/>
    </xf>
    <xf numFmtId="0" fontId="0" fillId="9" borderId="290" xfId="0" applyFill="1" applyBorder="1" applyAlignment="1">
      <alignment horizontal="center" vertical="center" wrapText="1"/>
    </xf>
    <xf numFmtId="0" fontId="0" fillId="9" borderId="172" xfId="0" applyFill="1" applyBorder="1" applyAlignment="1">
      <alignment horizontal="center" vertical="center" wrapText="1"/>
    </xf>
    <xf numFmtId="0" fontId="0" fillId="9" borderId="88" xfId="0" applyFill="1" applyBorder="1" applyAlignment="1">
      <alignment horizontal="center" vertical="center" wrapText="1"/>
    </xf>
    <xf numFmtId="0" fontId="75" fillId="0" borderId="154" xfId="0" applyFont="1" applyBorder="1" applyAlignment="1">
      <alignment horizontal="justify" vertical="center" wrapText="1"/>
    </xf>
    <xf numFmtId="0" fontId="79" fillId="0" borderId="146" xfId="0" applyFont="1" applyBorder="1" applyAlignment="1">
      <alignment horizontal="left" vertical="center" wrapText="1"/>
    </xf>
    <xf numFmtId="0" fontId="79" fillId="0" borderId="147" xfId="0" applyFont="1" applyBorder="1" applyAlignment="1">
      <alignment horizontal="left" vertical="center" wrapText="1"/>
    </xf>
    <xf numFmtId="0" fontId="79" fillId="0" borderId="148" xfId="0" applyFont="1" applyBorder="1" applyAlignment="1">
      <alignment horizontal="left" vertical="center" wrapText="1"/>
    </xf>
    <xf numFmtId="0" fontId="79" fillId="0" borderId="156" xfId="0" applyFont="1" applyBorder="1" applyAlignment="1">
      <alignment horizontal="left" vertical="center" wrapText="1"/>
    </xf>
    <xf numFmtId="0" fontId="79" fillId="0" borderId="157" xfId="0" applyFont="1" applyBorder="1" applyAlignment="1">
      <alignment horizontal="left" vertical="center" wrapText="1"/>
    </xf>
    <xf numFmtId="0" fontId="79" fillId="0" borderId="154" xfId="0" applyFont="1" applyBorder="1" applyAlignment="1">
      <alignment horizontal="left" vertical="center" wrapText="1"/>
    </xf>
    <xf numFmtId="0" fontId="75" fillId="0" borderId="158" xfId="0" applyFont="1" applyBorder="1" applyAlignment="1">
      <alignment horizontal="left" vertical="center" wrapText="1"/>
    </xf>
    <xf numFmtId="0" fontId="75" fillId="0" borderId="152" xfId="0" applyFont="1" applyBorder="1" applyAlignment="1">
      <alignment horizontal="left" vertical="center" wrapText="1"/>
    </xf>
    <xf numFmtId="0" fontId="78" fillId="0" borderId="158" xfId="0" applyFont="1" applyBorder="1" applyAlignment="1">
      <alignment horizontal="left" vertical="center" wrapText="1"/>
    </xf>
    <xf numFmtId="0" fontId="78" fillId="0" borderId="152" xfId="0" applyFont="1" applyBorder="1" applyAlignment="1">
      <alignment horizontal="left" vertical="center" wrapText="1"/>
    </xf>
    <xf numFmtId="0" fontId="79" fillId="0" borderId="159" xfId="0" applyFont="1" applyBorder="1" applyAlignment="1">
      <alignment horizontal="left" vertical="center" wrapText="1"/>
    </xf>
    <xf numFmtId="0" fontId="79" fillId="0" borderId="160" xfId="0" applyFont="1" applyBorder="1" applyAlignment="1">
      <alignment horizontal="left" vertical="center" wrapText="1"/>
    </xf>
    <xf numFmtId="0" fontId="79" fillId="0" borderId="161" xfId="0" applyFont="1" applyBorder="1" applyAlignment="1">
      <alignment horizontal="left" vertical="center" wrapText="1"/>
    </xf>
    <xf numFmtId="0" fontId="79" fillId="2" borderId="43" xfId="0" applyFont="1" applyFill="1" applyBorder="1" applyAlignment="1">
      <alignment horizontal="left" vertical="center" wrapText="1"/>
    </xf>
    <xf numFmtId="0" fontId="79" fillId="2" borderId="30" xfId="0" applyFont="1" applyFill="1" applyBorder="1" applyAlignment="1">
      <alignment horizontal="left" vertical="center" wrapText="1"/>
    </xf>
    <xf numFmtId="0" fontId="79" fillId="2" borderId="15" xfId="0" applyFont="1" applyFill="1" applyBorder="1" applyAlignment="1">
      <alignment horizontal="left" vertical="center" wrapText="1"/>
    </xf>
    <xf numFmtId="0" fontId="79" fillId="2" borderId="0" xfId="0" applyFont="1" applyFill="1" applyBorder="1" applyAlignment="1">
      <alignment horizontal="left" vertical="center" wrapText="1"/>
    </xf>
    <xf numFmtId="0" fontId="0" fillId="2" borderId="0" xfId="0" applyFill="1" applyBorder="1" applyAlignment="1"/>
    <xf numFmtId="0" fontId="0" fillId="2" borderId="16" xfId="0" applyFill="1" applyBorder="1" applyAlignment="1"/>
    <xf numFmtId="0" fontId="75" fillId="0" borderId="146" xfId="0" applyFont="1" applyBorder="1" applyAlignment="1">
      <alignment horizontal="center" vertical="center" wrapText="1"/>
    </xf>
    <xf numFmtId="0" fontId="75" fillId="0" borderId="147" xfId="0" applyFont="1" applyBorder="1" applyAlignment="1">
      <alignment horizontal="center" vertical="center" wrapText="1"/>
    </xf>
    <xf numFmtId="0" fontId="75" fillId="0" borderId="148" xfId="0" applyFont="1" applyBorder="1" applyAlignment="1">
      <alignment horizontal="center" vertical="center" wrapText="1"/>
    </xf>
    <xf numFmtId="0" fontId="75" fillId="0" borderId="149" xfId="0" applyFont="1" applyBorder="1" applyAlignment="1">
      <alignment horizontal="center" vertical="center" wrapText="1"/>
    </xf>
    <xf numFmtId="0" fontId="75" fillId="0" borderId="150" xfId="0" applyFont="1" applyBorder="1" applyAlignment="1">
      <alignment horizontal="center" vertical="center" wrapText="1"/>
    </xf>
    <xf numFmtId="0" fontId="75" fillId="0" borderId="151" xfId="0" applyFont="1" applyBorder="1" applyAlignment="1">
      <alignment horizontal="center" vertical="center" wrapText="1"/>
    </xf>
    <xf numFmtId="0" fontId="75" fillId="0" borderId="162" xfId="0" applyFont="1" applyBorder="1" applyAlignment="1">
      <alignment horizontal="left" vertical="center" wrapText="1"/>
    </xf>
    <xf numFmtId="0" fontId="75" fillId="0" borderId="156" xfId="0" applyFont="1" applyBorder="1" applyAlignment="1">
      <alignment horizontal="left" vertical="center" wrapText="1"/>
    </xf>
    <xf numFmtId="0" fontId="74" fillId="0" borderId="163" xfId="0" applyFont="1" applyBorder="1" applyAlignment="1">
      <alignment horizontal="left" vertical="center" wrapText="1"/>
    </xf>
    <xf numFmtId="0" fontId="74" fillId="0" borderId="164" xfId="0" applyFont="1" applyBorder="1" applyAlignment="1">
      <alignment horizontal="left" vertical="center" wrapText="1"/>
    </xf>
    <xf numFmtId="0" fontId="75" fillId="0" borderId="156" xfId="0" applyFont="1" applyBorder="1" applyAlignment="1">
      <alignment horizontal="center" vertical="center" wrapText="1"/>
    </xf>
    <xf numFmtId="0" fontId="75" fillId="0" borderId="154" xfId="0" applyFont="1" applyBorder="1" applyAlignment="1">
      <alignment horizontal="center" vertical="center" wrapText="1"/>
    </xf>
    <xf numFmtId="0" fontId="75" fillId="0" borderId="152" xfId="0" applyFont="1" applyBorder="1" applyAlignment="1">
      <alignment horizontal="center" vertical="center" wrapText="1"/>
    </xf>
    <xf numFmtId="0" fontId="68" fillId="2" borderId="180" xfId="0" applyFont="1" applyFill="1" applyBorder="1" applyAlignment="1">
      <alignment horizontal="left" wrapText="1"/>
    </xf>
    <xf numFmtId="0" fontId="68" fillId="2" borderId="181" xfId="0" applyFont="1" applyFill="1" applyBorder="1" applyAlignment="1">
      <alignment horizontal="left" wrapText="1"/>
    </xf>
    <xf numFmtId="0" fontId="68" fillId="2" borderId="182" xfId="0" applyFont="1" applyFill="1" applyBorder="1" applyAlignment="1">
      <alignment horizontal="left" wrapText="1"/>
    </xf>
    <xf numFmtId="0" fontId="88" fillId="2" borderId="0" xfId="0" applyFont="1" applyFill="1" applyBorder="1" applyAlignment="1">
      <alignment horizontal="center" vertical="center" wrapText="1"/>
    </xf>
    <xf numFmtId="0" fontId="69" fillId="19" borderId="39" xfId="0" applyFont="1" applyFill="1" applyBorder="1" applyAlignment="1">
      <alignment vertical="center"/>
    </xf>
    <xf numFmtId="0" fontId="75" fillId="0" borderId="153" xfId="0" applyFont="1" applyBorder="1" applyAlignment="1">
      <alignment horizontal="center" vertical="center" wrapText="1"/>
    </xf>
    <xf numFmtId="0" fontId="69" fillId="19" borderId="128" xfId="0" applyFont="1" applyFill="1" applyBorder="1" applyAlignment="1">
      <alignment horizontal="left" vertical="center" wrapText="1"/>
    </xf>
    <xf numFmtId="0" fontId="0" fillId="0" borderId="129" xfId="0" applyBorder="1" applyAlignment="1">
      <alignment horizontal="left" vertical="center" wrapText="1"/>
    </xf>
    <xf numFmtId="0" fontId="0" fillId="0" borderId="130" xfId="0" applyBorder="1" applyAlignment="1">
      <alignment horizontal="left" vertical="center" wrapText="1"/>
    </xf>
    <xf numFmtId="0" fontId="69" fillId="19" borderId="39" xfId="0" applyFont="1" applyFill="1" applyBorder="1" applyAlignment="1">
      <alignment horizontal="left" vertical="center" wrapText="1"/>
    </xf>
    <xf numFmtId="0" fontId="29" fillId="14" borderId="103" xfId="0" applyFont="1" applyFill="1" applyBorder="1" applyAlignment="1" applyProtection="1">
      <alignment horizontal="left" vertical="center" indent="1"/>
    </xf>
    <xf numFmtId="0" fontId="29" fillId="14" borderId="102" xfId="0" applyFont="1" applyFill="1" applyBorder="1" applyAlignment="1" applyProtection="1">
      <alignment horizontal="left" vertical="center" indent="1"/>
    </xf>
    <xf numFmtId="0" fontId="104" fillId="32" borderId="93" xfId="0" applyFont="1" applyFill="1" applyBorder="1" applyAlignment="1" applyProtection="1">
      <alignment horizontal="left" vertical="center" indent="1"/>
    </xf>
    <xf numFmtId="0" fontId="104" fillId="32" borderId="214" xfId="0" applyFont="1" applyFill="1" applyBorder="1" applyAlignment="1" applyProtection="1">
      <alignment horizontal="left" vertical="center" indent="1"/>
    </xf>
    <xf numFmtId="0" fontId="29" fillId="14" borderId="93" xfId="0" applyFont="1" applyFill="1" applyBorder="1" applyAlignment="1" applyProtection="1">
      <alignment horizontal="left" vertical="center" indent="1"/>
    </xf>
    <xf numFmtId="0" fontId="29" fillId="14" borderId="214" xfId="0" applyFont="1" applyFill="1" applyBorder="1" applyAlignment="1" applyProtection="1">
      <alignment horizontal="left" vertical="center" indent="1"/>
    </xf>
    <xf numFmtId="0" fontId="104" fillId="32" borderId="37" xfId="0" applyFont="1" applyFill="1" applyBorder="1" applyAlignment="1" applyProtection="1">
      <alignment horizontal="left" vertical="center" indent="1"/>
    </xf>
    <xf numFmtId="0" fontId="104" fillId="32" borderId="83" xfId="0" applyFont="1" applyFill="1" applyBorder="1" applyAlignment="1" applyProtection="1">
      <alignment horizontal="left" vertical="center" indent="1"/>
    </xf>
    <xf numFmtId="0" fontId="26" fillId="8" borderId="205" xfId="0" applyFont="1" applyFill="1" applyBorder="1" applyAlignment="1" applyProtection="1">
      <alignment horizontal="center" vertical="center"/>
    </xf>
    <xf numFmtId="0" fontId="26" fillId="8" borderId="211" xfId="0" applyFont="1" applyFill="1" applyBorder="1" applyAlignment="1" applyProtection="1">
      <alignment horizontal="center" vertical="center"/>
    </xf>
    <xf numFmtId="0" fontId="102" fillId="0" borderId="209" xfId="0" applyFont="1" applyBorder="1" applyAlignment="1" applyProtection="1">
      <alignment horizontal="left" vertical="center" wrapText="1" indent="1"/>
    </xf>
    <xf numFmtId="0" fontId="102" fillId="0" borderId="209" xfId="0" applyFont="1" applyBorder="1" applyAlignment="1" applyProtection="1">
      <alignment horizontal="left" vertical="center" indent="1"/>
    </xf>
    <xf numFmtId="0" fontId="102" fillId="14" borderId="209" xfId="0" applyFont="1" applyFill="1" applyBorder="1" applyAlignment="1" applyProtection="1">
      <alignment horizontal="left" vertical="center" wrapText="1"/>
    </xf>
    <xf numFmtId="0" fontId="26" fillId="8" borderId="204" xfId="0" applyFont="1" applyFill="1" applyBorder="1" applyAlignment="1" applyProtection="1">
      <alignment horizontal="center" vertical="center"/>
    </xf>
    <xf numFmtId="0" fontId="26" fillId="8" borderId="207" xfId="0" applyFont="1" applyFill="1" applyBorder="1" applyAlignment="1" applyProtection="1">
      <alignment horizontal="center" vertical="center"/>
    </xf>
    <xf numFmtId="0" fontId="26" fillId="8" borderId="111" xfId="0" applyFont="1" applyFill="1" applyBorder="1" applyAlignment="1" applyProtection="1">
      <alignment horizontal="center" vertical="center"/>
    </xf>
    <xf numFmtId="0" fontId="0" fillId="18" borderId="43" xfId="0" applyFill="1" applyBorder="1" applyAlignment="1">
      <alignment wrapText="1"/>
    </xf>
    <xf numFmtId="0" fontId="0" fillId="18" borderId="30" xfId="0" applyFill="1" applyBorder="1" applyAlignment="1"/>
    <xf numFmtId="0" fontId="0" fillId="18" borderId="15" xfId="0" applyFill="1" applyBorder="1" applyAlignment="1"/>
    <xf numFmtId="0" fontId="0" fillId="18" borderId="0" xfId="0" applyFill="1" applyBorder="1" applyAlignment="1"/>
    <xf numFmtId="0" fontId="101" fillId="8" borderId="204" xfId="0" applyFont="1" applyFill="1" applyBorder="1" applyAlignment="1" applyProtection="1">
      <alignment horizontal="center" vertical="center"/>
    </xf>
    <xf numFmtId="0" fontId="101" fillId="8" borderId="205" xfId="0" applyFont="1" applyFill="1" applyBorder="1" applyAlignment="1" applyProtection="1">
      <alignment horizontal="center" vertical="center"/>
    </xf>
    <xf numFmtId="0" fontId="101" fillId="8" borderId="207" xfId="0" applyFont="1" applyFill="1" applyBorder="1" applyAlignment="1" applyProtection="1">
      <alignment horizontal="center" vertical="center"/>
    </xf>
    <xf numFmtId="0" fontId="101" fillId="8" borderId="111" xfId="0" applyFont="1" applyFill="1" applyBorder="1" applyAlignment="1" applyProtection="1">
      <alignment horizontal="center" vertical="center"/>
    </xf>
    <xf numFmtId="0" fontId="101" fillId="8" borderId="205" xfId="0" applyFont="1" applyFill="1" applyBorder="1" applyAlignment="1" applyProtection="1">
      <alignment horizontal="center" vertical="center" wrapText="1"/>
    </xf>
    <xf numFmtId="0" fontId="101" fillId="8" borderId="206" xfId="0" applyFont="1" applyFill="1" applyBorder="1" applyAlignment="1" applyProtection="1">
      <alignment horizontal="center" vertical="center" wrapText="1"/>
    </xf>
    <xf numFmtId="0" fontId="0" fillId="18" borderId="63" xfId="0" applyFill="1" applyBorder="1" applyAlignment="1">
      <alignment wrapText="1"/>
    </xf>
    <xf numFmtId="0" fontId="0" fillId="18" borderId="65" xfId="0" applyFill="1" applyBorder="1" applyAlignment="1"/>
    <xf numFmtId="0" fontId="0" fillId="18" borderId="86" xfId="0" applyFill="1" applyBorder="1" applyAlignment="1"/>
    <xf numFmtId="0" fontId="134" fillId="50" borderId="63" xfId="0" applyFont="1" applyFill="1" applyBorder="1" applyAlignment="1">
      <alignment horizontal="left" vertical="center"/>
    </xf>
    <xf numFmtId="0" fontId="134" fillId="50" borderId="65" xfId="0" applyFont="1" applyFill="1" applyBorder="1" applyAlignment="1">
      <alignment horizontal="left" vertical="center"/>
    </xf>
    <xf numFmtId="0" fontId="134" fillId="50" borderId="86" xfId="0" applyFont="1" applyFill="1" applyBorder="1" applyAlignment="1">
      <alignment horizontal="left" vertical="center"/>
    </xf>
    <xf numFmtId="0" fontId="8" fillId="4" borderId="53" xfId="0" applyFont="1" applyFill="1" applyBorder="1" applyAlignment="1" applyProtection="1">
      <alignment horizontal="center" vertical="center"/>
      <protection locked="0"/>
    </xf>
    <xf numFmtId="0" fontId="8" fillId="4" borderId="68" xfId="0" applyFont="1" applyFill="1" applyBorder="1" applyAlignment="1" applyProtection="1">
      <alignment horizontal="center" vertical="center"/>
      <protection locked="0"/>
    </xf>
    <xf numFmtId="0" fontId="134" fillId="50" borderId="309" xfId="0" applyFont="1" applyFill="1" applyBorder="1" applyAlignment="1">
      <alignment horizontal="left" vertical="center"/>
    </xf>
    <xf numFmtId="0" fontId="134" fillId="50" borderId="5" xfId="0" applyFont="1" applyFill="1" applyBorder="1" applyAlignment="1">
      <alignment horizontal="left" vertical="center"/>
    </xf>
    <xf numFmtId="0" fontId="134" fillId="50" borderId="323" xfId="0" applyFont="1" applyFill="1" applyBorder="1" applyAlignment="1">
      <alignment horizontal="left" vertical="center"/>
    </xf>
    <xf numFmtId="0" fontId="3" fillId="4" borderId="328" xfId="0" applyFont="1" applyFill="1" applyBorder="1" applyAlignment="1" applyProtection="1">
      <alignment horizontal="center" vertical="center"/>
      <protection locked="0"/>
    </xf>
    <xf numFmtId="0" fontId="3" fillId="4" borderId="266" xfId="0" applyFont="1" applyFill="1" applyBorder="1" applyAlignment="1" applyProtection="1">
      <alignment horizontal="center" vertical="center"/>
      <protection locked="0"/>
    </xf>
    <xf numFmtId="0" fontId="3" fillId="4" borderId="275" xfId="0" applyFont="1" applyFill="1" applyBorder="1" applyAlignment="1" applyProtection="1">
      <alignment horizontal="center" vertical="center"/>
      <protection locked="0"/>
    </xf>
    <xf numFmtId="0" fontId="3" fillId="4" borderId="343" xfId="0" applyFont="1" applyFill="1" applyBorder="1" applyAlignment="1" applyProtection="1">
      <alignment horizontal="center" vertical="center"/>
      <protection locked="0"/>
    </xf>
    <xf numFmtId="0" fontId="3" fillId="4" borderId="272" xfId="0" applyFont="1" applyFill="1" applyBorder="1" applyAlignment="1" applyProtection="1">
      <alignment horizontal="center" vertical="center"/>
      <protection locked="0"/>
    </xf>
    <xf numFmtId="0" fontId="3" fillId="4" borderId="281" xfId="0" applyFont="1" applyFill="1" applyBorder="1" applyAlignment="1" applyProtection="1">
      <alignment horizontal="center" vertical="center"/>
      <protection locked="0"/>
    </xf>
    <xf numFmtId="0" fontId="134" fillId="50" borderId="178" xfId="0" applyFont="1" applyFill="1" applyBorder="1" applyAlignment="1">
      <alignment horizontal="left" vertical="center"/>
    </xf>
    <xf numFmtId="0" fontId="134" fillId="50" borderId="25" xfId="0" applyFont="1" applyFill="1" applyBorder="1" applyAlignment="1">
      <alignment horizontal="left" vertical="center"/>
    </xf>
    <xf numFmtId="0" fontId="134" fillId="50" borderId="179" xfId="0" applyFont="1" applyFill="1" applyBorder="1" applyAlignment="1">
      <alignment horizontal="left" vertical="center"/>
    </xf>
    <xf numFmtId="0" fontId="3" fillId="4" borderId="0" xfId="0" applyFont="1" applyFill="1" applyBorder="1" applyAlignment="1" applyProtection="1">
      <alignment horizontal="center" vertical="center"/>
      <protection locked="0"/>
    </xf>
    <xf numFmtId="0" fontId="3" fillId="4" borderId="80" xfId="0" applyFont="1" applyFill="1" applyBorder="1" applyAlignment="1" applyProtection="1">
      <alignment horizontal="center" vertical="center"/>
      <protection locked="0"/>
    </xf>
    <xf numFmtId="0" fontId="8" fillId="4" borderId="65" xfId="0" applyFont="1" applyFill="1" applyBorder="1" applyAlignment="1" applyProtection="1">
      <alignment horizontal="center" vertical="center"/>
      <protection locked="0"/>
    </xf>
    <xf numFmtId="0" fontId="8" fillId="4" borderId="74" xfId="0" applyFont="1" applyFill="1" applyBorder="1" applyAlignment="1" applyProtection="1">
      <alignment horizontal="center" vertical="center"/>
      <protection locked="0"/>
    </xf>
    <xf numFmtId="0" fontId="134" fillId="50" borderId="15" xfId="0" applyFont="1" applyFill="1" applyBorder="1" applyAlignment="1">
      <alignment horizontal="left" vertical="center"/>
    </xf>
    <xf numFmtId="0" fontId="134" fillId="50" borderId="0" xfId="0" applyFont="1" applyFill="1" applyBorder="1" applyAlignment="1">
      <alignment horizontal="left" vertical="center"/>
    </xf>
    <xf numFmtId="0" fontId="134" fillId="50" borderId="16" xfId="0" applyFont="1" applyFill="1" applyBorder="1" applyAlignment="1">
      <alignment horizontal="left" vertical="center"/>
    </xf>
    <xf numFmtId="0" fontId="3" fillId="4" borderId="308" xfId="0" applyFont="1" applyFill="1" applyBorder="1" applyAlignment="1" applyProtection="1">
      <alignment horizontal="center" vertical="center"/>
      <protection locked="0"/>
    </xf>
    <xf numFmtId="0" fontId="3" fillId="4" borderId="83" xfId="0" applyFont="1" applyFill="1" applyBorder="1" applyAlignment="1" applyProtection="1">
      <alignment horizontal="center" vertical="center"/>
      <protection locked="0"/>
    </xf>
    <xf numFmtId="0" fontId="3" fillId="4" borderId="38" xfId="0" applyFont="1" applyFill="1" applyBorder="1" applyAlignment="1" applyProtection="1">
      <alignment horizontal="center" vertical="center"/>
      <protection locked="0"/>
    </xf>
    <xf numFmtId="0" fontId="3" fillId="4" borderId="339" xfId="0" applyFont="1" applyFill="1" applyBorder="1" applyAlignment="1" applyProtection="1">
      <alignment horizontal="center" vertical="center"/>
      <protection locked="0"/>
    </xf>
    <xf numFmtId="0" fontId="3" fillId="4" borderId="267" xfId="0" applyFont="1" applyFill="1" applyBorder="1" applyAlignment="1" applyProtection="1">
      <alignment horizontal="center" vertical="center"/>
      <protection locked="0"/>
    </xf>
    <xf numFmtId="0" fontId="3" fillId="4" borderId="279" xfId="0" applyFont="1" applyFill="1" applyBorder="1" applyAlignment="1" applyProtection="1">
      <alignment horizontal="center" vertical="center"/>
      <protection locked="0"/>
    </xf>
    <xf numFmtId="0" fontId="134" fillId="50" borderId="326" xfId="0" applyFont="1" applyFill="1" applyBorder="1" applyAlignment="1">
      <alignment horizontal="left" vertical="center"/>
    </xf>
    <xf numFmtId="0" fontId="134" fillId="50" borderId="8" xfId="0" applyFont="1" applyFill="1" applyBorder="1" applyAlignment="1">
      <alignment horizontal="left" vertical="center"/>
    </xf>
    <xf numFmtId="0" fontId="134" fillId="50" borderId="327" xfId="0" applyFont="1" applyFill="1" applyBorder="1" applyAlignment="1">
      <alignment horizontal="left" vertical="center"/>
    </xf>
    <xf numFmtId="0" fontId="134" fillId="50" borderId="324" xfId="0" applyFont="1" applyFill="1" applyBorder="1" applyAlignment="1">
      <alignment horizontal="left" vertical="center"/>
    </xf>
    <xf numFmtId="0" fontId="134" fillId="50" borderId="270" xfId="0" applyFont="1" applyFill="1" applyBorder="1" applyAlignment="1">
      <alignment horizontal="left" vertical="center"/>
    </xf>
    <xf numFmtId="0" fontId="134" fillId="50" borderId="325" xfId="0" applyFont="1" applyFill="1" applyBorder="1" applyAlignment="1">
      <alignment horizontal="left" vertical="center"/>
    </xf>
    <xf numFmtId="0" fontId="3" fillId="4" borderId="269" xfId="0" applyFont="1" applyFill="1" applyBorder="1" applyAlignment="1" applyProtection="1">
      <alignment horizontal="center" vertical="center"/>
      <protection locked="0"/>
    </xf>
    <xf numFmtId="0" fontId="3" fillId="4" borderId="278" xfId="0" applyFont="1" applyFill="1" applyBorder="1" applyAlignment="1" applyProtection="1">
      <alignment horizontal="center" vertical="center"/>
      <protection locked="0"/>
    </xf>
    <xf numFmtId="0" fontId="3" fillId="4" borderId="342" xfId="0" applyFont="1" applyFill="1" applyBorder="1" applyAlignment="1" applyProtection="1">
      <alignment horizontal="center" vertical="center"/>
      <protection locked="0"/>
    </xf>
    <xf numFmtId="0" fontId="3" fillId="4" borderId="268" xfId="0" applyFont="1" applyFill="1" applyBorder="1" applyAlignment="1" applyProtection="1">
      <alignment horizontal="center" vertical="center"/>
      <protection locked="0"/>
    </xf>
    <xf numFmtId="0" fontId="3" fillId="4" borderId="276" xfId="0" applyFont="1" applyFill="1" applyBorder="1" applyAlignment="1" applyProtection="1">
      <alignment horizontal="center" vertical="center"/>
      <protection locked="0"/>
    </xf>
    <xf numFmtId="0" fontId="3" fillId="4" borderId="273" xfId="0" applyFont="1" applyFill="1" applyBorder="1" applyAlignment="1" applyProtection="1">
      <alignment horizontal="center" vertical="center"/>
      <protection locked="0"/>
    </xf>
    <xf numFmtId="0" fontId="3" fillId="4" borderId="277" xfId="0" applyFont="1" applyFill="1" applyBorder="1" applyAlignment="1" applyProtection="1">
      <alignment horizontal="center" vertical="center"/>
      <protection locked="0"/>
    </xf>
    <xf numFmtId="0" fontId="134" fillId="50" borderId="226" xfId="0" applyFont="1" applyFill="1" applyBorder="1" applyAlignment="1">
      <alignment horizontal="left" vertical="center"/>
    </xf>
    <xf numFmtId="0" fontId="134" fillId="50" borderId="227" xfId="0" applyFont="1" applyFill="1" applyBorder="1" applyAlignment="1">
      <alignment horizontal="left" vertical="center"/>
    </xf>
    <xf numFmtId="0" fontId="134" fillId="50" borderId="222" xfId="0" applyFont="1" applyFill="1" applyBorder="1" applyAlignment="1">
      <alignment horizontal="left" vertical="center"/>
    </xf>
    <xf numFmtId="0" fontId="3" fillId="4" borderId="328" xfId="0" applyFont="1" applyFill="1" applyBorder="1" applyAlignment="1" applyProtection="1">
      <alignment horizontal="center" vertical="center" wrapText="1"/>
      <protection locked="0"/>
    </xf>
    <xf numFmtId="0" fontId="3" fillId="4" borderId="266" xfId="0" applyFont="1" applyFill="1" applyBorder="1" applyAlignment="1" applyProtection="1">
      <alignment horizontal="center" vertical="center" wrapText="1"/>
      <protection locked="0"/>
    </xf>
    <xf numFmtId="0" fontId="3" fillId="4" borderId="275" xfId="0" applyFont="1" applyFill="1" applyBorder="1" applyAlignment="1" applyProtection="1">
      <alignment horizontal="center" vertical="center" wrapText="1"/>
      <protection locked="0"/>
    </xf>
    <xf numFmtId="0" fontId="125" fillId="10" borderId="43" xfId="0" applyFont="1" applyFill="1" applyBorder="1" applyAlignment="1">
      <alignment horizontal="center" vertical="center" wrapText="1"/>
    </xf>
    <xf numFmtId="0" fontId="125" fillId="10" borderId="30" xfId="0" applyFont="1" applyFill="1" applyBorder="1" applyAlignment="1">
      <alignment horizontal="center" vertical="center" wrapText="1"/>
    </xf>
    <xf numFmtId="0" fontId="125" fillId="10" borderId="44" xfId="0" applyFont="1" applyFill="1" applyBorder="1" applyAlignment="1">
      <alignment horizontal="center" vertical="center" wrapText="1"/>
    </xf>
    <xf numFmtId="0" fontId="125" fillId="10" borderId="45" xfId="0" applyFont="1" applyFill="1" applyBorder="1" applyAlignment="1">
      <alignment horizontal="center" vertical="center" wrapText="1"/>
    </xf>
    <xf numFmtId="0" fontId="125" fillId="10" borderId="31" xfId="0" applyFont="1" applyFill="1" applyBorder="1" applyAlignment="1">
      <alignment horizontal="center" vertical="center" wrapText="1"/>
    </xf>
    <xf numFmtId="0" fontId="125" fillId="10" borderId="46" xfId="0" applyFont="1" applyFill="1" applyBorder="1" applyAlignment="1">
      <alignment horizontal="center" vertical="center" wrapText="1"/>
    </xf>
    <xf numFmtId="0" fontId="126" fillId="9" borderId="63" xfId="0" applyFont="1" applyFill="1" applyBorder="1" applyAlignment="1">
      <alignment horizontal="center" vertical="center" wrapText="1"/>
    </xf>
    <xf numFmtId="0" fontId="126" fillId="9" borderId="86" xfId="0" applyFont="1" applyFill="1" applyBorder="1" applyAlignment="1">
      <alignment horizontal="center" vertical="center" wrapText="1"/>
    </xf>
    <xf numFmtId="0" fontId="126" fillId="9" borderId="226" xfId="0" applyFont="1" applyFill="1" applyBorder="1" applyAlignment="1">
      <alignment horizontal="center" vertical="center" wrapText="1"/>
    </xf>
    <xf numFmtId="0" fontId="126" fillId="9" borderId="222" xfId="0" applyFont="1" applyFill="1" applyBorder="1" applyAlignment="1">
      <alignment horizontal="center" vertical="center" wrapText="1"/>
    </xf>
    <xf numFmtId="0" fontId="127" fillId="10" borderId="0" xfId="0" applyFont="1" applyFill="1" applyBorder="1" applyAlignment="1">
      <alignment horizontal="center" vertical="center" wrapText="1"/>
    </xf>
    <xf numFmtId="0" fontId="98" fillId="19" borderId="158" xfId="0" applyFont="1" applyFill="1" applyBorder="1" applyAlignment="1">
      <alignment horizontal="center" vertical="center" wrapText="1"/>
    </xf>
    <xf numFmtId="0" fontId="98" fillId="19" borderId="153" xfId="0" applyFont="1" applyFill="1" applyBorder="1" applyAlignment="1">
      <alignment horizontal="center" vertical="center" wrapText="1"/>
    </xf>
    <xf numFmtId="0" fontId="98" fillId="19" borderId="152" xfId="0" applyFont="1" applyFill="1" applyBorder="1" applyAlignment="1">
      <alignment horizontal="center" vertical="center" wrapText="1"/>
    </xf>
    <xf numFmtId="0" fontId="98" fillId="19" borderId="146" xfId="0" applyFont="1" applyFill="1" applyBorder="1" applyAlignment="1">
      <alignment horizontal="right" vertical="center" wrapText="1"/>
    </xf>
    <xf numFmtId="0" fontId="98" fillId="19" borderId="203" xfId="0" applyFont="1" applyFill="1" applyBorder="1" applyAlignment="1">
      <alignment horizontal="right" vertical="center" wrapText="1"/>
    </xf>
    <xf numFmtId="0" fontId="98" fillId="19" borderId="147" xfId="0" applyFont="1" applyFill="1" applyBorder="1" applyAlignment="1">
      <alignment horizontal="justify" vertical="center" wrapText="1"/>
    </xf>
    <xf numFmtId="0" fontId="98" fillId="19" borderId="198" xfId="0" applyFont="1" applyFill="1" applyBorder="1" applyAlignment="1">
      <alignment horizontal="justify" vertical="center" wrapText="1"/>
    </xf>
    <xf numFmtId="0" fontId="98" fillId="19" borderId="193" xfId="0" applyFont="1" applyFill="1" applyBorder="1" applyAlignment="1">
      <alignment vertical="center" wrapText="1"/>
    </xf>
    <xf numFmtId="0" fontId="98" fillId="19" borderId="194" xfId="0" applyFont="1" applyFill="1" applyBorder="1" applyAlignment="1">
      <alignment vertical="center" wrapText="1"/>
    </xf>
    <xf numFmtId="0" fontId="98" fillId="19" borderId="189" xfId="0" applyFont="1" applyFill="1" applyBorder="1" applyAlignment="1">
      <alignment vertical="center" wrapText="1"/>
    </xf>
    <xf numFmtId="0" fontId="98" fillId="19" borderId="196" xfId="0" applyFont="1" applyFill="1" applyBorder="1" applyAlignment="1">
      <alignment horizontal="center" vertical="center" wrapText="1"/>
    </xf>
    <xf numFmtId="0" fontId="98" fillId="19" borderId="200" xfId="0" applyFont="1" applyFill="1" applyBorder="1" applyAlignment="1">
      <alignment horizontal="center" vertical="center" wrapText="1"/>
    </xf>
    <xf numFmtId="0" fontId="98" fillId="19" borderId="201" xfId="0" applyFont="1" applyFill="1" applyBorder="1" applyAlignment="1">
      <alignment horizontal="center" vertical="center" wrapText="1"/>
    </xf>
    <xf numFmtId="0" fontId="98" fillId="19" borderId="202" xfId="0" applyFont="1" applyFill="1" applyBorder="1" applyAlignment="1">
      <alignment horizontal="center" vertical="center" wrapText="1"/>
    </xf>
    <xf numFmtId="0" fontId="98" fillId="19" borderId="197" xfId="0" applyFont="1" applyFill="1" applyBorder="1" applyAlignment="1">
      <alignment horizontal="center" vertical="center" wrapText="1"/>
    </xf>
    <xf numFmtId="0" fontId="98" fillId="19" borderId="194" xfId="0" applyFont="1" applyFill="1" applyBorder="1" applyAlignment="1">
      <alignment horizontal="center" vertical="center" wrapText="1"/>
    </xf>
    <xf numFmtId="0" fontId="98" fillId="19" borderId="189" xfId="0" applyFont="1" applyFill="1" applyBorder="1" applyAlignment="1">
      <alignment horizontal="center" vertical="center" wrapText="1"/>
    </xf>
    <xf numFmtId="0" fontId="98" fillId="19" borderId="146" xfId="0" applyFont="1" applyFill="1" applyBorder="1" applyAlignment="1">
      <alignment horizontal="center" vertical="center" wrapText="1"/>
    </xf>
    <xf numFmtId="0" fontId="98" fillId="19" borderId="147" xfId="0" applyFont="1" applyFill="1" applyBorder="1" applyAlignment="1">
      <alignment horizontal="center" vertical="center" wrapText="1"/>
    </xf>
    <xf numFmtId="0" fontId="98" fillId="19" borderId="148" xfId="0" applyFont="1" applyFill="1" applyBorder="1" applyAlignment="1">
      <alignment horizontal="center" vertical="center" wrapText="1"/>
    </xf>
    <xf numFmtId="0" fontId="98" fillId="19" borderId="203" xfId="0" applyFont="1" applyFill="1" applyBorder="1" applyAlignment="1">
      <alignment horizontal="center" vertical="center" wrapText="1"/>
    </xf>
    <xf numFmtId="0" fontId="98" fillId="19" borderId="198" xfId="0" applyFont="1" applyFill="1" applyBorder="1" applyAlignment="1">
      <alignment horizontal="center" vertical="center" wrapText="1"/>
    </xf>
    <xf numFmtId="0" fontId="98" fillId="19" borderId="199" xfId="0" applyFont="1" applyFill="1" applyBorder="1" applyAlignment="1">
      <alignment horizontal="center" vertical="center" wrapText="1"/>
    </xf>
    <xf numFmtId="0" fontId="98" fillId="19" borderId="148" xfId="0" applyFont="1" applyFill="1" applyBorder="1" applyAlignment="1">
      <alignment vertical="center" wrapText="1"/>
    </xf>
    <xf numFmtId="0" fontId="98" fillId="19" borderId="199" xfId="0" applyFont="1" applyFill="1" applyBorder="1" applyAlignment="1">
      <alignment vertical="center" wrapText="1"/>
    </xf>
  </cellXfs>
  <cellStyles count="26">
    <cellStyle name="Comma" xfId="3" builtinId="3"/>
    <cellStyle name="Comma 11" xfId="11" xr:uid="{00000000-0005-0000-0000-000001000000}"/>
    <cellStyle name="Comma 2" xfId="16" xr:uid="{00000000-0005-0000-0000-000002000000}"/>
    <cellStyle name="Comma 3" xfId="20" xr:uid="{00000000-0005-0000-0000-000003000000}"/>
    <cellStyle name="Comma 5" xfId="9" xr:uid="{00000000-0005-0000-0000-000004000000}"/>
    <cellStyle name="Hyperlink" xfId="2" builtinId="8"/>
    <cellStyle name="Normal" xfId="0" builtinId="0"/>
    <cellStyle name="Normal 2" xfId="1" xr:uid="{00000000-0005-0000-0000-000007000000}"/>
    <cellStyle name="Normal 2 2" xfId="10" xr:uid="{00000000-0005-0000-0000-000008000000}"/>
    <cellStyle name="Normal 2 2 2" xfId="14" xr:uid="{00000000-0005-0000-0000-000009000000}"/>
    <cellStyle name="Normal 2 2 4" xfId="22" xr:uid="{00000000-0005-0000-0000-00000A000000}"/>
    <cellStyle name="Normal 2 3" xfId="21" xr:uid="{00000000-0005-0000-0000-00000B000000}"/>
    <cellStyle name="Normal 3" xfId="6" xr:uid="{00000000-0005-0000-0000-00000C000000}"/>
    <cellStyle name="Normal 3 4" xfId="24" xr:uid="{00000000-0005-0000-0000-00000D000000}"/>
    <cellStyle name="Normal 4" xfId="12" xr:uid="{00000000-0005-0000-0000-00000E000000}"/>
    <cellStyle name="Normal 5" xfId="13" xr:uid="{00000000-0005-0000-0000-00000F000000}"/>
    <cellStyle name="Normal 6" xfId="5" xr:uid="{00000000-0005-0000-0000-000010000000}"/>
    <cellStyle name="Normal 6 2" xfId="25" xr:uid="{00000000-0005-0000-0000-000011000000}"/>
    <cellStyle name="Normal_(3) Q&amp;A ES overview questions_13062012" xfId="19" xr:uid="{00000000-0005-0000-0000-000012000000}"/>
    <cellStyle name="Normal_OtherAirports_Fuel_Energy" xfId="8" xr:uid="{00000000-0005-0000-0000-000013000000}"/>
    <cellStyle name="Normal_Sheet1" xfId="17" xr:uid="{00000000-0005-0000-0000-000014000000}"/>
    <cellStyle name="Normal_Sheet3" xfId="7" xr:uid="{00000000-0005-0000-0000-000015000000}"/>
    <cellStyle name="Percent" xfId="4" builtinId="5"/>
    <cellStyle name="Percent 2" xfId="15" xr:uid="{00000000-0005-0000-0000-000017000000}"/>
    <cellStyle name="Percent 3" xfId="18" xr:uid="{00000000-0005-0000-0000-000018000000}"/>
    <cellStyle name="Source_1_1" xfId="23" xr:uid="{00000000-0005-0000-0000-000019000000}"/>
  </cellStyles>
  <dxfs count="1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top style="thin">
          <color rgb="FFD3D3D3"/>
        </top>
        <bottom style="thin">
          <color rgb="FFD3D3D3"/>
        </bottom>
        <vertical/>
        <horizontal style="thin">
          <color rgb="FFD3D3D3"/>
        </horizontal>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top style="thin">
          <color rgb="FFD3D3D3"/>
        </top>
        <bottom style="thin">
          <color rgb="FFD3D3D3"/>
        </bottom>
        <vertical/>
        <horizontal style="thin">
          <color rgb="FFD3D3D3"/>
        </horizontal>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top style="thin">
          <color rgb="FFD3D3D3"/>
        </top>
        <bottom style="thin">
          <color rgb="FFD3D3D3"/>
        </bottom>
        <vertical/>
        <horizontal style="thin">
          <color rgb="FFD3D3D3"/>
        </horizontal>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top style="thin">
          <color rgb="FFD3D3D3"/>
        </top>
        <bottom style="thin">
          <color rgb="FFD3D3D3"/>
        </bottom>
        <vertical/>
        <horizontal style="thin">
          <color rgb="FFD3D3D3"/>
        </horizontal>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style="thin">
          <color rgb="FFD3D3D3"/>
        </horizontal>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style="thin">
          <color rgb="FFD3D3D3"/>
        </horizontal>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style="thin">
          <color rgb="FFD3D3D3"/>
        </horizontal>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style="thin">
          <color rgb="FFD3D3D3"/>
        </horizontal>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right style="thin">
          <color rgb="FFD3D3D3"/>
        </right>
        <top style="thin">
          <color rgb="FFD3D3D3"/>
        </top>
        <bottom style="thin">
          <color rgb="FFD3D3D3"/>
        </bottom>
        <vertical/>
        <horizontal style="thin">
          <color rgb="FFD3D3D3"/>
        </horizontal>
      </border>
    </dxf>
    <dxf>
      <border>
        <top style="thin">
          <color rgb="FFD3D3D3"/>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top" textRotation="0" wrapText="1" indent="0" justifyLastLine="0" shrinkToFit="0" readingOrder="1"/>
    </dxf>
    <dxf>
      <border>
        <bottom style="thin">
          <color rgb="FFD3D3D3"/>
        </bottom>
      </border>
    </dxf>
    <dxf>
      <font>
        <b/>
        <i val="0"/>
        <strike val="0"/>
        <condense val="0"/>
        <extend val="0"/>
        <outline val="0"/>
        <shadow val="0"/>
        <u val="none"/>
        <vertAlign val="baseline"/>
        <sz val="10"/>
        <color auto="1"/>
        <name val="Arial"/>
        <scheme val="none"/>
      </font>
      <numFmt numFmtId="0" formatCode="General"/>
      <fill>
        <patternFill patternType="solid">
          <fgColor indexed="64"/>
          <bgColor theme="0" tint="-0.14999847407452621"/>
        </patternFill>
      </fill>
      <alignment horizontal="general" vertical="top" textRotation="0" wrapText="1" indent="0" justifyLastLine="0" shrinkToFit="0" readingOrder="1"/>
    </dxf>
    <dxf>
      <fill>
        <patternFill>
          <bgColor indexed="10"/>
        </patternFill>
      </fill>
    </dxf>
    <dxf>
      <fill>
        <patternFill>
          <bgColor indexed="10"/>
        </patternFill>
      </fill>
    </dxf>
  </dxfs>
  <tableStyles count="0" defaultTableStyle="TableStyleMedium2" defaultPivotStyle="PivotStyleLight16"/>
  <colors>
    <mruColors>
      <color rgb="FFFFFFCC"/>
      <color rgb="FF0000FF"/>
      <color rgb="FF00FF00"/>
      <color rgb="FFFF3300"/>
      <color rgb="FFCCFFFF"/>
      <color rgb="FFFFCCCC"/>
      <color rgb="FF6699FF"/>
      <color rgb="FFFFCC99"/>
      <color rgb="FFE4F4D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 2018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58-4C83-BF6D-012719A5EE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58-4C83-BF6D-012719A5EE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58-4C83-BF6D-012719A5EE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58-4C83-BF6D-012719A5EE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58-4C83-BF6D-012719A5EE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58-4C83-BF6D-012719A5EE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58-4C83-BF6D-012719A5EEF7}"/>
              </c:ext>
            </c:extLst>
          </c:dPt>
          <c:dLbls>
            <c:dLbl>
              <c:idx val="4"/>
              <c:layout>
                <c:manualLayout>
                  <c:x val="-8.1928628955440216E-2"/>
                  <c:y val="-0.141729471546227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58-4C83-BF6D-012719A5EEF7}"/>
                </c:ext>
              </c:extLst>
            </c:dLbl>
            <c:dLbl>
              <c:idx val="5"/>
              <c:layout>
                <c:manualLayout>
                  <c:x val="6.6567011026295184E-2"/>
                  <c:y val="-0.150319136488423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458-4C83-BF6D-012719A5EEF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Dashboard!$N$11:$N$16</c:f>
              <c:strCache>
                <c:ptCount val="6"/>
                <c:pt idx="0">
                  <c:v>Domestic</c:v>
                </c:pt>
                <c:pt idx="1">
                  <c:v>Industrial &amp; Commercial</c:v>
                </c:pt>
                <c:pt idx="2">
                  <c:v>Transport</c:v>
                </c:pt>
                <c:pt idx="3">
                  <c:v>IPPU</c:v>
                </c:pt>
                <c:pt idx="4">
                  <c:v>AFOLU</c:v>
                </c:pt>
                <c:pt idx="5">
                  <c:v>Waste</c:v>
                </c:pt>
              </c:strCache>
            </c:strRef>
          </c:cat>
          <c:val>
            <c:numRef>
              <c:f>Dashboard!$O$11:$O$16</c:f>
              <c:numCache>
                <c:formatCode>0.00</c:formatCode>
                <c:ptCount val="6"/>
                <c:pt idx="0">
                  <c:v>10.567739756779782</c:v>
                </c:pt>
                <c:pt idx="1">
                  <c:v>10.419463682626466</c:v>
                </c:pt>
                <c:pt idx="2">
                  <c:v>8.10938324344332</c:v>
                </c:pt>
                <c:pt idx="3">
                  <c:v>1.825695847836674</c:v>
                </c:pt>
                <c:pt idx="4">
                  <c:v>0.11915600117859715</c:v>
                </c:pt>
                <c:pt idx="5">
                  <c:v>1.1669107621872001</c:v>
                </c:pt>
              </c:numCache>
            </c:numRef>
          </c:val>
          <c:extLst>
            <c:ext xmlns:c16="http://schemas.microsoft.com/office/drawing/2014/chart" uri="{C3380CC4-5D6E-409C-BE32-E72D297353CC}">
              <c16:uniqueId val="{00000000-93D4-47BB-8870-D352D1D6ECE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Industrial &amp; Commercial CO</a:t>
            </a:r>
            <a:r>
              <a:rPr lang="en-GB" b="1" baseline="-25000"/>
              <a:t>2</a:t>
            </a:r>
            <a:r>
              <a:rPr lang="en-GB" b="1"/>
              <a:t>e emissions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Dashboard!$N$142</c:f>
              <c:strCache>
                <c:ptCount val="1"/>
                <c:pt idx="0">
                  <c:v> Gas </c:v>
                </c:pt>
              </c:strCache>
            </c:strRef>
          </c:tx>
          <c:spPr>
            <a:solidFill>
              <a:schemeClr val="accent1"/>
            </a:solidFill>
            <a:ln>
              <a:noFill/>
            </a:ln>
            <a:effectLst/>
          </c:spPr>
          <c:invertIfNegative val="0"/>
          <c:cat>
            <c:numRef>
              <c:f>Dashboard!$O$141:$AH$141</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Dashboard!$O$142:$AH$142</c:f>
              <c:numCache>
                <c:formatCode>_(* #,##0.00_);_(* \(#,##0.00\);_(* "-"??_);_(@_)</c:formatCode>
                <c:ptCount val="20"/>
                <c:pt idx="0">
                  <c:v>0</c:v>
                </c:pt>
                <c:pt idx="1">
                  <c:v>6.3776900000000003</c:v>
                </c:pt>
                <c:pt idx="2">
                  <c:v>6.1624141325996131</c:v>
                </c:pt>
                <c:pt idx="3">
                  <c:v>5.6663258412998063</c:v>
                </c:pt>
                <c:pt idx="4">
                  <c:v>5.1702375499999995</c:v>
                </c:pt>
                <c:pt idx="5">
                  <c:v>6.515408999099999</c:v>
                </c:pt>
                <c:pt idx="6">
                  <c:v>5.0811700000000002</c:v>
                </c:pt>
                <c:pt idx="7">
                  <c:v>4.8112299999999992</c:v>
                </c:pt>
                <c:pt idx="8">
                  <c:v>4.3936400000000004</c:v>
                </c:pt>
                <c:pt idx="9">
                  <c:v>4.6283300000000001</c:v>
                </c:pt>
                <c:pt idx="10">
                  <c:v>4.1508199999999995</c:v>
                </c:pt>
                <c:pt idx="11">
                  <c:v>4.622712209108844</c:v>
                </c:pt>
                <c:pt idx="12">
                  <c:v>3.8315263896321357</c:v>
                </c:pt>
                <c:pt idx="13">
                  <c:v>4.1744142462179532</c:v>
                </c:pt>
                <c:pt idx="14">
                  <c:v>4.1967087284582902</c:v>
                </c:pt>
                <c:pt idx="15">
                  <c:v>3.6228793522777547</c:v>
                </c:pt>
                <c:pt idx="16">
                  <c:v>3.2408422586493257</c:v>
                </c:pt>
                <c:pt idx="17">
                  <c:v>3.6553182445048504</c:v>
                </c:pt>
                <c:pt idx="18">
                  <c:v>3.7974015044924783</c:v>
                </c:pt>
                <c:pt idx="19">
                  <c:v>3.7465674667707853</c:v>
                </c:pt>
              </c:numCache>
            </c:numRef>
          </c:val>
          <c:extLst>
            <c:ext xmlns:c16="http://schemas.microsoft.com/office/drawing/2014/chart" uri="{C3380CC4-5D6E-409C-BE32-E72D297353CC}">
              <c16:uniqueId val="{00000000-2212-43CA-A6BC-6B9AD39D73FB}"/>
            </c:ext>
          </c:extLst>
        </c:ser>
        <c:ser>
          <c:idx val="1"/>
          <c:order val="1"/>
          <c:tx>
            <c:strRef>
              <c:f>Dashboard!$N$143</c:f>
              <c:strCache>
                <c:ptCount val="1"/>
                <c:pt idx="0">
                  <c:v> Electricity </c:v>
                </c:pt>
              </c:strCache>
            </c:strRef>
          </c:tx>
          <c:spPr>
            <a:solidFill>
              <a:schemeClr val="accent2"/>
            </a:solidFill>
            <a:ln>
              <a:noFill/>
            </a:ln>
            <a:effectLst/>
          </c:spPr>
          <c:invertIfNegative val="0"/>
          <c:cat>
            <c:numRef>
              <c:f>Dashboard!$O$141:$AH$141</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Dashboard!$O$143:$AH$143</c:f>
              <c:numCache>
                <c:formatCode>_(* #,##0.00_);_(* \(#,##0.00\);_(* "-"??_);_(@_)</c:formatCode>
                <c:ptCount val="20"/>
                <c:pt idx="0">
                  <c:v>0</c:v>
                </c:pt>
                <c:pt idx="1">
                  <c:v>15.332707368449531</c:v>
                </c:pt>
                <c:pt idx="2">
                  <c:v>13.167000494228747</c:v>
                </c:pt>
                <c:pt idx="3">
                  <c:v>13.793682274467599</c:v>
                </c:pt>
                <c:pt idx="4">
                  <c:v>14.42036405470645</c:v>
                </c:pt>
                <c:pt idx="5">
                  <c:v>12.97232427274</c:v>
                </c:pt>
                <c:pt idx="6">
                  <c:v>13.399215935633588</c:v>
                </c:pt>
                <c:pt idx="7">
                  <c:v>15.116017344655518</c:v>
                </c:pt>
                <c:pt idx="8">
                  <c:v>14.759697344655518</c:v>
                </c:pt>
                <c:pt idx="9">
                  <c:v>14.510419294530832</c:v>
                </c:pt>
                <c:pt idx="10">
                  <c:v>12.655919294530831</c:v>
                </c:pt>
                <c:pt idx="11">
                  <c:v>12.898459216804063</c:v>
                </c:pt>
                <c:pt idx="12">
                  <c:v>11.664652415487277</c:v>
                </c:pt>
                <c:pt idx="13">
                  <c:v>13.612870861556264</c:v>
                </c:pt>
                <c:pt idx="14">
                  <c:v>12.498370635705845</c:v>
                </c:pt>
                <c:pt idx="15">
                  <c:v>11.561717954752838</c:v>
                </c:pt>
                <c:pt idx="16">
                  <c:v>9.4632434644688583</c:v>
                </c:pt>
                <c:pt idx="17">
                  <c:v>7.1099735409886895</c:v>
                </c:pt>
                <c:pt idx="18">
                  <c:v>6.3878532106131543</c:v>
                </c:pt>
                <c:pt idx="19">
                  <c:v>5.8698944661131867</c:v>
                </c:pt>
              </c:numCache>
            </c:numRef>
          </c:val>
          <c:extLst>
            <c:ext xmlns:c16="http://schemas.microsoft.com/office/drawing/2014/chart" uri="{C3380CC4-5D6E-409C-BE32-E72D297353CC}">
              <c16:uniqueId val="{00000001-2212-43CA-A6BC-6B9AD39D73FB}"/>
            </c:ext>
          </c:extLst>
        </c:ser>
        <c:ser>
          <c:idx val="2"/>
          <c:order val="2"/>
          <c:tx>
            <c:strRef>
              <c:f>Dashboard!$N$144</c:f>
              <c:strCache>
                <c:ptCount val="1"/>
                <c:pt idx="0">
                  <c:v> Large industrial </c:v>
                </c:pt>
              </c:strCache>
            </c:strRef>
          </c:tx>
          <c:spPr>
            <a:solidFill>
              <a:schemeClr val="accent3"/>
            </a:solidFill>
            <a:ln>
              <a:noFill/>
            </a:ln>
            <a:effectLst/>
          </c:spPr>
          <c:invertIfNegative val="0"/>
          <c:cat>
            <c:numRef>
              <c:f>Dashboard!$O$141:$AH$141</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Dashboard!$O$144:$AH$144</c:f>
              <c:numCache>
                <c:formatCode>_(* #,##0.00_);_(* \(#,##0.00\);_(* "-"??_);_(@_)</c:formatCode>
                <c:ptCount val="20"/>
                <c:pt idx="0">
                  <c:v>0</c:v>
                </c:pt>
                <c:pt idx="1">
                  <c:v>0</c:v>
                </c:pt>
                <c:pt idx="2">
                  <c:v>0</c:v>
                </c:pt>
                <c:pt idx="3">
                  <c:v>0</c:v>
                </c:pt>
                <c:pt idx="4">
                  <c:v>0</c:v>
                </c:pt>
                <c:pt idx="5">
                  <c:v>0</c:v>
                </c:pt>
                <c:pt idx="6">
                  <c:v>0.12858</c:v>
                </c:pt>
                <c:pt idx="7">
                  <c:v>0.10432</c:v>
                </c:pt>
                <c:pt idx="8">
                  <c:v>9.8180000000000003E-2</c:v>
                </c:pt>
                <c:pt idx="9">
                  <c:v>9.8699999999999996E-2</c:v>
                </c:pt>
                <c:pt idx="10">
                  <c:v>9.7269999999999995E-2</c:v>
                </c:pt>
                <c:pt idx="11">
                  <c:v>6.7887657168390833E-2</c:v>
                </c:pt>
                <c:pt idx="12">
                  <c:v>2.3230612481642949E-2</c:v>
                </c:pt>
                <c:pt idx="13">
                  <c:v>3.1015273559303919E-2</c:v>
                </c:pt>
                <c:pt idx="14">
                  <c:v>3.2036896288963487E-2</c:v>
                </c:pt>
                <c:pt idx="15">
                  <c:v>1.9515064033348482E-2</c:v>
                </c:pt>
                <c:pt idx="16">
                  <c:v>1.8515611237628619E-2</c:v>
                </c:pt>
                <c:pt idx="17">
                  <c:v>1.3472645039280001E-2</c:v>
                </c:pt>
                <c:pt idx="18">
                  <c:v>1.3795750565280002E-2</c:v>
                </c:pt>
                <c:pt idx="19">
                  <c:v>1.3753861391520001E-2</c:v>
                </c:pt>
              </c:numCache>
            </c:numRef>
          </c:val>
          <c:extLst>
            <c:ext xmlns:c16="http://schemas.microsoft.com/office/drawing/2014/chart" uri="{C3380CC4-5D6E-409C-BE32-E72D297353CC}">
              <c16:uniqueId val="{00000002-2212-43CA-A6BC-6B9AD39D73FB}"/>
            </c:ext>
          </c:extLst>
        </c:ser>
        <c:ser>
          <c:idx val="3"/>
          <c:order val="3"/>
          <c:tx>
            <c:strRef>
              <c:f>Dashboard!$N$145</c:f>
              <c:strCache>
                <c:ptCount val="1"/>
                <c:pt idx="0">
                  <c:v> Other </c:v>
                </c:pt>
              </c:strCache>
            </c:strRef>
          </c:tx>
          <c:spPr>
            <a:solidFill>
              <a:schemeClr val="accent4"/>
            </a:solidFill>
            <a:ln>
              <a:noFill/>
            </a:ln>
            <a:effectLst/>
          </c:spPr>
          <c:invertIfNegative val="0"/>
          <c:cat>
            <c:numRef>
              <c:f>Dashboard!$O$141:$AH$141</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Dashboard!$O$145:$AH$145</c:f>
              <c:numCache>
                <c:formatCode>_(* #,##0.00_);_(* \(#,##0.00\);_(* "-"??_);_(@_)</c:formatCode>
                <c:ptCount val="20"/>
                <c:pt idx="0">
                  <c:v>0</c:v>
                </c:pt>
                <c:pt idx="1">
                  <c:v>2.3540000000000001</c:v>
                </c:pt>
                <c:pt idx="2">
                  <c:v>2.427995611576955</c:v>
                </c:pt>
                <c:pt idx="3">
                  <c:v>1.6425944360431086</c:v>
                </c:pt>
                <c:pt idx="4">
                  <c:v>0.85719326050926181</c:v>
                </c:pt>
                <c:pt idx="5">
                  <c:v>0.56688732456668012</c:v>
                </c:pt>
                <c:pt idx="6">
                  <c:v>0.62051999999999996</c:v>
                </c:pt>
                <c:pt idx="7">
                  <c:v>0.58851999999999993</c:v>
                </c:pt>
                <c:pt idx="8">
                  <c:v>0.59575</c:v>
                </c:pt>
                <c:pt idx="9">
                  <c:v>0.61424000000000001</c:v>
                </c:pt>
                <c:pt idx="10">
                  <c:v>0.4743</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3-2212-43CA-A6BC-6B9AD39D73FB}"/>
            </c:ext>
          </c:extLst>
        </c:ser>
        <c:ser>
          <c:idx val="4"/>
          <c:order val="4"/>
          <c:tx>
            <c:strRef>
              <c:f>Dashboard!$N$146</c:f>
              <c:strCache>
                <c:ptCount val="1"/>
                <c:pt idx="0">
                  <c:v> Coal </c:v>
                </c:pt>
              </c:strCache>
            </c:strRef>
          </c:tx>
          <c:spPr>
            <a:solidFill>
              <a:schemeClr val="accent5"/>
            </a:solidFill>
            <a:ln>
              <a:noFill/>
            </a:ln>
            <a:effectLst/>
          </c:spPr>
          <c:invertIfNegative val="0"/>
          <c:cat>
            <c:numRef>
              <c:f>Dashboard!$O$141:$AH$141</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Dashboard!$O$146:$AH$146</c:f>
              <c:numCache>
                <c:formatCode>_(* #,##0.00_);_(* \(#,##0.00\);_(* "-"??_);_(@_)</c:formatCode>
                <c:ptCount val="20"/>
                <c:pt idx="0">
                  <c:v>0</c:v>
                </c:pt>
                <c:pt idx="1">
                  <c:v>0</c:v>
                </c:pt>
                <c:pt idx="2">
                  <c:v>0</c:v>
                </c:pt>
                <c:pt idx="3">
                  <c:v>0</c:v>
                </c:pt>
                <c:pt idx="4">
                  <c:v>0</c:v>
                </c:pt>
                <c:pt idx="5">
                  <c:v>0</c:v>
                </c:pt>
                <c:pt idx="6">
                  <c:v>0</c:v>
                </c:pt>
                <c:pt idx="7">
                  <c:v>0</c:v>
                </c:pt>
                <c:pt idx="8">
                  <c:v>0</c:v>
                </c:pt>
                <c:pt idx="9">
                  <c:v>0</c:v>
                </c:pt>
                <c:pt idx="10">
                  <c:v>0</c:v>
                </c:pt>
                <c:pt idx="11">
                  <c:v>2.1815640992400003E-2</c:v>
                </c:pt>
                <c:pt idx="12">
                  <c:v>2.0311215360800002E-2</c:v>
                </c:pt>
                <c:pt idx="13">
                  <c:v>2.021423443905012E-2</c:v>
                </c:pt>
                <c:pt idx="14">
                  <c:v>1.2121905726397198E-2</c:v>
                </c:pt>
                <c:pt idx="15">
                  <c:v>1.0206357677209989E-2</c:v>
                </c:pt>
                <c:pt idx="16">
                  <c:v>6.462556867198742E-3</c:v>
                </c:pt>
                <c:pt idx="17">
                  <c:v>1.0395987165782331E-2</c:v>
                </c:pt>
                <c:pt idx="18">
                  <c:v>9.6209903932738556E-3</c:v>
                </c:pt>
                <c:pt idx="19">
                  <c:v>8.6404694800835593E-3</c:v>
                </c:pt>
              </c:numCache>
            </c:numRef>
          </c:val>
          <c:extLst>
            <c:ext xmlns:c16="http://schemas.microsoft.com/office/drawing/2014/chart" uri="{C3380CC4-5D6E-409C-BE32-E72D297353CC}">
              <c16:uniqueId val="{00000004-2212-43CA-A6BC-6B9AD39D73FB}"/>
            </c:ext>
          </c:extLst>
        </c:ser>
        <c:ser>
          <c:idx val="5"/>
          <c:order val="5"/>
          <c:tx>
            <c:strRef>
              <c:f>Dashboard!$N$147</c:f>
              <c:strCache>
                <c:ptCount val="1"/>
                <c:pt idx="0">
                  <c:v> Oil </c:v>
                </c:pt>
              </c:strCache>
            </c:strRef>
          </c:tx>
          <c:spPr>
            <a:solidFill>
              <a:schemeClr val="accent6"/>
            </a:solidFill>
            <a:ln>
              <a:noFill/>
            </a:ln>
            <a:effectLst/>
          </c:spPr>
          <c:invertIfNegative val="0"/>
          <c:cat>
            <c:numRef>
              <c:f>Dashboard!$O$141:$AH$141</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Dashboard!$O$147:$AH$147</c:f>
              <c:numCache>
                <c:formatCode>_(* #,##0.00_);_(* \(#,##0.00\);_(* "-"??_);_(@_)</c:formatCode>
                <c:ptCount val="20"/>
                <c:pt idx="0">
                  <c:v>0</c:v>
                </c:pt>
                <c:pt idx="1">
                  <c:v>0</c:v>
                </c:pt>
                <c:pt idx="2">
                  <c:v>0</c:v>
                </c:pt>
                <c:pt idx="3">
                  <c:v>0</c:v>
                </c:pt>
                <c:pt idx="4">
                  <c:v>0</c:v>
                </c:pt>
                <c:pt idx="5">
                  <c:v>0</c:v>
                </c:pt>
                <c:pt idx="6">
                  <c:v>0</c:v>
                </c:pt>
                <c:pt idx="7">
                  <c:v>0</c:v>
                </c:pt>
                <c:pt idx="8">
                  <c:v>0</c:v>
                </c:pt>
                <c:pt idx="9">
                  <c:v>0</c:v>
                </c:pt>
                <c:pt idx="10">
                  <c:v>0</c:v>
                </c:pt>
                <c:pt idx="11">
                  <c:v>0.5897384945226003</c:v>
                </c:pt>
                <c:pt idx="12">
                  <c:v>0.54024544947079989</c:v>
                </c:pt>
                <c:pt idx="13">
                  <c:v>0.52789391796854968</c:v>
                </c:pt>
                <c:pt idx="14">
                  <c:v>0.50228663536836471</c:v>
                </c:pt>
                <c:pt idx="15">
                  <c:v>0.55850110302180089</c:v>
                </c:pt>
                <c:pt idx="16">
                  <c:v>0.56761134963585269</c:v>
                </c:pt>
                <c:pt idx="17">
                  <c:v>0.63339611420936792</c:v>
                </c:pt>
                <c:pt idx="18">
                  <c:v>0.58711035467044437</c:v>
                </c:pt>
                <c:pt idx="19">
                  <c:v>0.5657541584814888</c:v>
                </c:pt>
              </c:numCache>
            </c:numRef>
          </c:val>
          <c:extLst>
            <c:ext xmlns:c16="http://schemas.microsoft.com/office/drawing/2014/chart" uri="{C3380CC4-5D6E-409C-BE32-E72D297353CC}">
              <c16:uniqueId val="{00000005-2212-43CA-A6BC-6B9AD39D73FB}"/>
            </c:ext>
          </c:extLst>
        </c:ser>
        <c:ser>
          <c:idx val="6"/>
          <c:order val="6"/>
          <c:tx>
            <c:strRef>
              <c:f>Dashboard!$N$148</c:f>
              <c:strCache>
                <c:ptCount val="1"/>
                <c:pt idx="0">
                  <c:v> Waste </c:v>
                </c:pt>
              </c:strCache>
            </c:strRef>
          </c:tx>
          <c:spPr>
            <a:solidFill>
              <a:schemeClr val="accent1">
                <a:lumMod val="60000"/>
              </a:schemeClr>
            </a:solidFill>
            <a:ln>
              <a:noFill/>
            </a:ln>
            <a:effectLst/>
          </c:spPr>
          <c:invertIfNegative val="0"/>
          <c:cat>
            <c:numRef>
              <c:f>Dashboard!$O$141:$AH$141</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Dashboard!$O$148:$AH$148</c:f>
              <c:numCache>
                <c:formatCode>_(* #,##0.00_);_(* \(#,##0.00\);_(* "-"??_);_(@_)</c:formatCode>
                <c:ptCount val="20"/>
                <c:pt idx="0">
                  <c:v>0</c:v>
                </c:pt>
                <c:pt idx="1">
                  <c:v>0</c:v>
                </c:pt>
                <c:pt idx="2">
                  <c:v>0</c:v>
                </c:pt>
                <c:pt idx="3">
                  <c:v>0</c:v>
                </c:pt>
                <c:pt idx="4">
                  <c:v>0</c:v>
                </c:pt>
                <c:pt idx="5">
                  <c:v>0</c:v>
                </c:pt>
                <c:pt idx="6">
                  <c:v>0</c:v>
                </c:pt>
                <c:pt idx="7">
                  <c:v>0</c:v>
                </c:pt>
                <c:pt idx="8">
                  <c:v>0</c:v>
                </c:pt>
                <c:pt idx="9">
                  <c:v>0</c:v>
                </c:pt>
                <c:pt idx="10">
                  <c:v>0</c:v>
                </c:pt>
                <c:pt idx="11">
                  <c:v>2.2701169184037997E-2</c:v>
                </c:pt>
                <c:pt idx="12">
                  <c:v>3.8970447980301727E-2</c:v>
                </c:pt>
                <c:pt idx="13">
                  <c:v>3.5718205436596449E-2</c:v>
                </c:pt>
                <c:pt idx="14">
                  <c:v>4.4016591937522685E-2</c:v>
                </c:pt>
                <c:pt idx="15">
                  <c:v>0.21378894220242065</c:v>
                </c:pt>
                <c:pt idx="16">
                  <c:v>0.20120721315927498</c:v>
                </c:pt>
                <c:pt idx="17">
                  <c:v>0.20258482393820468</c:v>
                </c:pt>
                <c:pt idx="18">
                  <c:v>0.19686573439374414</c:v>
                </c:pt>
                <c:pt idx="19">
                  <c:v>0.21485326038940158</c:v>
                </c:pt>
              </c:numCache>
            </c:numRef>
          </c:val>
          <c:extLst>
            <c:ext xmlns:c16="http://schemas.microsoft.com/office/drawing/2014/chart" uri="{C3380CC4-5D6E-409C-BE32-E72D297353CC}">
              <c16:uniqueId val="{00000006-2212-43CA-A6BC-6B9AD39D73FB}"/>
            </c:ext>
          </c:extLst>
        </c:ser>
        <c:dLbls>
          <c:showLegendKey val="0"/>
          <c:showVal val="0"/>
          <c:showCatName val="0"/>
          <c:showSerName val="0"/>
          <c:showPercent val="0"/>
          <c:showBubbleSize val="0"/>
        </c:dLbls>
        <c:gapWidth val="150"/>
        <c:overlap val="100"/>
        <c:axId val="438595288"/>
        <c:axId val="438609392"/>
      </c:barChart>
      <c:catAx>
        <c:axId val="43859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09392"/>
        <c:crosses val="autoZero"/>
        <c:auto val="1"/>
        <c:lblAlgn val="ctr"/>
        <c:lblOffset val="100"/>
        <c:noMultiLvlLbl val="0"/>
      </c:catAx>
      <c:valAx>
        <c:axId val="43860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95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Transport CO</a:t>
            </a:r>
            <a:r>
              <a:rPr lang="en-GB" b="1" baseline="-25000"/>
              <a:t>2</a:t>
            </a:r>
            <a:r>
              <a:rPr lang="en-GB" b="1"/>
              <a:t>e emissions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Dashboard!$N$158</c:f>
              <c:strCache>
                <c:ptCount val="1"/>
                <c:pt idx="0">
                  <c:v> Road Transport </c:v>
                </c:pt>
              </c:strCache>
            </c:strRef>
          </c:tx>
          <c:spPr>
            <a:solidFill>
              <a:schemeClr val="accent1"/>
            </a:solidFill>
            <a:ln>
              <a:noFill/>
            </a:ln>
            <a:effectLst/>
          </c:spPr>
          <c:invertIfNegative val="0"/>
          <c:cat>
            <c:numRef>
              <c:f>Dashboard!$O$157:$AH$157</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Dashboard!$O$158:$AH$158</c:f>
              <c:numCache>
                <c:formatCode>_(* #,##0.00_);_(* \(#,##0.00\);_(* "-"??_);_(@_)</c:formatCode>
                <c:ptCount val="20"/>
                <c:pt idx="0">
                  <c:v>7.2198580274391704</c:v>
                </c:pt>
                <c:pt idx="1">
                  <c:v>6.6230000000000002</c:v>
                </c:pt>
                <c:pt idx="2">
                  <c:v>7.0018640922424504</c:v>
                </c:pt>
                <c:pt idx="3">
                  <c:v>7.2403405461212254</c:v>
                </c:pt>
                <c:pt idx="4">
                  <c:v>7.4788170000000003</c:v>
                </c:pt>
                <c:pt idx="5">
                  <c:v>7.4316359508488175</c:v>
                </c:pt>
                <c:pt idx="6">
                  <c:v>7.3213608571315705</c:v>
                </c:pt>
                <c:pt idx="7">
                  <c:v>7.2592374179067614</c:v>
                </c:pt>
                <c:pt idx="8">
                  <c:v>7.2592374179067614</c:v>
                </c:pt>
                <c:pt idx="9">
                  <c:v>6.981446</c:v>
                </c:pt>
                <c:pt idx="10">
                  <c:v>6.981446</c:v>
                </c:pt>
                <c:pt idx="11">
                  <c:v>6.3921827831954143</c:v>
                </c:pt>
                <c:pt idx="12">
                  <c:v>6.3921827831954143</c:v>
                </c:pt>
                <c:pt idx="13">
                  <c:v>6.3921827831954143</c:v>
                </c:pt>
                <c:pt idx="14">
                  <c:v>6.356396803538142</c:v>
                </c:pt>
                <c:pt idx="15">
                  <c:v>6.6202188248141747</c:v>
                </c:pt>
                <c:pt idx="16">
                  <c:v>6.4321619599887416</c:v>
                </c:pt>
                <c:pt idx="17">
                  <c:v>6.5258905053600857</c:v>
                </c:pt>
                <c:pt idx="18">
                  <c:v>6.2554560166393234</c:v>
                </c:pt>
                <c:pt idx="19">
                  <c:v>6.2204863894384603</c:v>
                </c:pt>
              </c:numCache>
            </c:numRef>
          </c:val>
          <c:extLst>
            <c:ext xmlns:c16="http://schemas.microsoft.com/office/drawing/2014/chart" uri="{C3380CC4-5D6E-409C-BE32-E72D297353CC}">
              <c16:uniqueId val="{00000000-5533-45F6-8760-067E2AEF8FC0}"/>
            </c:ext>
          </c:extLst>
        </c:ser>
        <c:ser>
          <c:idx val="1"/>
          <c:order val="1"/>
          <c:tx>
            <c:strRef>
              <c:f>Dashboard!$N$159</c:f>
              <c:strCache>
                <c:ptCount val="1"/>
                <c:pt idx="0">
                  <c:v> Rail_diesel </c:v>
                </c:pt>
              </c:strCache>
            </c:strRef>
          </c:tx>
          <c:spPr>
            <a:solidFill>
              <a:schemeClr val="accent2"/>
            </a:solidFill>
            <a:ln>
              <a:noFill/>
            </a:ln>
            <a:effectLst/>
          </c:spPr>
          <c:invertIfNegative val="0"/>
          <c:cat>
            <c:numRef>
              <c:f>Dashboard!$O$157:$AH$157</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Dashboard!$O$159:$AH$159</c:f>
              <c:numCache>
                <c:formatCode>_(* #,##0.00_);_(* \(#,##0.00\);_(* "-"??_);_(@_)</c:formatCode>
                <c:ptCount val="20"/>
                <c:pt idx="0">
                  <c:v>1.38678591470095</c:v>
                </c:pt>
                <c:pt idx="1">
                  <c:v>0.24322470170206273</c:v>
                </c:pt>
                <c:pt idx="2">
                  <c:v>0.70016122219096422</c:v>
                </c:pt>
                <c:pt idx="3">
                  <c:v>0.84057263264239745</c:v>
                </c:pt>
                <c:pt idx="4">
                  <c:v>0.98098404309383069</c:v>
                </c:pt>
                <c:pt idx="5">
                  <c:v>0.18596729283489999</c:v>
                </c:pt>
                <c:pt idx="6">
                  <c:v>0.1915460016638694</c:v>
                </c:pt>
                <c:pt idx="7">
                  <c:v>0.19154631992269994</c:v>
                </c:pt>
                <c:pt idx="8">
                  <c:v>0.19154631992269994</c:v>
                </c:pt>
                <c:pt idx="9">
                  <c:v>0.28214885322012995</c:v>
                </c:pt>
                <c:pt idx="10">
                  <c:v>0.28214885322012995</c:v>
                </c:pt>
                <c:pt idx="11">
                  <c:v>0.11117350639241576</c:v>
                </c:pt>
                <c:pt idx="12">
                  <c:v>0.11117350639241576</c:v>
                </c:pt>
                <c:pt idx="13">
                  <c:v>0.11117350639241576</c:v>
                </c:pt>
                <c:pt idx="14">
                  <c:v>0.12557715980016201</c:v>
                </c:pt>
                <c:pt idx="15">
                  <c:v>8.3949808187274488E-2</c:v>
                </c:pt>
                <c:pt idx="16">
                  <c:v>8.3949808187274488E-2</c:v>
                </c:pt>
                <c:pt idx="17">
                  <c:v>8.137816432801484E-2</c:v>
                </c:pt>
                <c:pt idx="18">
                  <c:v>7.8010084755004774E-2</c:v>
                </c:pt>
                <c:pt idx="19">
                  <c:v>7.7994893509336638E-2</c:v>
                </c:pt>
              </c:numCache>
            </c:numRef>
          </c:val>
          <c:extLst>
            <c:ext xmlns:c16="http://schemas.microsoft.com/office/drawing/2014/chart" uri="{C3380CC4-5D6E-409C-BE32-E72D297353CC}">
              <c16:uniqueId val="{00000001-5533-45F6-8760-067E2AEF8FC0}"/>
            </c:ext>
          </c:extLst>
        </c:ser>
        <c:ser>
          <c:idx val="2"/>
          <c:order val="2"/>
          <c:tx>
            <c:strRef>
              <c:f>Dashboard!$N$160</c:f>
              <c:strCache>
                <c:ptCount val="1"/>
                <c:pt idx="0">
                  <c:v> Rail_electric </c:v>
                </c:pt>
              </c:strCache>
            </c:strRef>
          </c:tx>
          <c:spPr>
            <a:solidFill>
              <a:schemeClr val="accent3"/>
            </a:solidFill>
            <a:ln>
              <a:noFill/>
            </a:ln>
            <a:effectLst/>
          </c:spPr>
          <c:invertIfNegative val="0"/>
          <c:cat>
            <c:numRef>
              <c:f>Dashboard!$O$157:$AH$157</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Dashboard!$O$160:$AH$160</c:f>
              <c:numCache>
                <c:formatCode>_(* #,##0.00_);_(* \(#,##0.00\);_(* "-"??_);_(@_)</c:formatCode>
                <c:ptCount val="20"/>
                <c:pt idx="0">
                  <c:v>0</c:v>
                </c:pt>
                <c:pt idx="1">
                  <c:v>0.97868344904996896</c:v>
                </c:pt>
                <c:pt idx="2">
                  <c:v>0.84044684005715253</c:v>
                </c:pt>
                <c:pt idx="3">
                  <c:v>0.88044780475325091</c:v>
                </c:pt>
                <c:pt idx="4">
                  <c:v>0.92044876944934928</c:v>
                </c:pt>
                <c:pt idx="5">
                  <c:v>0.82802069826000013</c:v>
                </c:pt>
                <c:pt idx="6">
                  <c:v>0.98461406436641197</c:v>
                </c:pt>
                <c:pt idx="7">
                  <c:v>0.97870265534448198</c:v>
                </c:pt>
                <c:pt idx="8">
                  <c:v>0.97870265534448198</c:v>
                </c:pt>
                <c:pt idx="9">
                  <c:v>1.2372607054691678</c:v>
                </c:pt>
                <c:pt idx="10">
                  <c:v>1.2372607054691678</c:v>
                </c:pt>
                <c:pt idx="11">
                  <c:v>1.1211576458406993</c:v>
                </c:pt>
                <c:pt idx="12">
                  <c:v>1.1844945258434656</c:v>
                </c:pt>
                <c:pt idx="13">
                  <c:v>1.1844945258434656</c:v>
                </c:pt>
                <c:pt idx="14">
                  <c:v>1.1996198300002749</c:v>
                </c:pt>
                <c:pt idx="15">
                  <c:v>0.90829124530733019</c:v>
                </c:pt>
                <c:pt idx="16">
                  <c:v>0.79164554255208264</c:v>
                </c:pt>
                <c:pt idx="17">
                  <c:v>0.6390822095782196</c:v>
                </c:pt>
                <c:pt idx="18">
                  <c:v>0.57938228367663014</c:v>
                </c:pt>
                <c:pt idx="19">
                  <c:v>0.51696111278062928</c:v>
                </c:pt>
              </c:numCache>
            </c:numRef>
          </c:val>
          <c:extLst>
            <c:ext xmlns:c16="http://schemas.microsoft.com/office/drawing/2014/chart" uri="{C3380CC4-5D6E-409C-BE32-E72D297353CC}">
              <c16:uniqueId val="{00000002-5533-45F6-8760-067E2AEF8FC0}"/>
            </c:ext>
          </c:extLst>
        </c:ser>
        <c:ser>
          <c:idx val="3"/>
          <c:order val="3"/>
          <c:tx>
            <c:strRef>
              <c:f>Dashboard!$N$161</c:f>
              <c:strCache>
                <c:ptCount val="1"/>
                <c:pt idx="0">
                  <c:v> Aviation </c:v>
                </c:pt>
              </c:strCache>
            </c:strRef>
          </c:tx>
          <c:spPr>
            <a:solidFill>
              <a:schemeClr val="accent4"/>
            </a:solidFill>
            <a:ln>
              <a:noFill/>
            </a:ln>
            <a:effectLst/>
          </c:spPr>
          <c:invertIfNegative val="0"/>
          <c:cat>
            <c:numRef>
              <c:f>Dashboard!$O$157:$AH$157</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Dashboard!$O$161:$AH$161</c:f>
              <c:numCache>
                <c:formatCode>_(* #,##0.00_);_(* \(#,##0.00\);_(* "-"??_);_(@_)</c:formatCode>
                <c:ptCount val="20"/>
                <c:pt idx="0">
                  <c:v>0.857652802635539</c:v>
                </c:pt>
                <c:pt idx="1">
                  <c:v>0.85599999999999998</c:v>
                </c:pt>
                <c:pt idx="2">
                  <c:v>0.76137405382977974</c:v>
                </c:pt>
                <c:pt idx="3">
                  <c:v>0.91406117986745539</c:v>
                </c:pt>
                <c:pt idx="4">
                  <c:v>1.066748305905131</c:v>
                </c:pt>
                <c:pt idx="5">
                  <c:v>1.2012669136783831</c:v>
                </c:pt>
                <c:pt idx="6">
                  <c:v>1.3568150454926271</c:v>
                </c:pt>
                <c:pt idx="7">
                  <c:v>1.3568150454926271</c:v>
                </c:pt>
                <c:pt idx="8">
                  <c:v>1.3568150454926271</c:v>
                </c:pt>
                <c:pt idx="9">
                  <c:v>1.3870149446322475</c:v>
                </c:pt>
                <c:pt idx="10">
                  <c:v>1.3870149446322475</c:v>
                </c:pt>
                <c:pt idx="11">
                  <c:v>0.87113930912428172</c:v>
                </c:pt>
                <c:pt idx="12">
                  <c:v>0.87113930912428172</c:v>
                </c:pt>
                <c:pt idx="13">
                  <c:v>0.87113930912428172</c:v>
                </c:pt>
                <c:pt idx="14">
                  <c:v>0.97911973477215308</c:v>
                </c:pt>
                <c:pt idx="15">
                  <c:v>0.93093236312720706</c:v>
                </c:pt>
                <c:pt idx="16">
                  <c:v>0.94284606113427893</c:v>
                </c:pt>
                <c:pt idx="17">
                  <c:v>1.0408009661121822</c:v>
                </c:pt>
                <c:pt idx="18">
                  <c:v>1.0034836484884981</c:v>
                </c:pt>
                <c:pt idx="19">
                  <c:v>1.0162493037802147</c:v>
                </c:pt>
              </c:numCache>
            </c:numRef>
          </c:val>
          <c:extLst>
            <c:ext xmlns:c16="http://schemas.microsoft.com/office/drawing/2014/chart" uri="{C3380CC4-5D6E-409C-BE32-E72D297353CC}">
              <c16:uniqueId val="{00000003-5533-45F6-8760-067E2AEF8FC0}"/>
            </c:ext>
          </c:extLst>
        </c:ser>
        <c:ser>
          <c:idx val="4"/>
          <c:order val="4"/>
          <c:tx>
            <c:strRef>
              <c:f>Dashboard!$N$162</c:f>
              <c:strCache>
                <c:ptCount val="1"/>
                <c:pt idx="0">
                  <c:v> Shipping </c:v>
                </c:pt>
              </c:strCache>
            </c:strRef>
          </c:tx>
          <c:spPr>
            <a:solidFill>
              <a:schemeClr val="accent5"/>
            </a:solidFill>
            <a:ln>
              <a:noFill/>
            </a:ln>
            <a:effectLst/>
          </c:spPr>
          <c:invertIfNegative val="0"/>
          <c:cat>
            <c:numRef>
              <c:f>Dashboard!$O$157:$AH$157</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Dashboard!$O$162:$AH$162</c:f>
              <c:numCache>
                <c:formatCode>_(* #,##0.00_);_(* \(#,##0.00\);_(* "-"??_);_(@_)</c:formatCode>
                <c:ptCount val="20"/>
                <c:pt idx="0">
                  <c:v>0.01</c:v>
                </c:pt>
                <c:pt idx="1">
                  <c:v>1.2E-2</c:v>
                </c:pt>
                <c:pt idx="2">
                  <c:v>5.13139064592229E-3</c:v>
                </c:pt>
                <c:pt idx="3">
                  <c:v>6.1604476335638102E-3</c:v>
                </c:pt>
                <c:pt idx="4">
                  <c:v>7.1895046212053313E-3</c:v>
                </c:pt>
                <c:pt idx="5">
                  <c:v>7.1570000000000002E-3</c:v>
                </c:pt>
                <c:pt idx="6">
                  <c:v>7.261400736176816E-3</c:v>
                </c:pt>
                <c:pt idx="7">
                  <c:v>7.2276935E-3</c:v>
                </c:pt>
                <c:pt idx="8">
                  <c:v>7.2276935E-3</c:v>
                </c:pt>
                <c:pt idx="9">
                  <c:v>7.2276935E-3</c:v>
                </c:pt>
                <c:pt idx="10">
                  <c:v>7.2276935E-3</c:v>
                </c:pt>
                <c:pt idx="11">
                  <c:v>1.9368174180161506E-2</c:v>
                </c:pt>
                <c:pt idx="12">
                  <c:v>1.9368174180161506E-2</c:v>
                </c:pt>
                <c:pt idx="13">
                  <c:v>1.9368174180161506E-2</c:v>
                </c:pt>
                <c:pt idx="14">
                  <c:v>1.8856281222837393E-2</c:v>
                </c:pt>
                <c:pt idx="15">
                  <c:v>3.1205121066773821E-2</c:v>
                </c:pt>
                <c:pt idx="16">
                  <c:v>3.1806999099130366E-2</c:v>
                </c:pt>
                <c:pt idx="17">
                  <c:v>4.4092880767461887E-2</c:v>
                </c:pt>
                <c:pt idx="18">
                  <c:v>4.2953941506399189E-2</c:v>
                </c:pt>
                <c:pt idx="19">
                  <c:v>4.0106479659647032E-2</c:v>
                </c:pt>
              </c:numCache>
            </c:numRef>
          </c:val>
          <c:extLst>
            <c:ext xmlns:c16="http://schemas.microsoft.com/office/drawing/2014/chart" uri="{C3380CC4-5D6E-409C-BE32-E72D297353CC}">
              <c16:uniqueId val="{00000004-5533-45F6-8760-067E2AEF8FC0}"/>
            </c:ext>
          </c:extLst>
        </c:ser>
        <c:ser>
          <c:idx val="5"/>
          <c:order val="5"/>
          <c:tx>
            <c:strRef>
              <c:f>Dashboard!$N$163</c:f>
              <c:strCache>
                <c:ptCount val="1"/>
                <c:pt idx="0">
                  <c:v> NRMM </c:v>
                </c:pt>
              </c:strCache>
            </c:strRef>
          </c:tx>
          <c:spPr>
            <a:solidFill>
              <a:schemeClr val="accent6"/>
            </a:solidFill>
            <a:ln>
              <a:noFill/>
            </a:ln>
            <a:effectLst/>
          </c:spPr>
          <c:invertIfNegative val="0"/>
          <c:cat>
            <c:numRef>
              <c:f>Dashboard!$O$157:$AH$157</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Dashboard!$O$163:$AH$163</c:f>
              <c:numCache>
                <c:formatCode>_(* #,##0.00_);_(* \(#,##0.00\);_(*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0.2375850642750314</c:v>
                </c:pt>
              </c:numCache>
            </c:numRef>
          </c:val>
          <c:extLst>
            <c:ext xmlns:c16="http://schemas.microsoft.com/office/drawing/2014/chart" uri="{C3380CC4-5D6E-409C-BE32-E72D297353CC}">
              <c16:uniqueId val="{00000005-5533-45F6-8760-067E2AEF8FC0}"/>
            </c:ext>
          </c:extLst>
        </c:ser>
        <c:dLbls>
          <c:showLegendKey val="0"/>
          <c:showVal val="0"/>
          <c:showCatName val="0"/>
          <c:showSerName val="0"/>
          <c:showPercent val="0"/>
          <c:showBubbleSize val="0"/>
        </c:dLbls>
        <c:gapWidth val="133"/>
        <c:overlap val="100"/>
        <c:axId val="413813688"/>
        <c:axId val="413822872"/>
      </c:barChart>
      <c:catAx>
        <c:axId val="41381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22872"/>
        <c:crosses val="autoZero"/>
        <c:auto val="1"/>
        <c:lblAlgn val="ctr"/>
        <c:lblOffset val="100"/>
        <c:noMultiLvlLbl val="0"/>
      </c:catAx>
      <c:valAx>
        <c:axId val="413822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13688"/>
        <c:crosses val="autoZero"/>
        <c:crossBetween val="between"/>
      </c:valAx>
      <c:spPr>
        <a:noFill/>
        <a:ln w="9525">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IPPU CO</a:t>
            </a:r>
            <a:r>
              <a:rPr lang="en-US" b="1" baseline="-25000"/>
              <a:t>2</a:t>
            </a:r>
            <a:r>
              <a:rPr lang="en-US" b="1"/>
              <a:t>e emissions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Dashboard!$N$176</c:f>
              <c:strCache>
                <c:ptCount val="1"/>
                <c:pt idx="0">
                  <c:v> Product Use </c:v>
                </c:pt>
              </c:strCache>
            </c:strRef>
          </c:tx>
          <c:spPr>
            <a:solidFill>
              <a:schemeClr val="accent1"/>
            </a:solidFill>
            <a:ln>
              <a:noFill/>
            </a:ln>
            <a:effectLst/>
          </c:spPr>
          <c:invertIfNegative val="0"/>
          <c:cat>
            <c:numRef>
              <c:f>Dashboard!$O$174:$AH$174</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Dashboard!$O$176:$AH$176</c:f>
              <c:numCache>
                <c:formatCode>_(* #,##0.00_);_(* \(#,##0.00\);_(* "-"??_);_(@_)</c:formatCode>
                <c:ptCount val="20"/>
                <c:pt idx="0">
                  <c:v>0.1353614480747207</c:v>
                </c:pt>
                <c:pt idx="1">
                  <c:v>0</c:v>
                </c:pt>
                <c:pt idx="2">
                  <c:v>0</c:v>
                </c:pt>
                <c:pt idx="3">
                  <c:v>0</c:v>
                </c:pt>
                <c:pt idx="4">
                  <c:v>1.504689896339201</c:v>
                </c:pt>
                <c:pt idx="5">
                  <c:v>1.647091885301589</c:v>
                </c:pt>
                <c:pt idx="6">
                  <c:v>1.8176196885080351</c:v>
                </c:pt>
                <c:pt idx="7">
                  <c:v>1.9187888333323815</c:v>
                </c:pt>
                <c:pt idx="8">
                  <c:v>2.0151516298772565</c:v>
                </c:pt>
                <c:pt idx="9">
                  <c:v>2.0776144178820997</c:v>
                </c:pt>
                <c:pt idx="10">
                  <c:v>2.1595778697555623</c:v>
                </c:pt>
                <c:pt idx="11">
                  <c:v>2.2869816644319361</c:v>
                </c:pt>
                <c:pt idx="12">
                  <c:v>2.0713508781937842</c:v>
                </c:pt>
                <c:pt idx="13">
                  <c:v>2.145738402109032</c:v>
                </c:pt>
                <c:pt idx="14">
                  <c:v>2.1839809917178226</c:v>
                </c:pt>
                <c:pt idx="15">
                  <c:v>2.2130468519393287</c:v>
                </c:pt>
                <c:pt idx="16">
                  <c:v>2.2115426661086151</c:v>
                </c:pt>
                <c:pt idx="17">
                  <c:v>2.1121711517106307</c:v>
                </c:pt>
                <c:pt idx="18">
                  <c:v>1.969070478008512</c:v>
                </c:pt>
                <c:pt idx="19">
                  <c:v>1.825695847836674</c:v>
                </c:pt>
              </c:numCache>
            </c:numRef>
          </c:val>
          <c:extLst>
            <c:ext xmlns:c16="http://schemas.microsoft.com/office/drawing/2014/chart" uri="{C3380CC4-5D6E-409C-BE32-E72D297353CC}">
              <c16:uniqueId val="{00000001-E553-4E34-A186-6BAC82546A61}"/>
            </c:ext>
          </c:extLst>
        </c:ser>
        <c:dLbls>
          <c:showLegendKey val="0"/>
          <c:showVal val="0"/>
          <c:showCatName val="0"/>
          <c:showSerName val="0"/>
          <c:showPercent val="0"/>
          <c:showBubbleSize val="0"/>
        </c:dLbls>
        <c:gapWidth val="150"/>
        <c:overlap val="100"/>
        <c:axId val="403208104"/>
        <c:axId val="403212696"/>
      </c:barChart>
      <c:catAx>
        <c:axId val="40320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12696"/>
        <c:crosses val="autoZero"/>
        <c:auto val="1"/>
        <c:lblAlgn val="ctr"/>
        <c:lblOffset val="100"/>
        <c:noMultiLvlLbl val="0"/>
      </c:catAx>
      <c:valAx>
        <c:axId val="403212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08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Agriculture CO</a:t>
            </a:r>
            <a:r>
              <a:rPr lang="en-GB" b="1" baseline="-25000"/>
              <a:t>2</a:t>
            </a:r>
            <a:r>
              <a:rPr lang="en-GB" b="1"/>
              <a:t>e emissions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Dashboard!$N$191</c:f>
              <c:strCache>
                <c:ptCount val="1"/>
                <c:pt idx="0">
                  <c:v> Livestock </c:v>
                </c:pt>
              </c:strCache>
            </c:strRef>
          </c:tx>
          <c:spPr>
            <a:solidFill>
              <a:schemeClr val="accent1"/>
            </a:solidFill>
            <a:ln>
              <a:noFill/>
            </a:ln>
            <a:effectLst/>
          </c:spPr>
          <c:invertIfNegative val="0"/>
          <c:cat>
            <c:numRef>
              <c:f>Dashboard!$O$190:$AH$190</c:f>
              <c:numCache>
                <c:formatCode>0</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Dashboard!$O$191:$AH$191</c:f>
              <c:numCache>
                <c:formatCode>_(* #,##0.00_);_(* \(#,##0.00\);_(* "-"??_);_(@_)</c:formatCode>
                <c:ptCount val="20"/>
                <c:pt idx="0">
                  <c:v>2.8358997655622085E-2</c:v>
                </c:pt>
                <c:pt idx="1">
                  <c:v>2.1443250716666765E-2</c:v>
                </c:pt>
                <c:pt idx="2">
                  <c:v>2.0121423678405387E-2</c:v>
                </c:pt>
                <c:pt idx="3">
                  <c:v>1.864775759492308E-2</c:v>
                </c:pt>
                <c:pt idx="4">
                  <c:v>1.7569016696668827E-2</c:v>
                </c:pt>
                <c:pt idx="5">
                  <c:v>1.7870952368564744E-2</c:v>
                </c:pt>
                <c:pt idx="6">
                  <c:v>1.3147487363629468E-2</c:v>
                </c:pt>
                <c:pt idx="7">
                  <c:v>1.2955266564111329E-2</c:v>
                </c:pt>
                <c:pt idx="8">
                  <c:v>1.1235466535935766E-2</c:v>
                </c:pt>
                <c:pt idx="9">
                  <c:v>1.138026822326885E-2</c:v>
                </c:pt>
                <c:pt idx="10">
                  <c:v>1.16203113576504E-2</c:v>
                </c:pt>
                <c:pt idx="11">
                  <c:v>1.3361898717437492E-2</c:v>
                </c:pt>
                <c:pt idx="12">
                  <c:v>1.2955426234678442E-2</c:v>
                </c:pt>
                <c:pt idx="13">
                  <c:v>1.2563089616518619E-2</c:v>
                </c:pt>
                <c:pt idx="14">
                  <c:v>1.1839146322238567E-2</c:v>
                </c:pt>
                <c:pt idx="15">
                  <c:v>1.0645547008260928E-2</c:v>
                </c:pt>
                <c:pt idx="16">
                  <c:v>1.0300334107414828E-2</c:v>
                </c:pt>
                <c:pt idx="17">
                  <c:v>1.0242812518309951E-2</c:v>
                </c:pt>
                <c:pt idx="18">
                  <c:v>1.0130796780762428E-2</c:v>
                </c:pt>
                <c:pt idx="19">
                  <c:v>1.0356521475130005E-2</c:v>
                </c:pt>
              </c:numCache>
            </c:numRef>
          </c:val>
          <c:extLst>
            <c:ext xmlns:c16="http://schemas.microsoft.com/office/drawing/2014/chart" uri="{C3380CC4-5D6E-409C-BE32-E72D297353CC}">
              <c16:uniqueId val="{00000001-2815-4A73-88A1-20CEEAFE79C9}"/>
            </c:ext>
          </c:extLst>
        </c:ser>
        <c:ser>
          <c:idx val="1"/>
          <c:order val="1"/>
          <c:tx>
            <c:strRef>
              <c:f>Dashboard!$N$192</c:f>
              <c:strCache>
                <c:ptCount val="1"/>
                <c:pt idx="0">
                  <c:v> Land </c:v>
                </c:pt>
              </c:strCache>
            </c:strRef>
          </c:tx>
          <c:spPr>
            <a:solidFill>
              <a:schemeClr val="accent2"/>
            </a:solidFill>
            <a:ln>
              <a:noFill/>
            </a:ln>
            <a:effectLst/>
          </c:spPr>
          <c:invertIfNegative val="0"/>
          <c:cat>
            <c:numRef>
              <c:f>Dashboard!$O$190:$AH$190</c:f>
              <c:numCache>
                <c:formatCode>0</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Dashboard!$O$192:$AH$192</c:f>
              <c:numCache>
                <c:formatCode>_(* #,##0.00_);_(* \(#,##0.00\);_(* "-"??_);_(@_)</c:formatCode>
                <c:ptCount val="20"/>
                <c:pt idx="0">
                  <c:v>0.13665979189079658</c:v>
                </c:pt>
                <c:pt idx="1">
                  <c:v>0.12932166970719453</c:v>
                </c:pt>
                <c:pt idx="2">
                  <c:v>0.12730634529926266</c:v>
                </c:pt>
                <c:pt idx="3">
                  <c:v>0.12581040652407827</c:v>
                </c:pt>
                <c:pt idx="4">
                  <c:v>0.12398263593252648</c:v>
                </c:pt>
                <c:pt idx="5">
                  <c:v>0.1205075798884533</c:v>
                </c:pt>
                <c:pt idx="6">
                  <c:v>0.11955126992171697</c:v>
                </c:pt>
                <c:pt idx="7">
                  <c:v>0.1171267859305356</c:v>
                </c:pt>
                <c:pt idx="8">
                  <c:v>0.11564482361576663</c:v>
                </c:pt>
                <c:pt idx="9">
                  <c:v>0.11377004886058774</c:v>
                </c:pt>
                <c:pt idx="10">
                  <c:v>0.11259781977377388</c:v>
                </c:pt>
                <c:pt idx="11">
                  <c:v>0.11161635465942349</c:v>
                </c:pt>
                <c:pt idx="12">
                  <c:v>0.11046022416247736</c:v>
                </c:pt>
                <c:pt idx="13">
                  <c:v>0.10881792511973541</c:v>
                </c:pt>
                <c:pt idx="14">
                  <c:v>0.10654469524127952</c:v>
                </c:pt>
                <c:pt idx="15">
                  <c:v>0.10984624341071941</c:v>
                </c:pt>
                <c:pt idx="16">
                  <c:v>0.10478077164963315</c:v>
                </c:pt>
                <c:pt idx="17">
                  <c:v>0.10569714389842726</c:v>
                </c:pt>
                <c:pt idx="18">
                  <c:v>0.10324654382285642</c:v>
                </c:pt>
                <c:pt idx="19">
                  <c:v>0.10236322178856604</c:v>
                </c:pt>
              </c:numCache>
            </c:numRef>
          </c:val>
          <c:extLst>
            <c:ext xmlns:c16="http://schemas.microsoft.com/office/drawing/2014/chart" uri="{C3380CC4-5D6E-409C-BE32-E72D297353CC}">
              <c16:uniqueId val="{00000002-2815-4A73-88A1-20CEEAFE79C9}"/>
            </c:ext>
          </c:extLst>
        </c:ser>
        <c:ser>
          <c:idx val="2"/>
          <c:order val="2"/>
          <c:tx>
            <c:strRef>
              <c:f>Dashboard!$N$193</c:f>
              <c:strCache>
                <c:ptCount val="1"/>
                <c:pt idx="0">
                  <c:v> Aggregate Sources and Non-CO2 Emissions Sources on Land </c:v>
                </c:pt>
              </c:strCache>
            </c:strRef>
          </c:tx>
          <c:spPr>
            <a:solidFill>
              <a:schemeClr val="accent3"/>
            </a:solidFill>
            <a:ln>
              <a:noFill/>
            </a:ln>
            <a:effectLst/>
          </c:spPr>
          <c:invertIfNegative val="0"/>
          <c:cat>
            <c:numRef>
              <c:f>Dashboard!$O$190:$AH$190</c:f>
              <c:numCache>
                <c:formatCode>0</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Dashboard!$O$193:$AH$193</c:f>
              <c:numCache>
                <c:formatCode>_(* #,##0.00_);_(* \(#,##0.00\);_(* "-"??_);_(@_)</c:formatCode>
                <c:ptCount val="20"/>
                <c:pt idx="0">
                  <c:v>2.3073093372078172E-4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3-2815-4A73-88A1-20CEEAFE79C9}"/>
            </c:ext>
          </c:extLst>
        </c:ser>
        <c:ser>
          <c:idx val="3"/>
          <c:order val="3"/>
          <c:tx>
            <c:strRef>
              <c:f>Dashboard!$N$194</c:f>
              <c:strCache>
                <c:ptCount val="1"/>
                <c:pt idx="0">
                  <c:v> Other </c:v>
                </c:pt>
              </c:strCache>
            </c:strRef>
          </c:tx>
          <c:spPr>
            <a:solidFill>
              <a:schemeClr val="accent4"/>
            </a:solidFill>
            <a:ln>
              <a:noFill/>
            </a:ln>
            <a:effectLst/>
          </c:spPr>
          <c:invertIfNegative val="0"/>
          <c:cat>
            <c:numRef>
              <c:f>Dashboard!$O$190:$AH$190</c:f>
              <c:numCache>
                <c:formatCode>0</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Dashboard!$O$194:$AH$194</c:f>
              <c:numCache>
                <c:formatCode>_(* #,##0.00_);_(* \(#,##0.00\);_(* "-"??_);_(@_)</c:formatCode>
                <c:ptCount val="20"/>
                <c:pt idx="0">
                  <c:v>9.886184656308885E-3</c:v>
                </c:pt>
                <c:pt idx="1">
                  <c:v>8.3771062208103653E-3</c:v>
                </c:pt>
                <c:pt idx="2">
                  <c:v>7.5283287831450591E-3</c:v>
                </c:pt>
                <c:pt idx="3">
                  <c:v>7.3351517372419687E-3</c:v>
                </c:pt>
                <c:pt idx="4">
                  <c:v>7.3181826388705688E-3</c:v>
                </c:pt>
                <c:pt idx="5">
                  <c:v>6.8690117759108776E-3</c:v>
                </c:pt>
                <c:pt idx="6">
                  <c:v>7.089151665911805E-3</c:v>
                </c:pt>
                <c:pt idx="7">
                  <c:v>7.7843653910415174E-3</c:v>
                </c:pt>
                <c:pt idx="8">
                  <c:v>5.9424759554059193E-3</c:v>
                </c:pt>
                <c:pt idx="9">
                  <c:v>6.6130885181524077E-3</c:v>
                </c:pt>
                <c:pt idx="10">
                  <c:v>5.8695691537471789E-3</c:v>
                </c:pt>
                <c:pt idx="11">
                  <c:v>6.7016826096160881E-3</c:v>
                </c:pt>
                <c:pt idx="12">
                  <c:v>6.6430068472611717E-3</c:v>
                </c:pt>
                <c:pt idx="13">
                  <c:v>7.2109759895467142E-3</c:v>
                </c:pt>
                <c:pt idx="14">
                  <c:v>6.6016606876922457E-3</c:v>
                </c:pt>
                <c:pt idx="15">
                  <c:v>7.1956235971829697E-3</c:v>
                </c:pt>
                <c:pt idx="16">
                  <c:v>6.9585995437638579E-3</c:v>
                </c:pt>
                <c:pt idx="17">
                  <c:v>6.3958097506563536E-3</c:v>
                </c:pt>
                <c:pt idx="18">
                  <c:v>5.9678364394213984E-3</c:v>
                </c:pt>
                <c:pt idx="19">
                  <c:v>6.4362579149010966E-3</c:v>
                </c:pt>
              </c:numCache>
            </c:numRef>
          </c:val>
          <c:extLst>
            <c:ext xmlns:c16="http://schemas.microsoft.com/office/drawing/2014/chart" uri="{C3380CC4-5D6E-409C-BE32-E72D297353CC}">
              <c16:uniqueId val="{00000004-2815-4A73-88A1-20CEEAFE79C9}"/>
            </c:ext>
          </c:extLst>
        </c:ser>
        <c:dLbls>
          <c:showLegendKey val="0"/>
          <c:showVal val="0"/>
          <c:showCatName val="0"/>
          <c:showSerName val="0"/>
          <c:showPercent val="0"/>
          <c:showBubbleSize val="0"/>
        </c:dLbls>
        <c:gapWidth val="150"/>
        <c:overlap val="100"/>
        <c:axId val="403677312"/>
        <c:axId val="403669768"/>
      </c:barChart>
      <c:catAx>
        <c:axId val="40367731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69768"/>
        <c:crosses val="autoZero"/>
        <c:auto val="1"/>
        <c:lblAlgn val="ctr"/>
        <c:lblOffset val="100"/>
        <c:noMultiLvlLbl val="0"/>
      </c:catAx>
      <c:valAx>
        <c:axId val="403669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77312"/>
        <c:crosses val="autoZero"/>
        <c:crossBetween val="between"/>
      </c:valAx>
      <c:spPr>
        <a:noFill/>
        <a:ln>
          <a:noFill/>
        </a:ln>
        <a:effectLst/>
      </c:spPr>
    </c:plotArea>
    <c:legend>
      <c:legendPos val="b"/>
      <c:layout>
        <c:manualLayout>
          <c:xMode val="edge"/>
          <c:yMode val="edge"/>
          <c:x val="5.8419890361333764E-3"/>
          <c:y val="0.66100127791002583"/>
          <c:w val="0.97213877770422863"/>
          <c:h val="0.31074901394801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Waste</a:t>
            </a:r>
            <a:r>
              <a:rPr lang="en-GB" b="1" baseline="0"/>
              <a:t> CO</a:t>
            </a:r>
            <a:r>
              <a:rPr lang="en-GB" b="1" baseline="-25000"/>
              <a:t>2</a:t>
            </a:r>
            <a:r>
              <a:rPr lang="en-GB" b="1" baseline="0"/>
              <a:t>e emissions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Dashboard!$N$208</c:f>
              <c:strCache>
                <c:ptCount val="1"/>
                <c:pt idx="0">
                  <c:v> Solid waste disposal </c:v>
                </c:pt>
              </c:strCache>
            </c:strRef>
          </c:tx>
          <c:spPr>
            <a:solidFill>
              <a:schemeClr val="accent1"/>
            </a:solidFill>
            <a:ln>
              <a:noFill/>
            </a:ln>
            <a:effectLst/>
          </c:spPr>
          <c:invertIfNegative val="0"/>
          <c:cat>
            <c:numRef>
              <c:f>Dashboard!$O$207:$AH$207</c:f>
              <c:numCache>
                <c:formatCode>0</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Dashboard!$O$208:$AH$208</c:f>
              <c:numCache>
                <c:formatCode>_(* #,##0.00_);_(* \(#,##0.00\);_(* "-"??_);_(@_)</c:formatCode>
                <c:ptCount val="20"/>
                <c:pt idx="1">
                  <c:v>0</c:v>
                </c:pt>
                <c:pt idx="2">
                  <c:v>0</c:v>
                </c:pt>
                <c:pt idx="3">
                  <c:v>0</c:v>
                </c:pt>
                <c:pt idx="4">
                  <c:v>0</c:v>
                </c:pt>
                <c:pt idx="5">
                  <c:v>0</c:v>
                </c:pt>
                <c:pt idx="6">
                  <c:v>0</c:v>
                </c:pt>
                <c:pt idx="7">
                  <c:v>0</c:v>
                </c:pt>
                <c:pt idx="8">
                  <c:v>0</c:v>
                </c:pt>
                <c:pt idx="9">
                  <c:v>0.69020713027510983</c:v>
                </c:pt>
                <c:pt idx="10">
                  <c:v>0.67180502596569047</c:v>
                </c:pt>
                <c:pt idx="11">
                  <c:v>0.65031794749618133</c:v>
                </c:pt>
                <c:pt idx="12">
                  <c:v>0.6291802372083598</c:v>
                </c:pt>
                <c:pt idx="13">
                  <c:v>0.60769623971258402</c:v>
                </c:pt>
                <c:pt idx="14">
                  <c:v>0.62467422843073006</c:v>
                </c:pt>
                <c:pt idx="15">
                  <c:v>0.63926400724353138</c:v>
                </c:pt>
                <c:pt idx="16">
                  <c:v>0.65005597473555887</c:v>
                </c:pt>
                <c:pt idx="17">
                  <c:v>0.65852303930209355</c:v>
                </c:pt>
                <c:pt idx="18">
                  <c:v>0.68476181595461927</c:v>
                </c:pt>
                <c:pt idx="19">
                  <c:v>0.67500000000000004</c:v>
                </c:pt>
              </c:numCache>
            </c:numRef>
          </c:val>
          <c:extLst>
            <c:ext xmlns:c16="http://schemas.microsoft.com/office/drawing/2014/chart" uri="{C3380CC4-5D6E-409C-BE32-E72D297353CC}">
              <c16:uniqueId val="{00000000-437A-4862-ACE3-1783DBED1CFA}"/>
            </c:ext>
          </c:extLst>
        </c:ser>
        <c:ser>
          <c:idx val="1"/>
          <c:order val="1"/>
          <c:tx>
            <c:strRef>
              <c:f>Dashboard!$N$209</c:f>
              <c:strCache>
                <c:ptCount val="1"/>
                <c:pt idx="0">
                  <c:v> Biological treatment of waste </c:v>
                </c:pt>
              </c:strCache>
            </c:strRef>
          </c:tx>
          <c:spPr>
            <a:solidFill>
              <a:schemeClr val="accent2"/>
            </a:solidFill>
            <a:ln>
              <a:noFill/>
            </a:ln>
            <a:effectLst/>
          </c:spPr>
          <c:invertIfNegative val="0"/>
          <c:cat>
            <c:numRef>
              <c:f>Dashboard!$O$207:$AH$207</c:f>
              <c:numCache>
                <c:formatCode>0</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Dashboard!$O$209:$AH$209</c:f>
              <c:numCache>
                <c:formatCode>_(* #,##0.00_);_(* \(#,##0.00\);_(* "-"??_);_(@_)</c:formatCode>
                <c:ptCount val="20"/>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1.6105436200000003E-2</c:v>
                </c:pt>
                <c:pt idx="19">
                  <c:v>2.8922562187199991E-2</c:v>
                </c:pt>
              </c:numCache>
            </c:numRef>
          </c:val>
          <c:extLst>
            <c:ext xmlns:c16="http://schemas.microsoft.com/office/drawing/2014/chart" uri="{C3380CC4-5D6E-409C-BE32-E72D297353CC}">
              <c16:uniqueId val="{00000001-437A-4862-ACE3-1783DBED1CFA}"/>
            </c:ext>
          </c:extLst>
        </c:ser>
        <c:ser>
          <c:idx val="3"/>
          <c:order val="2"/>
          <c:tx>
            <c:strRef>
              <c:f>Dashboard!$N$210</c:f>
              <c:strCache>
                <c:ptCount val="1"/>
                <c:pt idx="0">
                  <c:v> Wastewater treatment and discharge </c:v>
                </c:pt>
              </c:strCache>
            </c:strRef>
          </c:tx>
          <c:spPr>
            <a:solidFill>
              <a:schemeClr val="accent4"/>
            </a:solidFill>
            <a:ln>
              <a:noFill/>
            </a:ln>
            <a:effectLst/>
          </c:spPr>
          <c:invertIfNegative val="0"/>
          <c:cat>
            <c:numRef>
              <c:f>Dashboard!$O$207:$AH$207</c:f>
              <c:numCache>
                <c:formatCode>0</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Dashboard!$O$210:$AH$210</c:f>
              <c:numCache>
                <c:formatCode>_(* #,##0.00_);_(* \(#,##0.00\);_(* "-"??_);_(@_)</c:formatCode>
                <c:ptCount val="20"/>
                <c:pt idx="1">
                  <c:v>0</c:v>
                </c:pt>
                <c:pt idx="2">
                  <c:v>0</c:v>
                </c:pt>
                <c:pt idx="3">
                  <c:v>0</c:v>
                </c:pt>
                <c:pt idx="4">
                  <c:v>0</c:v>
                </c:pt>
                <c:pt idx="5">
                  <c:v>0</c:v>
                </c:pt>
                <c:pt idx="6">
                  <c:v>0</c:v>
                </c:pt>
                <c:pt idx="7">
                  <c:v>0</c:v>
                </c:pt>
                <c:pt idx="8">
                  <c:v>0</c:v>
                </c:pt>
                <c:pt idx="9">
                  <c:v>0</c:v>
                </c:pt>
                <c:pt idx="10">
                  <c:v>0</c:v>
                </c:pt>
                <c:pt idx="11">
                  <c:v>0</c:v>
                </c:pt>
                <c:pt idx="12">
                  <c:v>0</c:v>
                </c:pt>
                <c:pt idx="13">
                  <c:v>0</c:v>
                </c:pt>
                <c:pt idx="14">
                  <c:v>0.47029456773775485</c:v>
                </c:pt>
                <c:pt idx="15">
                  <c:v>0.47438967059509912</c:v>
                </c:pt>
                <c:pt idx="16">
                  <c:v>0.47256470717359872</c:v>
                </c:pt>
                <c:pt idx="17">
                  <c:v>0.47804249045331743</c:v>
                </c:pt>
                <c:pt idx="18">
                  <c:v>0.47789872137765177</c:v>
                </c:pt>
                <c:pt idx="19">
                  <c:v>0.46298820000000002</c:v>
                </c:pt>
              </c:numCache>
            </c:numRef>
          </c:val>
          <c:extLst>
            <c:ext xmlns:c16="http://schemas.microsoft.com/office/drawing/2014/chart" uri="{C3380CC4-5D6E-409C-BE32-E72D297353CC}">
              <c16:uniqueId val="{00000003-437A-4862-ACE3-1783DBED1CFA}"/>
            </c:ext>
          </c:extLst>
        </c:ser>
        <c:dLbls>
          <c:showLegendKey val="0"/>
          <c:showVal val="0"/>
          <c:showCatName val="0"/>
          <c:showSerName val="0"/>
          <c:showPercent val="0"/>
          <c:showBubbleSize val="0"/>
        </c:dLbls>
        <c:gapWidth val="150"/>
        <c:overlap val="100"/>
        <c:axId val="186209496"/>
        <c:axId val="186206544"/>
      </c:barChart>
      <c:catAx>
        <c:axId val="1862094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6544"/>
        <c:crosses val="autoZero"/>
        <c:auto val="1"/>
        <c:lblAlgn val="ctr"/>
        <c:lblOffset val="100"/>
        <c:noMultiLvlLbl val="0"/>
      </c:catAx>
      <c:valAx>
        <c:axId val="186206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9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effectLst/>
              </a:rPr>
              <a:t>London totals by sectors in 1990 (base year) and 2018</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Dashboard!$N$243</c:f>
              <c:strCache>
                <c:ptCount val="1"/>
                <c:pt idx="0">
                  <c:v>Stationary Energy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Dashboard!$P$242:$Q$242</c:f>
              <c:numCache>
                <c:formatCode>General</c:formatCode>
                <c:ptCount val="2"/>
                <c:pt idx="0">
                  <c:v>2018</c:v>
                </c:pt>
                <c:pt idx="1">
                  <c:v>1990</c:v>
                </c:pt>
              </c:numCache>
            </c:numRef>
          </c:cat>
          <c:val>
            <c:numRef>
              <c:f>Dashboard!$P$243:$Q$243</c:f>
              <c:numCache>
                <c:formatCode>_(* #,##0.00_);_(* \(#,##0.00\);_(* "-"??_);_(@_)</c:formatCode>
                <c:ptCount val="2"/>
                <c:pt idx="0">
                  <c:v>20.987203439406247</c:v>
                </c:pt>
                <c:pt idx="1">
                  <c:v>35.58</c:v>
                </c:pt>
              </c:numCache>
            </c:numRef>
          </c:val>
          <c:extLst>
            <c:ext xmlns:c16="http://schemas.microsoft.com/office/drawing/2014/chart" uri="{C3380CC4-5D6E-409C-BE32-E72D297353CC}">
              <c16:uniqueId val="{00000012-1C02-48CF-AC34-6CBE5ED2BF17}"/>
            </c:ext>
          </c:extLst>
        </c:ser>
        <c:ser>
          <c:idx val="1"/>
          <c:order val="1"/>
          <c:tx>
            <c:strRef>
              <c:f>Dashboard!$N$244</c:f>
              <c:strCache>
                <c:ptCount val="1"/>
                <c:pt idx="0">
                  <c:v>Transport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Dashboard!$P$242:$Q$242</c:f>
              <c:numCache>
                <c:formatCode>General</c:formatCode>
                <c:ptCount val="2"/>
                <c:pt idx="0">
                  <c:v>2018</c:v>
                </c:pt>
                <c:pt idx="1">
                  <c:v>1990</c:v>
                </c:pt>
              </c:numCache>
            </c:numRef>
          </c:cat>
          <c:val>
            <c:numRef>
              <c:f>Dashboard!$P$244:$Q$244</c:f>
              <c:numCache>
                <c:formatCode>_(* #,##0.00_);_(* \(#,##0.00\);_(* "-"??_);_(@_)</c:formatCode>
                <c:ptCount val="2"/>
                <c:pt idx="0">
                  <c:v>8.10938324344332</c:v>
                </c:pt>
                <c:pt idx="1">
                  <c:v>9.4742967447756588</c:v>
                </c:pt>
              </c:numCache>
            </c:numRef>
          </c:val>
          <c:extLst>
            <c:ext xmlns:c16="http://schemas.microsoft.com/office/drawing/2014/chart" uri="{C3380CC4-5D6E-409C-BE32-E72D297353CC}">
              <c16:uniqueId val="{00000013-1C02-48CF-AC34-6CBE5ED2BF17}"/>
            </c:ext>
          </c:extLst>
        </c:ser>
        <c:ser>
          <c:idx val="2"/>
          <c:order val="2"/>
          <c:tx>
            <c:strRef>
              <c:f>Dashboard!$N$245</c:f>
              <c:strCache>
                <c:ptCount val="1"/>
                <c:pt idx="0">
                  <c:v>IPPU</c:v>
                </c:pt>
              </c:strCache>
            </c:strRef>
          </c:tx>
          <c:spPr>
            <a:solidFill>
              <a:schemeClr val="accent3"/>
            </a:solidFill>
            <a:ln>
              <a:noFill/>
            </a:ln>
            <a:effectLst/>
          </c:spPr>
          <c:invertIfNegative val="0"/>
          <c:dLbls>
            <c:dLbl>
              <c:idx val="0"/>
              <c:layout>
                <c:manualLayout>
                  <c:x val="-9.6251180721652269E-17"/>
                  <c:y val="-8.955351227817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50E-480E-B7ED-410A5678CA83}"/>
                </c:ext>
              </c:extLst>
            </c:dLbl>
            <c:dLbl>
              <c:idx val="1"/>
              <c:layout>
                <c:manualLayout>
                  <c:x val="2.625062526095602E-3"/>
                  <c:y val="-8.50758366642656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0E-480E-B7ED-410A5678CA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Dashboard!$P$242:$Q$242</c:f>
              <c:numCache>
                <c:formatCode>General</c:formatCode>
                <c:ptCount val="2"/>
                <c:pt idx="0">
                  <c:v>2018</c:v>
                </c:pt>
                <c:pt idx="1">
                  <c:v>1990</c:v>
                </c:pt>
              </c:numCache>
            </c:numRef>
          </c:cat>
          <c:val>
            <c:numRef>
              <c:f>Dashboard!$P$245:$Q$245</c:f>
              <c:numCache>
                <c:formatCode>_(* #,##0.00_);_(* \(#,##0.00\);_(* "-"??_);_(@_)</c:formatCode>
                <c:ptCount val="2"/>
                <c:pt idx="0">
                  <c:v>1.825695847836674</c:v>
                </c:pt>
                <c:pt idx="1">
                  <c:v>0.1353614480747207</c:v>
                </c:pt>
              </c:numCache>
            </c:numRef>
          </c:val>
          <c:extLst>
            <c:ext xmlns:c16="http://schemas.microsoft.com/office/drawing/2014/chart" uri="{C3380CC4-5D6E-409C-BE32-E72D297353CC}">
              <c16:uniqueId val="{00000014-1C02-48CF-AC34-6CBE5ED2BF17}"/>
            </c:ext>
          </c:extLst>
        </c:ser>
        <c:ser>
          <c:idx val="3"/>
          <c:order val="3"/>
          <c:tx>
            <c:strRef>
              <c:f>Dashboard!$N$246</c:f>
              <c:strCache>
                <c:ptCount val="1"/>
                <c:pt idx="0">
                  <c:v>Agriculture</c:v>
                </c:pt>
              </c:strCache>
            </c:strRef>
          </c:tx>
          <c:spPr>
            <a:solidFill>
              <a:schemeClr val="accent4"/>
            </a:solidFill>
            <a:ln>
              <a:noFill/>
            </a:ln>
            <a:effectLst/>
          </c:spPr>
          <c:invertIfNegative val="0"/>
          <c:cat>
            <c:numRef>
              <c:f>Dashboard!$P$242:$Q$242</c:f>
              <c:numCache>
                <c:formatCode>General</c:formatCode>
                <c:ptCount val="2"/>
                <c:pt idx="0">
                  <c:v>2018</c:v>
                </c:pt>
                <c:pt idx="1">
                  <c:v>1990</c:v>
                </c:pt>
              </c:numCache>
            </c:numRef>
          </c:cat>
          <c:val>
            <c:numRef>
              <c:f>Dashboard!$P$246:$Q$246</c:f>
              <c:numCache>
                <c:formatCode>_(* #,##0.00_);_(* \(#,##0.00\);_(* "-"??_);_(@_)</c:formatCode>
                <c:ptCount val="2"/>
                <c:pt idx="0">
                  <c:v>0.11915600117859715</c:v>
                </c:pt>
                <c:pt idx="1">
                  <c:v>0.17513570513644833</c:v>
                </c:pt>
              </c:numCache>
            </c:numRef>
          </c:val>
          <c:extLst>
            <c:ext xmlns:c16="http://schemas.microsoft.com/office/drawing/2014/chart" uri="{C3380CC4-5D6E-409C-BE32-E72D297353CC}">
              <c16:uniqueId val="{00000015-1C02-48CF-AC34-6CBE5ED2BF17}"/>
            </c:ext>
          </c:extLst>
        </c:ser>
        <c:ser>
          <c:idx val="4"/>
          <c:order val="4"/>
          <c:tx>
            <c:strRef>
              <c:f>Dashboard!$N$247</c:f>
              <c:strCache>
                <c:ptCount val="1"/>
                <c:pt idx="0">
                  <c:v>Waste</c:v>
                </c:pt>
              </c:strCache>
            </c:strRef>
          </c:tx>
          <c:spPr>
            <a:solidFill>
              <a:schemeClr val="accent5"/>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2-350E-480E-B7ED-410A5678CA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Dashboard!$P$242:$Q$242</c:f>
              <c:numCache>
                <c:formatCode>General</c:formatCode>
                <c:ptCount val="2"/>
                <c:pt idx="0">
                  <c:v>2018</c:v>
                </c:pt>
                <c:pt idx="1">
                  <c:v>1990</c:v>
                </c:pt>
              </c:numCache>
            </c:numRef>
          </c:cat>
          <c:val>
            <c:numRef>
              <c:f>Dashboard!$P$247:$Q$247</c:f>
              <c:numCache>
                <c:formatCode>_(* #,##0.00_);_(* \(#,##0.00\);_(* "-"??_);_(@_)</c:formatCode>
                <c:ptCount val="2"/>
                <c:pt idx="0">
                  <c:v>1.1669107621872001</c:v>
                </c:pt>
                <c:pt idx="1">
                  <c:v>0</c:v>
                </c:pt>
              </c:numCache>
            </c:numRef>
          </c:val>
          <c:extLst>
            <c:ext xmlns:c16="http://schemas.microsoft.com/office/drawing/2014/chart" uri="{C3380CC4-5D6E-409C-BE32-E72D297353CC}">
              <c16:uniqueId val="{00000016-1C02-48CF-AC34-6CBE5ED2BF17}"/>
            </c:ext>
          </c:extLst>
        </c:ser>
        <c:ser>
          <c:idx val="5"/>
          <c:order val="5"/>
          <c:tx>
            <c:strRef>
              <c:f>Dashboard!$N$248</c:f>
              <c:strCache>
                <c:ptCount val="1"/>
                <c:pt idx="0">
                  <c:v>LULUCF</c:v>
                </c:pt>
              </c:strCache>
            </c:strRef>
          </c:tx>
          <c:spPr>
            <a:solidFill>
              <a:schemeClr val="accent6"/>
            </a:solidFill>
            <a:ln>
              <a:noFill/>
            </a:ln>
            <a:effectLst/>
          </c:spPr>
          <c:invertIfNegative val="0"/>
          <c:cat>
            <c:numRef>
              <c:f>Dashboard!$P$242:$Q$242</c:f>
              <c:numCache>
                <c:formatCode>General</c:formatCode>
                <c:ptCount val="2"/>
                <c:pt idx="0">
                  <c:v>2018</c:v>
                </c:pt>
                <c:pt idx="1">
                  <c:v>1990</c:v>
                </c:pt>
              </c:numCache>
            </c:numRef>
          </c:cat>
          <c:val>
            <c:numRef>
              <c:f>Dashboard!$P$248:$Q$248</c:f>
              <c:numCache>
                <c:formatCode>_(* #,##0.00_);_(* \(#,##0.00\);_(* "-"??_);_(@_)</c:formatCode>
                <c:ptCount val="2"/>
                <c:pt idx="0">
                  <c:v>-0.15494902590685694</c:v>
                </c:pt>
                <c:pt idx="1">
                  <c:v>-0.10776934707644574</c:v>
                </c:pt>
              </c:numCache>
            </c:numRef>
          </c:val>
          <c:extLst>
            <c:ext xmlns:c16="http://schemas.microsoft.com/office/drawing/2014/chart" uri="{C3380CC4-5D6E-409C-BE32-E72D297353CC}">
              <c16:uniqueId val="{00000017-1C02-48CF-AC34-6CBE5ED2BF17}"/>
            </c:ext>
          </c:extLst>
        </c:ser>
        <c:dLbls>
          <c:showLegendKey val="0"/>
          <c:showVal val="0"/>
          <c:showCatName val="0"/>
          <c:showSerName val="0"/>
          <c:showPercent val="0"/>
          <c:showBubbleSize val="0"/>
        </c:dLbls>
        <c:gapWidth val="150"/>
        <c:overlap val="100"/>
        <c:axId val="422839408"/>
        <c:axId val="422839736"/>
      </c:barChart>
      <c:catAx>
        <c:axId val="42283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839736"/>
        <c:crosses val="autoZero"/>
        <c:auto val="1"/>
        <c:lblAlgn val="ctr"/>
        <c:lblOffset val="100"/>
        <c:noMultiLvlLbl val="0"/>
      </c:catAx>
      <c:valAx>
        <c:axId val="422839736"/>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83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Domestic CO</a:t>
            </a:r>
            <a:r>
              <a:rPr lang="en-US" b="1" baseline="-25000"/>
              <a:t>2</a:t>
            </a:r>
            <a:r>
              <a:rPr lang="en-US" b="1"/>
              <a:t>e emissions, 2018</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1-4D98-9DDB-603E3CB1D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1-4D98-9DDB-603E3CB1D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1-4D98-9DDB-603E3CB1D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41-4D98-9DDB-603E3CB1DB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41-4D98-9DDB-603E3CB1DB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Dashboard!$N$22:$N$25</c:f>
              <c:strCache>
                <c:ptCount val="4"/>
                <c:pt idx="0">
                  <c:v>Gas</c:v>
                </c:pt>
                <c:pt idx="1">
                  <c:v>Electricity</c:v>
                </c:pt>
                <c:pt idx="2">
                  <c:v>Coal</c:v>
                </c:pt>
                <c:pt idx="3">
                  <c:v>Oil</c:v>
                </c:pt>
              </c:strCache>
            </c:strRef>
          </c:cat>
          <c:val>
            <c:numRef>
              <c:f>Dashboard!$O$22:$O$25</c:f>
              <c:numCache>
                <c:formatCode>0.00</c:formatCode>
                <c:ptCount val="4"/>
                <c:pt idx="0">
                  <c:v>7.2891865852251252</c:v>
                </c:pt>
                <c:pt idx="1">
                  <c:v>3.1784152814007736</c:v>
                </c:pt>
                <c:pt idx="2">
                  <c:v>5.1746621444047042E-2</c:v>
                </c:pt>
                <c:pt idx="3">
                  <c:v>4.8391268709835698E-2</c:v>
                </c:pt>
              </c:numCache>
            </c:numRef>
          </c:val>
          <c:extLst>
            <c:ext xmlns:c16="http://schemas.microsoft.com/office/drawing/2014/chart" uri="{C3380CC4-5D6E-409C-BE32-E72D297353CC}">
              <c16:uniqueId val="{00000000-1F0B-4264-94E7-94FC47C19F93}"/>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Industrial Commercial CO</a:t>
            </a:r>
            <a:r>
              <a:rPr lang="en-US" b="1" baseline="-25000"/>
              <a:t>2</a:t>
            </a:r>
            <a:r>
              <a:rPr lang="en-US" b="1"/>
              <a:t>e emissions, 2018</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8793858682071408E-2"/>
          <c:y val="0.21371590044560373"/>
          <c:w val="0.90897960733587135"/>
          <c:h val="0.5706428916315226"/>
        </c:manualLayout>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AF-4CE1-AB2E-B6E258BDB3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AF-4CE1-AB2E-B6E258BDB3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AF-4CE1-AB2E-B6E258BDB3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AF-4CE1-AB2E-B6E258BDB3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AF-4CE1-AB2E-B6E258BDB3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AF-4CE1-AB2E-B6E258BDB3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AF-4CE1-AB2E-B6E258BDB3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1A-46AC-9C0F-6CBAAFB71F1E}"/>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AAF-4CE1-AB2E-B6E258BDB388}"/>
                </c:ext>
              </c:extLst>
            </c:dLbl>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3-1AAF-4CE1-AB2E-B6E258BDB388}"/>
                </c:ext>
              </c:extLst>
            </c:dLbl>
            <c:dLbl>
              <c:idx val="6"/>
              <c:layout>
                <c:manualLayout>
                  <c:x val="1.6191760618933619E-2"/>
                  <c:y val="-1.04258090264601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1AAF-4CE1-AB2E-B6E258BDB388}"/>
                </c:ext>
              </c:extLst>
            </c:dLbl>
            <c:dLbl>
              <c:idx val="7"/>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F-FD1A-46AC-9C0F-6CBAAFB71F1E}"/>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Dashboard!$N$34:$N$40</c:f>
              <c:strCache>
                <c:ptCount val="7"/>
                <c:pt idx="0">
                  <c:v>Gas</c:v>
                </c:pt>
                <c:pt idx="1">
                  <c:v>Electricity</c:v>
                </c:pt>
                <c:pt idx="2">
                  <c:v>Large industrial</c:v>
                </c:pt>
                <c:pt idx="3">
                  <c:v>Coal</c:v>
                </c:pt>
                <c:pt idx="4">
                  <c:v>Oil</c:v>
                </c:pt>
                <c:pt idx="5">
                  <c:v>Renewable</c:v>
                </c:pt>
                <c:pt idx="6">
                  <c:v>Waste (MSW)</c:v>
                </c:pt>
              </c:strCache>
            </c:strRef>
          </c:cat>
          <c:val>
            <c:numRef>
              <c:f>Dashboard!$O$34:$O$40</c:f>
              <c:numCache>
                <c:formatCode>0.00</c:formatCode>
                <c:ptCount val="7"/>
                <c:pt idx="0">
                  <c:v>3.7465674667707853</c:v>
                </c:pt>
                <c:pt idx="1">
                  <c:v>5.8698944661131867</c:v>
                </c:pt>
                <c:pt idx="2">
                  <c:v>1.3753861391520001E-2</c:v>
                </c:pt>
                <c:pt idx="3">
                  <c:v>8.6404694800835593E-3</c:v>
                </c:pt>
                <c:pt idx="4">
                  <c:v>0.5657541584814888</c:v>
                </c:pt>
                <c:pt idx="5">
                  <c:v>0.21485326038940158</c:v>
                </c:pt>
                <c:pt idx="6">
                  <c:v>0.69644829946724474</c:v>
                </c:pt>
              </c:numCache>
            </c:numRef>
          </c:val>
          <c:extLst>
            <c:ext xmlns:c16="http://schemas.microsoft.com/office/drawing/2014/chart" uri="{C3380CC4-5D6E-409C-BE32-E72D297353CC}">
              <c16:uniqueId val="{00000000-2907-4080-90D0-07CD26577406}"/>
            </c:ext>
          </c:extLst>
        </c:ser>
        <c:dLbls>
          <c:showLegendKey val="0"/>
          <c:showVal val="0"/>
          <c:showCatName val="0"/>
          <c:showSerName val="0"/>
          <c:showPercent val="0"/>
          <c:showBubbleSize val="0"/>
          <c:showLeaderLines val="1"/>
        </c:dLbls>
        <c:gapWidth val="100"/>
        <c:splitType val="pos"/>
        <c:splitPos val="5"/>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manualLayout>
          <c:xMode val="edge"/>
          <c:yMode val="edge"/>
          <c:x val="1.8957452403234473E-2"/>
          <c:y val="0.80540033959245338"/>
          <c:w val="0.93875014495025966"/>
          <c:h val="0.162920993976064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Transport CO</a:t>
            </a:r>
            <a:r>
              <a:rPr lang="en-US" b="1" baseline="-25000"/>
              <a:t>2</a:t>
            </a:r>
            <a:r>
              <a:rPr lang="en-US" b="1"/>
              <a:t>e, 2018</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C1-4B5C-AE96-3F547E850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C1-4B5C-AE96-3F547E8503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C1-4B5C-AE96-3F547E8503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C1-4B5C-AE96-3F547E8503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C1-4B5C-AE96-3F547E8503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C1-4B5C-AE96-3F547E8503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C1-4B5C-AE96-3F547E85037F}"/>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Dashboard!$N$47:$N$52</c:f>
              <c:strCache>
                <c:ptCount val="6"/>
                <c:pt idx="0">
                  <c:v>Road Transport</c:v>
                </c:pt>
                <c:pt idx="1">
                  <c:v>Rail_diesel</c:v>
                </c:pt>
                <c:pt idx="2">
                  <c:v>Rail_electric</c:v>
                </c:pt>
                <c:pt idx="3">
                  <c:v>Aviation</c:v>
                </c:pt>
                <c:pt idx="4">
                  <c:v>Shipping</c:v>
                </c:pt>
                <c:pt idx="5">
                  <c:v>NRMM</c:v>
                </c:pt>
              </c:strCache>
            </c:strRef>
          </c:cat>
          <c:val>
            <c:numRef>
              <c:f>Dashboard!$O$47:$O$52</c:f>
              <c:numCache>
                <c:formatCode>0.00</c:formatCode>
                <c:ptCount val="6"/>
                <c:pt idx="0">
                  <c:v>6.2204863894384603</c:v>
                </c:pt>
                <c:pt idx="1">
                  <c:v>7.7994893509336638E-2</c:v>
                </c:pt>
                <c:pt idx="2">
                  <c:v>0.51696111278062928</c:v>
                </c:pt>
                <c:pt idx="3">
                  <c:v>1.0162493037802147</c:v>
                </c:pt>
                <c:pt idx="4">
                  <c:v>4.0106479659647032E-2</c:v>
                </c:pt>
                <c:pt idx="5">
                  <c:v>0.2375850642750314</c:v>
                </c:pt>
              </c:numCache>
            </c:numRef>
          </c:val>
          <c:extLst>
            <c:ext xmlns:c16="http://schemas.microsoft.com/office/drawing/2014/chart" uri="{C3380CC4-5D6E-409C-BE32-E72D297353CC}">
              <c16:uniqueId val="{00000000-93C3-4C2D-8C0F-57C74DFB9ED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IPPU CO</a:t>
            </a:r>
            <a:r>
              <a:rPr lang="en-US" b="1" baseline="-25000"/>
              <a:t>2</a:t>
            </a:r>
            <a:r>
              <a:rPr lang="en-US" b="1"/>
              <a:t>e emissions, 2018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9-4C75-B4E1-2BD41550A6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C-4075-A2D4-6932EF34908A}"/>
              </c:ext>
            </c:extLst>
          </c:dPt>
          <c:dLbls>
            <c:dLbl>
              <c:idx val="0"/>
              <c:delete val="1"/>
              <c:extLst>
                <c:ext xmlns:c15="http://schemas.microsoft.com/office/drawing/2012/chart" uri="{CE6537A1-D6FC-4f65-9D91-7224C49458BB}"/>
                <c:ext xmlns:c16="http://schemas.microsoft.com/office/drawing/2014/chart" uri="{C3380CC4-5D6E-409C-BE32-E72D297353CC}">
                  <c16:uniqueId val="{00000001-8E19-4C75-B4E1-2BD41550A6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Dashboard!$N$66:$N$67</c:f>
              <c:strCache>
                <c:ptCount val="2"/>
                <c:pt idx="0">
                  <c:v>Industrial Processes</c:v>
                </c:pt>
                <c:pt idx="1">
                  <c:v>Product Use</c:v>
                </c:pt>
              </c:strCache>
            </c:strRef>
          </c:cat>
          <c:val>
            <c:numRef>
              <c:f>Dashboard!$O$66:$O$67</c:f>
              <c:numCache>
                <c:formatCode>0.00</c:formatCode>
                <c:ptCount val="2"/>
                <c:pt idx="0">
                  <c:v>0</c:v>
                </c:pt>
                <c:pt idx="1">
                  <c:v>1.825695847836674</c:v>
                </c:pt>
              </c:numCache>
            </c:numRef>
          </c:val>
          <c:extLst>
            <c:ext xmlns:c16="http://schemas.microsoft.com/office/drawing/2014/chart" uri="{C3380CC4-5D6E-409C-BE32-E72D297353CC}">
              <c16:uniqueId val="{00000000-8E19-4C75-B4E1-2BD41550A6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Agriculture CO</a:t>
            </a:r>
            <a:r>
              <a:rPr lang="en-US" b="1" baseline="-25000"/>
              <a:t>2</a:t>
            </a:r>
            <a:r>
              <a:rPr lang="en-US" b="1"/>
              <a:t>e emissions, 2018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9F-480C-AA18-DABB653401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9F-480C-AA18-DABB653401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9F-480C-AA18-DABB653401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9F-480C-AA18-DABB653401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Dashboard!$N$84:$N$87</c:f>
              <c:strCache>
                <c:ptCount val="4"/>
                <c:pt idx="0">
                  <c:v>Livestock</c:v>
                </c:pt>
                <c:pt idx="1">
                  <c:v>Land</c:v>
                </c:pt>
                <c:pt idx="2">
                  <c:v>Aggregate Sources and Non-CO2 Emissions Sources on Land</c:v>
                </c:pt>
                <c:pt idx="3">
                  <c:v>Other</c:v>
                </c:pt>
              </c:strCache>
            </c:strRef>
          </c:cat>
          <c:val>
            <c:numRef>
              <c:f>Dashboard!$O$84:$O$87</c:f>
              <c:numCache>
                <c:formatCode>0.00</c:formatCode>
                <c:ptCount val="4"/>
                <c:pt idx="0">
                  <c:v>1.0356521475130005E-2</c:v>
                </c:pt>
                <c:pt idx="1">
                  <c:v>0.10236322178856604</c:v>
                </c:pt>
                <c:pt idx="2">
                  <c:v>0</c:v>
                </c:pt>
                <c:pt idx="3">
                  <c:v>6.4362579149010966E-3</c:v>
                </c:pt>
              </c:numCache>
            </c:numRef>
          </c:val>
          <c:extLst>
            <c:ext xmlns:c16="http://schemas.microsoft.com/office/drawing/2014/chart" uri="{C3380CC4-5D6E-409C-BE32-E72D297353CC}">
              <c16:uniqueId val="{00000000-D220-4F95-9814-7A81D6DA65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Waste CO</a:t>
            </a:r>
            <a:r>
              <a:rPr lang="en-GB" b="1" baseline="-25000"/>
              <a:t>2</a:t>
            </a:r>
            <a:r>
              <a:rPr lang="en-GB" b="1"/>
              <a:t>e,</a:t>
            </a:r>
            <a:r>
              <a:rPr lang="en-GB" b="1" baseline="0"/>
              <a:t> 2018</a:t>
            </a:r>
            <a:endParaRPr lang="en-GB" b="1"/>
          </a:p>
        </c:rich>
      </c:tx>
      <c:layout>
        <c:manualLayout>
          <c:xMode val="edge"/>
          <c:yMode val="edge"/>
          <c:x val="0.41504855643044625"/>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76-4444-B89E-24FED5FFD6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76-4444-B89E-24FED5FFD6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76-4444-B89E-24FED5FFD602}"/>
              </c:ext>
            </c:extLst>
          </c:dPt>
          <c:dLbls>
            <c:dLbl>
              <c:idx val="1"/>
              <c:layout>
                <c:manualLayout>
                  <c:x val="-5.6651046149595673E-2"/>
                  <c:y val="-5.2392578408613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76-4444-B89E-24FED5FFD6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Dashboard!$N$99:$N$101</c:f>
              <c:strCache>
                <c:ptCount val="3"/>
                <c:pt idx="0">
                  <c:v>Solid waste disposal</c:v>
                </c:pt>
                <c:pt idx="1">
                  <c:v>Biological treatment of waste</c:v>
                </c:pt>
                <c:pt idx="2">
                  <c:v>Wastewater treatment and discharge</c:v>
                </c:pt>
              </c:strCache>
            </c:strRef>
          </c:cat>
          <c:val>
            <c:numRef>
              <c:f>Dashboard!$O$99:$O$101</c:f>
              <c:numCache>
                <c:formatCode>_(* #,##0.00_);_(* \(#,##0.00\);_(* "-"??_);_(@_)</c:formatCode>
                <c:ptCount val="3"/>
                <c:pt idx="0">
                  <c:v>0.67500000000000004</c:v>
                </c:pt>
                <c:pt idx="1">
                  <c:v>2.8922562187199991E-2</c:v>
                </c:pt>
                <c:pt idx="2">
                  <c:v>0.46298820000000002</c:v>
                </c:pt>
              </c:numCache>
            </c:numRef>
          </c:val>
          <c:extLst>
            <c:ext xmlns:c16="http://schemas.microsoft.com/office/drawing/2014/chart" uri="{C3380CC4-5D6E-409C-BE32-E72D297353CC}">
              <c16:uniqueId val="{00000000-3657-43DC-8997-5314A2E597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CO</a:t>
            </a:r>
            <a:r>
              <a:rPr lang="en-GB" baseline="-25000"/>
              <a:t>2</a:t>
            </a:r>
            <a:r>
              <a:rPr lang="en-GB"/>
              <a:t>e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Dashboard!$N$114</c:f>
              <c:strCache>
                <c:ptCount val="1"/>
                <c:pt idx="0">
                  <c:v>Domestic</c:v>
                </c:pt>
              </c:strCache>
            </c:strRef>
          </c:tx>
          <c:spPr>
            <a:solidFill>
              <a:schemeClr val="accent1"/>
            </a:solidFill>
            <a:ln>
              <a:noFill/>
            </a:ln>
            <a:effectLst/>
          </c:spPr>
          <c:invertIfNegative val="0"/>
          <c:cat>
            <c:numRef>
              <c:f>Dashboard!$O$113:$AH$113</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Dashboard!$O$114:$AH$114</c:f>
              <c:numCache>
                <c:formatCode>0.00</c:formatCode>
                <c:ptCount val="20"/>
                <c:pt idx="0">
                  <c:v>15.84</c:v>
                </c:pt>
                <c:pt idx="1">
                  <c:v>17.536663452518578</c:v>
                </c:pt>
                <c:pt idx="2">
                  <c:v>17.791542439466198</c:v>
                </c:pt>
                <c:pt idx="3">
                  <c:v>17.950073834644932</c:v>
                </c:pt>
                <c:pt idx="4">
                  <c:v>18.108605229823667</c:v>
                </c:pt>
                <c:pt idx="5">
                  <c:v>16.848706487438324</c:v>
                </c:pt>
                <c:pt idx="6">
                  <c:v>17.30996</c:v>
                </c:pt>
                <c:pt idx="7">
                  <c:v>17.224459999999997</c:v>
                </c:pt>
                <c:pt idx="8">
                  <c:v>16.838250000000002</c:v>
                </c:pt>
                <c:pt idx="9">
                  <c:v>16.925860000000004</c:v>
                </c:pt>
                <c:pt idx="10">
                  <c:v>15.251250000000001</c:v>
                </c:pt>
                <c:pt idx="11">
                  <c:v>15.884247297054664</c:v>
                </c:pt>
                <c:pt idx="12">
                  <c:v>13.943076901887913</c:v>
                </c:pt>
                <c:pt idx="13">
                  <c:v>15.342948224642974</c:v>
                </c:pt>
                <c:pt idx="14">
                  <c:v>14.909872299554445</c:v>
                </c:pt>
                <c:pt idx="15">
                  <c:v>13.381977390041097</c:v>
                </c:pt>
                <c:pt idx="16">
                  <c:v>12.129001775718693</c:v>
                </c:pt>
                <c:pt idx="17">
                  <c:v>11.399518991473553</c:v>
                </c:pt>
                <c:pt idx="18">
                  <c:v>11.336967484360846</c:v>
                </c:pt>
                <c:pt idx="19">
                  <c:v>10.567739756779782</c:v>
                </c:pt>
              </c:numCache>
            </c:numRef>
          </c:val>
          <c:extLst>
            <c:ext xmlns:c16="http://schemas.microsoft.com/office/drawing/2014/chart" uri="{C3380CC4-5D6E-409C-BE32-E72D297353CC}">
              <c16:uniqueId val="{00000002-8BC6-4521-ADC2-C8AA6485BB11}"/>
            </c:ext>
          </c:extLst>
        </c:ser>
        <c:ser>
          <c:idx val="7"/>
          <c:order val="1"/>
          <c:tx>
            <c:strRef>
              <c:f>Dashboard!$N$115</c:f>
              <c:strCache>
                <c:ptCount val="1"/>
                <c:pt idx="0">
                  <c:v>Industrial &amp; Commercial</c:v>
                </c:pt>
              </c:strCache>
            </c:strRef>
          </c:tx>
          <c:spPr>
            <a:solidFill>
              <a:schemeClr val="accent2">
                <a:lumMod val="60000"/>
              </a:schemeClr>
            </a:solidFill>
            <a:ln>
              <a:noFill/>
            </a:ln>
            <a:effectLst/>
          </c:spPr>
          <c:invertIfNegative val="0"/>
          <c:cat>
            <c:numRef>
              <c:f>Dashboard!$O$113:$AH$113</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Dashboard!$O$115:$AH$115</c:f>
              <c:numCache>
                <c:formatCode>0.00</c:formatCode>
                <c:ptCount val="20"/>
                <c:pt idx="0">
                  <c:v>19.739999999999998</c:v>
                </c:pt>
                <c:pt idx="1">
                  <c:v>24.06439736844953</c:v>
                </c:pt>
                <c:pt idx="2">
                  <c:v>21.757410238405313</c:v>
                </c:pt>
                <c:pt idx="3">
                  <c:v>21.102602551810513</c:v>
                </c:pt>
                <c:pt idx="4">
                  <c:v>20.447794865215712</c:v>
                </c:pt>
                <c:pt idx="5">
                  <c:v>20.054620596406679</c:v>
                </c:pt>
                <c:pt idx="6">
                  <c:v>19.229485935633587</c:v>
                </c:pt>
                <c:pt idx="7">
                  <c:v>20.620087344655516</c:v>
                </c:pt>
                <c:pt idx="8">
                  <c:v>19.847267344655517</c:v>
                </c:pt>
                <c:pt idx="9">
                  <c:v>19.851689294530832</c:v>
                </c:pt>
                <c:pt idx="10">
                  <c:v>17.37830929453083</c:v>
                </c:pt>
                <c:pt idx="11">
                  <c:v>18.223314387780338</c:v>
                </c:pt>
                <c:pt idx="12">
                  <c:v>16.118936530412956</c:v>
                </c:pt>
                <c:pt idx="13">
                  <c:v>18.402126739177714</c:v>
                </c:pt>
                <c:pt idx="14">
                  <c:v>17.285541393485385</c:v>
                </c:pt>
                <c:pt idx="15">
                  <c:v>15.986608773965372</c:v>
                </c:pt>
                <c:pt idx="16">
                  <c:v>13.497882454018137</c:v>
                </c:pt>
                <c:pt idx="17">
                  <c:v>11.625141355846177</c:v>
                </c:pt>
                <c:pt idx="18">
                  <c:v>10.992647545128374</c:v>
                </c:pt>
                <c:pt idx="19">
                  <c:v>10.419463682626466</c:v>
                </c:pt>
              </c:numCache>
            </c:numRef>
          </c:val>
          <c:extLst>
            <c:ext xmlns:c16="http://schemas.microsoft.com/office/drawing/2014/chart" uri="{C3380CC4-5D6E-409C-BE32-E72D297353CC}">
              <c16:uniqueId val="{00000000-D202-4606-8CFD-6461D14EF30C}"/>
            </c:ext>
          </c:extLst>
        </c:ser>
        <c:ser>
          <c:idx val="2"/>
          <c:order val="2"/>
          <c:tx>
            <c:strRef>
              <c:f>Dashboard!$N$116</c:f>
              <c:strCache>
                <c:ptCount val="1"/>
                <c:pt idx="0">
                  <c:v>Transport</c:v>
                </c:pt>
              </c:strCache>
            </c:strRef>
          </c:tx>
          <c:spPr>
            <a:solidFill>
              <a:schemeClr val="accent3"/>
            </a:solidFill>
            <a:ln>
              <a:noFill/>
            </a:ln>
            <a:effectLst/>
          </c:spPr>
          <c:invertIfNegative val="0"/>
          <c:cat>
            <c:numRef>
              <c:f>Dashboard!$O$113:$AH$113</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Dashboard!$O$116:$AH$116</c:f>
              <c:numCache>
                <c:formatCode>0.00</c:formatCode>
                <c:ptCount val="20"/>
                <c:pt idx="0">
                  <c:v>9.4742967447756588</c:v>
                </c:pt>
                <c:pt idx="1">
                  <c:v>8.7129081507520318</c:v>
                </c:pt>
                <c:pt idx="2">
                  <c:v>9.3089775989662691</c:v>
                </c:pt>
                <c:pt idx="3">
                  <c:v>9.8815826110178921</c:v>
                </c:pt>
                <c:pt idx="4">
                  <c:v>10.454187623069517</c:v>
                </c:pt>
                <c:pt idx="5">
                  <c:v>9.6540478556220997</c:v>
                </c:pt>
                <c:pt idx="6">
                  <c:v>9.8615973693906565</c:v>
                </c:pt>
                <c:pt idx="7">
                  <c:v>9.7935291321665705</c:v>
                </c:pt>
                <c:pt idx="8">
                  <c:v>9.7935291321665705</c:v>
                </c:pt>
                <c:pt idx="9">
                  <c:v>9.8950981968215466</c:v>
                </c:pt>
                <c:pt idx="10">
                  <c:v>9.8950981968215466</c:v>
                </c:pt>
                <c:pt idx="11">
                  <c:v>8.5150214187329727</c:v>
                </c:pt>
                <c:pt idx="12">
                  <c:v>8.5783582987357399</c:v>
                </c:pt>
                <c:pt idx="13">
                  <c:v>8.5783582987357399</c:v>
                </c:pt>
                <c:pt idx="14">
                  <c:v>8.679569809333568</c:v>
                </c:pt>
                <c:pt idx="15">
                  <c:v>8.5745973625027609</c:v>
                </c:pt>
                <c:pt idx="16">
                  <c:v>8.2824103709615073</c:v>
                </c:pt>
                <c:pt idx="17">
                  <c:v>8.3312447261459646</c:v>
                </c:pt>
                <c:pt idx="18">
                  <c:v>7.9592859750658551</c:v>
                </c:pt>
                <c:pt idx="19">
                  <c:v>8.10938324344332</c:v>
                </c:pt>
              </c:numCache>
            </c:numRef>
          </c:val>
          <c:extLst>
            <c:ext xmlns:c16="http://schemas.microsoft.com/office/drawing/2014/chart" uri="{C3380CC4-5D6E-409C-BE32-E72D297353CC}">
              <c16:uniqueId val="{00000004-8BC6-4521-ADC2-C8AA6485BB11}"/>
            </c:ext>
          </c:extLst>
        </c:ser>
        <c:ser>
          <c:idx val="3"/>
          <c:order val="3"/>
          <c:tx>
            <c:strRef>
              <c:f>Dashboard!$N$117</c:f>
              <c:strCache>
                <c:ptCount val="1"/>
                <c:pt idx="0">
                  <c:v>IPPU</c:v>
                </c:pt>
              </c:strCache>
            </c:strRef>
          </c:tx>
          <c:spPr>
            <a:solidFill>
              <a:schemeClr val="accent4"/>
            </a:solidFill>
            <a:ln>
              <a:noFill/>
            </a:ln>
            <a:effectLst/>
          </c:spPr>
          <c:invertIfNegative val="0"/>
          <c:cat>
            <c:numRef>
              <c:f>Dashboard!$O$113:$AH$113</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Dashboard!$O$117:$AH$117</c:f>
              <c:numCache>
                <c:formatCode>0.00</c:formatCode>
                <c:ptCount val="20"/>
                <c:pt idx="0">
                  <c:v>0.1353614480747207</c:v>
                </c:pt>
                <c:pt idx="1">
                  <c:v>0.47769356014084075</c:v>
                </c:pt>
                <c:pt idx="2">
                  <c:v>0.82002567220696077</c:v>
                </c:pt>
                <c:pt idx="3">
                  <c:v>1.1623577842730808</c:v>
                </c:pt>
                <c:pt idx="4">
                  <c:v>1.504689896339201</c:v>
                </c:pt>
                <c:pt idx="5">
                  <c:v>1.647091885301589</c:v>
                </c:pt>
                <c:pt idx="6">
                  <c:v>1.8176196885080351</c:v>
                </c:pt>
                <c:pt idx="7">
                  <c:v>1.9187888333323815</c:v>
                </c:pt>
                <c:pt idx="8">
                  <c:v>2.0151516298772565</c:v>
                </c:pt>
                <c:pt idx="9">
                  <c:v>2.0776144178820997</c:v>
                </c:pt>
                <c:pt idx="10">
                  <c:v>2.1595778697555623</c:v>
                </c:pt>
                <c:pt idx="11">
                  <c:v>2.2869816644319361</c:v>
                </c:pt>
                <c:pt idx="12">
                  <c:v>2.0713508781937842</c:v>
                </c:pt>
                <c:pt idx="13">
                  <c:v>2.145738402109032</c:v>
                </c:pt>
                <c:pt idx="14">
                  <c:v>2.1839809917178226</c:v>
                </c:pt>
                <c:pt idx="15">
                  <c:v>2.2130468519393287</c:v>
                </c:pt>
                <c:pt idx="16">
                  <c:v>2.2115426661086151</c:v>
                </c:pt>
                <c:pt idx="17">
                  <c:v>2.1121711517106307</c:v>
                </c:pt>
                <c:pt idx="18">
                  <c:v>1.969070478008512</c:v>
                </c:pt>
                <c:pt idx="19">
                  <c:v>1.825695847836674</c:v>
                </c:pt>
              </c:numCache>
            </c:numRef>
          </c:val>
          <c:extLst>
            <c:ext xmlns:c16="http://schemas.microsoft.com/office/drawing/2014/chart" uri="{C3380CC4-5D6E-409C-BE32-E72D297353CC}">
              <c16:uniqueId val="{00000005-8BC6-4521-ADC2-C8AA6485BB11}"/>
            </c:ext>
          </c:extLst>
        </c:ser>
        <c:ser>
          <c:idx val="4"/>
          <c:order val="4"/>
          <c:tx>
            <c:strRef>
              <c:f>Dashboard!$N$118</c:f>
              <c:strCache>
                <c:ptCount val="1"/>
                <c:pt idx="0">
                  <c:v>AFOLU</c:v>
                </c:pt>
              </c:strCache>
            </c:strRef>
          </c:tx>
          <c:spPr>
            <a:solidFill>
              <a:schemeClr val="accent5"/>
            </a:solidFill>
            <a:ln>
              <a:noFill/>
            </a:ln>
            <a:effectLst/>
          </c:spPr>
          <c:invertIfNegative val="0"/>
          <c:cat>
            <c:numRef>
              <c:f>Dashboard!$O$113:$AH$113</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Dashboard!$O$118:$AH$118</c:f>
              <c:numCache>
                <c:formatCode>0.00</c:formatCode>
                <c:ptCount val="20"/>
                <c:pt idx="0">
                  <c:v>0.17513570513644833</c:v>
                </c:pt>
                <c:pt idx="1">
                  <c:v>0.15914202664467167</c:v>
                </c:pt>
                <c:pt idx="2">
                  <c:v>0.15495609776081309</c:v>
                </c:pt>
                <c:pt idx="3">
                  <c:v>0.15179331585624331</c:v>
                </c:pt>
                <c:pt idx="4">
                  <c:v>0.14886983526806588</c:v>
                </c:pt>
                <c:pt idx="5">
                  <c:v>0.14524754403292892</c:v>
                </c:pt>
                <c:pt idx="6">
                  <c:v>0.13978790895125826</c:v>
                </c:pt>
                <c:pt idx="7">
                  <c:v>0.13786641788568846</c:v>
                </c:pt>
                <c:pt idx="8">
                  <c:v>0.1328227661071083</c:v>
                </c:pt>
                <c:pt idx="9">
                  <c:v>0.131763405602009</c:v>
                </c:pt>
                <c:pt idx="10">
                  <c:v>0.13008770028517147</c:v>
                </c:pt>
                <c:pt idx="11">
                  <c:v>0.13167993598647706</c:v>
                </c:pt>
                <c:pt idx="12">
                  <c:v>0.13005865724441698</c:v>
                </c:pt>
                <c:pt idx="13">
                  <c:v>0.12859199072580074</c:v>
                </c:pt>
                <c:pt idx="14">
                  <c:v>0.12498550225121033</c:v>
                </c:pt>
                <c:pt idx="15">
                  <c:v>0.12768741401616332</c:v>
                </c:pt>
                <c:pt idx="16">
                  <c:v>0.12203970530081183</c:v>
                </c:pt>
                <c:pt idx="17">
                  <c:v>0.12233576616739357</c:v>
                </c:pt>
                <c:pt idx="18">
                  <c:v>0.11934517704304023</c:v>
                </c:pt>
                <c:pt idx="19">
                  <c:v>0.11915600117859715</c:v>
                </c:pt>
              </c:numCache>
            </c:numRef>
          </c:val>
          <c:extLst>
            <c:ext xmlns:c16="http://schemas.microsoft.com/office/drawing/2014/chart" uri="{C3380CC4-5D6E-409C-BE32-E72D297353CC}">
              <c16:uniqueId val="{00000006-8BC6-4521-ADC2-C8AA6485BB11}"/>
            </c:ext>
          </c:extLst>
        </c:ser>
        <c:ser>
          <c:idx val="5"/>
          <c:order val="5"/>
          <c:tx>
            <c:strRef>
              <c:f>Dashboard!$N$119</c:f>
              <c:strCache>
                <c:ptCount val="1"/>
                <c:pt idx="0">
                  <c:v>Waste</c:v>
                </c:pt>
              </c:strCache>
            </c:strRef>
          </c:tx>
          <c:spPr>
            <a:solidFill>
              <a:schemeClr val="accent6"/>
            </a:solidFill>
            <a:ln>
              <a:noFill/>
            </a:ln>
            <a:effectLst/>
          </c:spPr>
          <c:invertIfNegative val="0"/>
          <c:cat>
            <c:numRef>
              <c:f>Dashboard!$O$113:$AH$113</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Dashboard!$O$119:$AH$119</c:f>
              <c:numCache>
                <c:formatCode>0.00</c:formatCode>
                <c:ptCount val="20"/>
                <c:pt idx="0">
                  <c:v>0</c:v>
                </c:pt>
                <c:pt idx="1">
                  <c:v>0</c:v>
                </c:pt>
                <c:pt idx="2">
                  <c:v>0</c:v>
                </c:pt>
                <c:pt idx="3">
                  <c:v>0</c:v>
                </c:pt>
                <c:pt idx="4">
                  <c:v>0</c:v>
                </c:pt>
                <c:pt idx="5">
                  <c:v>0</c:v>
                </c:pt>
                <c:pt idx="6">
                  <c:v>0</c:v>
                </c:pt>
                <c:pt idx="7">
                  <c:v>0</c:v>
                </c:pt>
                <c:pt idx="8">
                  <c:v>0</c:v>
                </c:pt>
                <c:pt idx="9">
                  <c:v>0.69020713027510983</c:v>
                </c:pt>
                <c:pt idx="10">
                  <c:v>0.67180502596569047</c:v>
                </c:pt>
                <c:pt idx="11">
                  <c:v>0.65031794749618133</c:v>
                </c:pt>
                <c:pt idx="12">
                  <c:v>0.6291802372083598</c:v>
                </c:pt>
                <c:pt idx="13">
                  <c:v>0.60769623971258402</c:v>
                </c:pt>
                <c:pt idx="14">
                  <c:v>1.0949687961684849</c:v>
                </c:pt>
                <c:pt idx="15">
                  <c:v>1.1136536778386306</c:v>
                </c:pt>
                <c:pt idx="16">
                  <c:v>1.1226206819091575</c:v>
                </c:pt>
                <c:pt idx="17">
                  <c:v>1.1365655297554109</c:v>
                </c:pt>
                <c:pt idx="18">
                  <c:v>1.1787659735322711</c:v>
                </c:pt>
                <c:pt idx="19">
                  <c:v>1.1669107621872001</c:v>
                </c:pt>
              </c:numCache>
            </c:numRef>
          </c:val>
          <c:extLst>
            <c:ext xmlns:c16="http://schemas.microsoft.com/office/drawing/2014/chart" uri="{C3380CC4-5D6E-409C-BE32-E72D297353CC}">
              <c16:uniqueId val="{00000007-8BC6-4521-ADC2-C8AA6485BB11}"/>
            </c:ext>
          </c:extLst>
        </c:ser>
        <c:dLbls>
          <c:showLegendKey val="0"/>
          <c:showVal val="0"/>
          <c:showCatName val="0"/>
          <c:showSerName val="0"/>
          <c:showPercent val="0"/>
          <c:showBubbleSize val="0"/>
        </c:dLbls>
        <c:gapWidth val="150"/>
        <c:overlap val="100"/>
        <c:axId val="748903368"/>
        <c:axId val="748905992"/>
      </c:barChart>
      <c:lineChart>
        <c:grouping val="stacked"/>
        <c:varyColors val="0"/>
        <c:ser>
          <c:idx val="6"/>
          <c:order val="6"/>
          <c:tx>
            <c:strRef>
              <c:f>Dashboard!$N$120</c:f>
              <c:strCache>
                <c:ptCount val="1"/>
                <c:pt idx="0">
                  <c:v>Total</c:v>
                </c:pt>
              </c:strCache>
            </c:strRef>
          </c:tx>
          <c:spPr>
            <a:ln w="28575" cap="rnd">
              <a:noFill/>
              <a:round/>
            </a:ln>
            <a:effectLst/>
          </c:spPr>
          <c:marker>
            <c:symbol val="dash"/>
            <c:size val="9"/>
            <c:spPr>
              <a:solidFill>
                <a:schemeClr val="tx1">
                  <a:lumMod val="95000"/>
                  <a:lumOff val="5000"/>
                </a:schemeClr>
              </a:solidFill>
              <a:ln w="9525">
                <a:solidFill>
                  <a:schemeClr val="tx1">
                    <a:lumMod val="95000"/>
                    <a:lumOff val="5000"/>
                  </a:schemeClr>
                </a:solidFill>
              </a:ln>
              <a:effectLst/>
            </c:spPr>
          </c:marker>
          <c:cat>
            <c:numRef>
              <c:f>Dashboard!$O$113:$AH$113</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Dashboard!$O$120:$AH$120</c:f>
              <c:numCache>
                <c:formatCode>0.00</c:formatCode>
                <c:ptCount val="20"/>
                <c:pt idx="0">
                  <c:v>45.364793897986821</c:v>
                </c:pt>
                <c:pt idx="1">
                  <c:v>50.950804558505659</c:v>
                </c:pt>
                <c:pt idx="2">
                  <c:v>49.832912046805546</c:v>
                </c:pt>
                <c:pt idx="3">
                  <c:v>50.248410097602665</c:v>
                </c:pt>
                <c:pt idx="4">
                  <c:v>50.664147449716161</c:v>
                </c:pt>
                <c:pt idx="5">
                  <c:v>48.349714368801614</c:v>
                </c:pt>
                <c:pt idx="6">
                  <c:v>48.358450902483533</c:v>
                </c:pt>
                <c:pt idx="7">
                  <c:v>49.694731728040146</c:v>
                </c:pt>
                <c:pt idx="8">
                  <c:v>48.627020872806462</c:v>
                </c:pt>
                <c:pt idx="9">
                  <c:v>49.572232445111602</c:v>
                </c:pt>
                <c:pt idx="10">
                  <c:v>45.4861280873588</c:v>
                </c:pt>
                <c:pt idx="11">
                  <c:v>45.69156265148257</c:v>
                </c:pt>
                <c:pt idx="12">
                  <c:v>41.470961503683171</c:v>
                </c:pt>
                <c:pt idx="13">
                  <c:v>45.205459895103836</c:v>
                </c:pt>
                <c:pt idx="14">
                  <c:v>44.278918792510922</c:v>
                </c:pt>
                <c:pt idx="15">
                  <c:v>41.397571470303355</c:v>
                </c:pt>
                <c:pt idx="16">
                  <c:v>37.36549765401692</c:v>
                </c:pt>
                <c:pt idx="17">
                  <c:v>34.72697752109913</c:v>
                </c:pt>
                <c:pt idx="18">
                  <c:v>33.556082633138892</c:v>
                </c:pt>
                <c:pt idx="19">
                  <c:v>32.208349294052042</c:v>
                </c:pt>
              </c:numCache>
            </c:numRef>
          </c:val>
          <c:smooth val="0"/>
          <c:extLst>
            <c:ext xmlns:c16="http://schemas.microsoft.com/office/drawing/2014/chart" uri="{C3380CC4-5D6E-409C-BE32-E72D297353CC}">
              <c16:uniqueId val="{00000000-A26E-44E8-90B6-4D50D907D6D3}"/>
            </c:ext>
          </c:extLst>
        </c:ser>
        <c:dLbls>
          <c:showLegendKey val="0"/>
          <c:showVal val="0"/>
          <c:showCatName val="0"/>
          <c:showSerName val="0"/>
          <c:showPercent val="0"/>
          <c:showBubbleSize val="0"/>
        </c:dLbls>
        <c:marker val="1"/>
        <c:smooth val="0"/>
        <c:axId val="748903368"/>
        <c:axId val="748905992"/>
      </c:lineChart>
      <c:catAx>
        <c:axId val="748903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5992"/>
        <c:crosses val="autoZero"/>
        <c:auto val="1"/>
        <c:lblAlgn val="ctr"/>
        <c:lblOffset val="100"/>
        <c:noMultiLvlLbl val="0"/>
      </c:catAx>
      <c:valAx>
        <c:axId val="748905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a:t>
                </a:r>
                <a:r>
                  <a:rPr lang="en-GB"/>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Domestic CO</a:t>
            </a:r>
            <a:r>
              <a:rPr lang="en-US" sz="1400" b="1" i="0" u="none" strike="noStrike" baseline="-25000">
                <a:effectLst/>
              </a:rPr>
              <a:t>2</a:t>
            </a:r>
            <a:r>
              <a:rPr lang="en-US" sz="1400" b="1" i="0" u="none" strike="noStrike" baseline="0">
                <a:effectLst/>
              </a:rPr>
              <a:t>e emissions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Dashboard!$N$127</c:f>
              <c:strCache>
                <c:ptCount val="1"/>
                <c:pt idx="0">
                  <c:v> Gas </c:v>
                </c:pt>
              </c:strCache>
            </c:strRef>
          </c:tx>
          <c:spPr>
            <a:solidFill>
              <a:schemeClr val="accent1"/>
            </a:solidFill>
            <a:ln>
              <a:noFill/>
            </a:ln>
            <a:effectLst/>
          </c:spPr>
          <c:invertIfNegative val="0"/>
          <c:cat>
            <c:numRef>
              <c:f>Dashboard!$O$126:$AH$126</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Dashboard!$O$127:$AH$127</c:f>
              <c:numCache>
                <c:formatCode>_(* #,##0.00_);_(* \(#,##0.00\);_(* "-"??_);_(@_)</c:formatCode>
                <c:ptCount val="20"/>
                <c:pt idx="0">
                  <c:v>0</c:v>
                </c:pt>
                <c:pt idx="1">
                  <c:v>10.127454999999999</c:v>
                </c:pt>
                <c:pt idx="2">
                  <c:v>11.956178905651292</c:v>
                </c:pt>
                <c:pt idx="3">
                  <c:v>11.098927377825646</c:v>
                </c:pt>
                <c:pt idx="4">
                  <c:v>10.24167585</c:v>
                </c:pt>
                <c:pt idx="5">
                  <c:v>9.8750504019999994</c:v>
                </c:pt>
                <c:pt idx="6">
                  <c:v>9.8276800000000009</c:v>
                </c:pt>
                <c:pt idx="7">
                  <c:v>9.4245000000000001</c:v>
                </c:pt>
                <c:pt idx="8">
                  <c:v>8.978489999999999</c:v>
                </c:pt>
                <c:pt idx="9">
                  <c:v>9.2536900000000006</c:v>
                </c:pt>
                <c:pt idx="10">
                  <c:v>8.3097000000000012</c:v>
                </c:pt>
                <c:pt idx="11">
                  <c:v>9.0943183269235703</c:v>
                </c:pt>
                <c:pt idx="12">
                  <c:v>7.3828567054088987</c:v>
                </c:pt>
                <c:pt idx="13">
                  <c:v>8.1157388566271482</c:v>
                </c:pt>
                <c:pt idx="14">
                  <c:v>8.2535815599848394</c:v>
                </c:pt>
                <c:pt idx="15">
                  <c:v>7.352668040085427</c:v>
                </c:pt>
                <c:pt idx="16">
                  <c:v>7.0425531643137855</c:v>
                </c:pt>
                <c:pt idx="17">
                  <c:v>7.3353172507683739</c:v>
                </c:pt>
                <c:pt idx="18">
                  <c:v>7.6911571116348005</c:v>
                </c:pt>
                <c:pt idx="19">
                  <c:v>7.2891865852251252</c:v>
                </c:pt>
              </c:numCache>
            </c:numRef>
          </c:val>
          <c:extLst>
            <c:ext xmlns:c16="http://schemas.microsoft.com/office/drawing/2014/chart" uri="{C3380CC4-5D6E-409C-BE32-E72D297353CC}">
              <c16:uniqueId val="{00000001-67C5-4318-BCD8-BDDD250B8B71}"/>
            </c:ext>
          </c:extLst>
        </c:ser>
        <c:ser>
          <c:idx val="1"/>
          <c:order val="1"/>
          <c:tx>
            <c:strRef>
              <c:f>Dashboard!$N$128</c:f>
              <c:strCache>
                <c:ptCount val="1"/>
                <c:pt idx="0">
                  <c:v> Electricity </c:v>
                </c:pt>
              </c:strCache>
            </c:strRef>
          </c:tx>
          <c:spPr>
            <a:solidFill>
              <a:schemeClr val="accent2"/>
            </a:solidFill>
            <a:ln>
              <a:noFill/>
            </a:ln>
            <a:effectLst/>
          </c:spPr>
          <c:invertIfNegative val="0"/>
          <c:cat>
            <c:numRef>
              <c:f>Dashboard!$O$126:$AH$126</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Dashboard!$O$128:$AH$128</c:f>
              <c:numCache>
                <c:formatCode>_(* #,##0.00_);_(* \(#,##0.00\);_(* "-"??_);_(@_)</c:formatCode>
                <c:ptCount val="20"/>
                <c:pt idx="0">
                  <c:v>0</c:v>
                </c:pt>
                <c:pt idx="1">
                  <c:v>7.3582039708144755</c:v>
                </c:pt>
                <c:pt idx="2">
                  <c:v>5.6548757727995298</c:v>
                </c:pt>
                <c:pt idx="3">
                  <c:v>6.6664224793614615</c:v>
                </c:pt>
                <c:pt idx="4">
                  <c:v>7.6779691859233923</c:v>
                </c:pt>
                <c:pt idx="5">
                  <c:v>6.9152815520000033</c:v>
                </c:pt>
                <c:pt idx="6">
                  <c:v>7.2495399999999997</c:v>
                </c:pt>
                <c:pt idx="7">
                  <c:v>7.5666499999999992</c:v>
                </c:pt>
                <c:pt idx="8">
                  <c:v>7.6266800000000003</c:v>
                </c:pt>
                <c:pt idx="9">
                  <c:v>7.4347799999999999</c:v>
                </c:pt>
                <c:pt idx="10">
                  <c:v>6.7039999999999997</c:v>
                </c:pt>
                <c:pt idx="11">
                  <c:v>6.6850872196866922</c:v>
                </c:pt>
                <c:pt idx="12">
                  <c:v>6.4672410655730141</c:v>
                </c:pt>
                <c:pt idx="13">
                  <c:v>7.1351061112033713</c:v>
                </c:pt>
                <c:pt idx="14">
                  <c:v>6.5555903145535614</c:v>
                </c:pt>
                <c:pt idx="15">
                  <c:v>5.932990459898476</c:v>
                </c:pt>
                <c:pt idx="16">
                  <c:v>4.9894193021678284</c:v>
                </c:pt>
                <c:pt idx="17">
                  <c:v>3.9686359167283198</c:v>
                </c:pt>
                <c:pt idx="18">
                  <c:v>3.5470061010634684</c:v>
                </c:pt>
                <c:pt idx="19">
                  <c:v>3.1784152814007736</c:v>
                </c:pt>
              </c:numCache>
            </c:numRef>
          </c:val>
          <c:extLst>
            <c:ext xmlns:c16="http://schemas.microsoft.com/office/drawing/2014/chart" uri="{C3380CC4-5D6E-409C-BE32-E72D297353CC}">
              <c16:uniqueId val="{00000002-67C5-4318-BCD8-BDDD250B8B71}"/>
            </c:ext>
          </c:extLst>
        </c:ser>
        <c:ser>
          <c:idx val="2"/>
          <c:order val="2"/>
          <c:tx>
            <c:strRef>
              <c:f>Dashboard!$N$129</c:f>
              <c:strCache>
                <c:ptCount val="1"/>
                <c:pt idx="0">
                  <c:v> Other </c:v>
                </c:pt>
              </c:strCache>
            </c:strRef>
          </c:tx>
          <c:spPr>
            <a:solidFill>
              <a:schemeClr val="accent3"/>
            </a:solidFill>
            <a:ln>
              <a:noFill/>
            </a:ln>
            <a:effectLst/>
          </c:spPr>
          <c:invertIfNegative val="0"/>
          <c:cat>
            <c:numRef>
              <c:f>Dashboard!$O$126:$AH$126</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Dashboard!$O$129:$AH$129</c:f>
              <c:numCache>
                <c:formatCode>_(* #,##0.00_);_(* \(#,##0.00\);_(* "-"??_);_(@_)</c:formatCode>
                <c:ptCount val="20"/>
                <c:pt idx="0">
                  <c:v>0</c:v>
                </c:pt>
                <c:pt idx="1">
                  <c:v>5.100448170410208E-2</c:v>
                </c:pt>
                <c:pt idx="2">
                  <c:v>0.18048776101537697</c:v>
                </c:pt>
                <c:pt idx="3">
                  <c:v>0.18472397745782582</c:v>
                </c:pt>
                <c:pt idx="4">
                  <c:v>0.18896019390027463</c:v>
                </c:pt>
                <c:pt idx="5">
                  <c:v>5.8374533438320012E-2</c:v>
                </c:pt>
                <c:pt idx="6">
                  <c:v>0.23274</c:v>
                </c:pt>
                <c:pt idx="7">
                  <c:v>0.23330999999999999</c:v>
                </c:pt>
                <c:pt idx="8">
                  <c:v>0.23308000000000001</c:v>
                </c:pt>
                <c:pt idx="9">
                  <c:v>0.23738999999999999</c:v>
                </c:pt>
                <c:pt idx="10">
                  <c:v>0.23755000000000001</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3-67C5-4318-BCD8-BDDD250B8B71}"/>
            </c:ext>
          </c:extLst>
        </c:ser>
        <c:ser>
          <c:idx val="3"/>
          <c:order val="3"/>
          <c:tx>
            <c:strRef>
              <c:f>Dashboard!$N$130</c:f>
              <c:strCache>
                <c:ptCount val="1"/>
                <c:pt idx="0">
                  <c:v> Coal </c:v>
                </c:pt>
              </c:strCache>
            </c:strRef>
          </c:tx>
          <c:spPr>
            <a:solidFill>
              <a:schemeClr val="accent4"/>
            </a:solidFill>
            <a:ln>
              <a:noFill/>
            </a:ln>
            <a:effectLst/>
          </c:spPr>
          <c:invertIfNegative val="0"/>
          <c:cat>
            <c:numRef>
              <c:f>Dashboard!$O$126:$AH$126</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Dashboard!$O$130:$AH$130</c:f>
              <c:numCache>
                <c:formatCode>_(* #,##0.00_);_(* \(#,##0.00\);_(* "-"??_);_(@_)</c:formatCode>
                <c:ptCount val="20"/>
                <c:pt idx="0">
                  <c:v>0</c:v>
                </c:pt>
                <c:pt idx="1">
                  <c:v>0</c:v>
                </c:pt>
                <c:pt idx="2">
                  <c:v>0</c:v>
                </c:pt>
                <c:pt idx="3">
                  <c:v>0</c:v>
                </c:pt>
                <c:pt idx="4">
                  <c:v>0</c:v>
                </c:pt>
                <c:pt idx="5">
                  <c:v>0</c:v>
                </c:pt>
                <c:pt idx="6">
                  <c:v>0</c:v>
                </c:pt>
                <c:pt idx="7">
                  <c:v>0</c:v>
                </c:pt>
                <c:pt idx="8">
                  <c:v>0</c:v>
                </c:pt>
                <c:pt idx="9">
                  <c:v>0</c:v>
                </c:pt>
                <c:pt idx="10">
                  <c:v>0</c:v>
                </c:pt>
                <c:pt idx="11">
                  <c:v>4.567152206890001E-2</c:v>
                </c:pt>
                <c:pt idx="12">
                  <c:v>4.2277286216399999E-2</c:v>
                </c:pt>
                <c:pt idx="13">
                  <c:v>4.0754561492381741E-2</c:v>
                </c:pt>
                <c:pt idx="14">
                  <c:v>4.8415189663161003E-2</c:v>
                </c:pt>
                <c:pt idx="15">
                  <c:v>4.414011474616656E-2</c:v>
                </c:pt>
                <c:pt idx="16">
                  <c:v>4.5199186185110131E-2</c:v>
                </c:pt>
                <c:pt idx="17">
                  <c:v>4.2430070138131312E-2</c:v>
                </c:pt>
                <c:pt idx="18">
                  <c:v>5.0006235036843698E-2</c:v>
                </c:pt>
                <c:pt idx="19">
                  <c:v>5.1746621444047042E-2</c:v>
                </c:pt>
              </c:numCache>
            </c:numRef>
          </c:val>
          <c:extLst>
            <c:ext xmlns:c16="http://schemas.microsoft.com/office/drawing/2014/chart" uri="{C3380CC4-5D6E-409C-BE32-E72D297353CC}">
              <c16:uniqueId val="{00000004-67C5-4318-BCD8-BDDD250B8B71}"/>
            </c:ext>
          </c:extLst>
        </c:ser>
        <c:ser>
          <c:idx val="4"/>
          <c:order val="4"/>
          <c:tx>
            <c:strRef>
              <c:f>Dashboard!$N$131</c:f>
              <c:strCache>
                <c:ptCount val="1"/>
                <c:pt idx="0">
                  <c:v> Oil </c:v>
                </c:pt>
              </c:strCache>
            </c:strRef>
          </c:tx>
          <c:spPr>
            <a:solidFill>
              <a:schemeClr val="accent5"/>
            </a:solidFill>
            <a:ln>
              <a:noFill/>
            </a:ln>
            <a:effectLst/>
          </c:spPr>
          <c:invertIfNegative val="0"/>
          <c:cat>
            <c:numRef>
              <c:f>Dashboard!$O$126:$AH$126</c:f>
              <c:numCache>
                <c:formatCode>General</c:formatCode>
                <c:ptCount val="20"/>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Dashboard!$O$131:$AH$131</c:f>
              <c:numCache>
                <c:formatCode>_(* #,##0.00_);_(* \(#,##0.00\);_(* "-"??_);_(@_)</c:formatCode>
                <c:ptCount val="20"/>
                <c:pt idx="0">
                  <c:v>0</c:v>
                </c:pt>
                <c:pt idx="1">
                  <c:v>0</c:v>
                </c:pt>
                <c:pt idx="2">
                  <c:v>0</c:v>
                </c:pt>
                <c:pt idx="3">
                  <c:v>0</c:v>
                </c:pt>
                <c:pt idx="4">
                  <c:v>0</c:v>
                </c:pt>
                <c:pt idx="5">
                  <c:v>0</c:v>
                </c:pt>
                <c:pt idx="6">
                  <c:v>0</c:v>
                </c:pt>
                <c:pt idx="7">
                  <c:v>0</c:v>
                </c:pt>
                <c:pt idx="8">
                  <c:v>0</c:v>
                </c:pt>
                <c:pt idx="9">
                  <c:v>0</c:v>
                </c:pt>
                <c:pt idx="10">
                  <c:v>0</c:v>
                </c:pt>
                <c:pt idx="11">
                  <c:v>5.9170228375500004E-2</c:v>
                </c:pt>
                <c:pt idx="12">
                  <c:v>5.0701844689599998E-2</c:v>
                </c:pt>
                <c:pt idx="13">
                  <c:v>5.1348695320073232E-2</c:v>
                </c:pt>
                <c:pt idx="14">
                  <c:v>5.2285235352885331E-2</c:v>
                </c:pt>
                <c:pt idx="15">
                  <c:v>5.2178775311027235E-2</c:v>
                </c:pt>
                <c:pt idx="16">
                  <c:v>5.1830123051968671E-2</c:v>
                </c:pt>
                <c:pt idx="17">
                  <c:v>5.3135753838727477E-2</c:v>
                </c:pt>
                <c:pt idx="18">
                  <c:v>4.8798036625735397E-2</c:v>
                </c:pt>
                <c:pt idx="19">
                  <c:v>4.8391268709835698E-2</c:v>
                </c:pt>
              </c:numCache>
            </c:numRef>
          </c:val>
          <c:extLst>
            <c:ext xmlns:c16="http://schemas.microsoft.com/office/drawing/2014/chart" uri="{C3380CC4-5D6E-409C-BE32-E72D297353CC}">
              <c16:uniqueId val="{00000005-67C5-4318-BCD8-BDDD250B8B71}"/>
            </c:ext>
          </c:extLst>
        </c:ser>
        <c:dLbls>
          <c:showLegendKey val="0"/>
          <c:showVal val="0"/>
          <c:showCatName val="0"/>
          <c:showSerName val="0"/>
          <c:showPercent val="0"/>
          <c:showBubbleSize val="0"/>
        </c:dLbls>
        <c:gapWidth val="150"/>
        <c:overlap val="100"/>
        <c:axId val="415162808"/>
        <c:axId val="415173632"/>
      </c:barChart>
      <c:catAx>
        <c:axId val="41516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73632"/>
        <c:crosses val="autoZero"/>
        <c:auto val="1"/>
        <c:lblAlgn val="ctr"/>
        <c:lblOffset val="100"/>
        <c:noMultiLvlLbl val="0"/>
      </c:catAx>
      <c:valAx>
        <c:axId val="415173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62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3819525</xdr:colOff>
      <xdr:row>19</xdr:row>
      <xdr:rowOff>38100</xdr:rowOff>
    </xdr:from>
    <xdr:to>
      <xdr:col>1</xdr:col>
      <xdr:colOff>7486650</xdr:colOff>
      <xdr:row>19</xdr:row>
      <xdr:rowOff>2694619</xdr:rowOff>
    </xdr:to>
    <xdr:pic>
      <xdr:nvPicPr>
        <xdr:cNvPr id="3" name="Picture 2">
          <a:extLst>
            <a:ext uri="{FF2B5EF4-FFF2-40B4-BE49-F238E27FC236}">
              <a16:creationId xmlns:a16="http://schemas.microsoft.com/office/drawing/2014/main" id="{BAF3038D-1AFD-4CFC-9873-42D874DCA58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33" r="16003"/>
        <a:stretch/>
      </xdr:blipFill>
      <xdr:spPr>
        <a:xfrm>
          <a:off x="4429125" y="7248525"/>
          <a:ext cx="3667125" cy="2656519"/>
        </a:xfrm>
        <a:prstGeom prst="rect">
          <a:avLst/>
        </a:prstGeom>
      </xdr:spPr>
    </xdr:pic>
    <xdr:clientData/>
  </xdr:twoCellAnchor>
  <xdr:twoCellAnchor editAs="oneCell">
    <xdr:from>
      <xdr:col>1</xdr:col>
      <xdr:colOff>38100</xdr:colOff>
      <xdr:row>0</xdr:row>
      <xdr:rowOff>0</xdr:rowOff>
    </xdr:from>
    <xdr:to>
      <xdr:col>1</xdr:col>
      <xdr:colOff>2057400</xdr:colOff>
      <xdr:row>10</xdr:row>
      <xdr:rowOff>114300</xdr:rowOff>
    </xdr:to>
    <xdr:pic>
      <xdr:nvPicPr>
        <xdr:cNvPr id="2" name="Picture 1">
          <a:extLst>
            <a:ext uri="{FF2B5EF4-FFF2-40B4-BE49-F238E27FC236}">
              <a16:creationId xmlns:a16="http://schemas.microsoft.com/office/drawing/2014/main" id="{4C600FCC-1636-412E-9B92-6F2D10D7F1B1}"/>
            </a:ext>
          </a:extLst>
        </xdr:cNvPr>
        <xdr:cNvPicPr>
          <a:picLocks noChangeAspect="1"/>
        </xdr:cNvPicPr>
      </xdr:nvPicPr>
      <xdr:blipFill>
        <a:blip xmlns:r="http://schemas.openxmlformats.org/officeDocument/2006/relationships" r:embed="rId2"/>
        <a:stretch>
          <a:fillRect/>
        </a:stretch>
      </xdr:blipFill>
      <xdr:spPr>
        <a:xfrm>
          <a:off x="647700" y="0"/>
          <a:ext cx="2019300" cy="2019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345279</xdr:colOff>
      <xdr:row>8</xdr:row>
      <xdr:rowOff>277415</xdr:rowOff>
    </xdr:from>
    <xdr:to>
      <xdr:col>9</xdr:col>
      <xdr:colOff>309562</xdr:colOff>
      <xdr:row>19</xdr:row>
      <xdr:rowOff>71438</xdr:rowOff>
    </xdr:to>
    <xdr:graphicFrame macro="">
      <xdr:nvGraphicFramePr>
        <xdr:cNvPr id="7" name="Chart 6">
          <a:extLst>
            <a:ext uri="{FF2B5EF4-FFF2-40B4-BE49-F238E27FC236}">
              <a16:creationId xmlns:a16="http://schemas.microsoft.com/office/drawing/2014/main" id="{CFB42331-68BD-4CB0-AC0E-7C6D8A02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333375</xdr:colOff>
      <xdr:row>20</xdr:row>
      <xdr:rowOff>122633</xdr:rowOff>
    </xdr:from>
    <xdr:to>
      <xdr:col>9</xdr:col>
      <xdr:colOff>333375</xdr:colOff>
      <xdr:row>30</xdr:row>
      <xdr:rowOff>107156</xdr:rowOff>
    </xdr:to>
    <xdr:graphicFrame macro="">
      <xdr:nvGraphicFramePr>
        <xdr:cNvPr id="8" name="Chart 7">
          <a:extLst>
            <a:ext uri="{FF2B5EF4-FFF2-40B4-BE49-F238E27FC236}">
              <a16:creationId xmlns:a16="http://schemas.microsoft.com/office/drawing/2014/main" id="{9386B713-D7C0-4967-8A57-F5C98F782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273843</xdr:colOff>
      <xdr:row>32</xdr:row>
      <xdr:rowOff>86914</xdr:rowOff>
    </xdr:from>
    <xdr:to>
      <xdr:col>9</xdr:col>
      <xdr:colOff>190500</xdr:colOff>
      <xdr:row>43</xdr:row>
      <xdr:rowOff>83344</xdr:rowOff>
    </xdr:to>
    <xdr:graphicFrame macro="">
      <xdr:nvGraphicFramePr>
        <xdr:cNvPr id="9" name="Chart 8">
          <a:extLst>
            <a:ext uri="{FF2B5EF4-FFF2-40B4-BE49-F238E27FC236}">
              <a16:creationId xmlns:a16="http://schemas.microsoft.com/office/drawing/2014/main" id="{F7C7D395-8620-4815-B74C-46F6B1B3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297656</xdr:colOff>
      <xdr:row>44</xdr:row>
      <xdr:rowOff>158351</xdr:rowOff>
    </xdr:from>
    <xdr:to>
      <xdr:col>9</xdr:col>
      <xdr:colOff>166688</xdr:colOff>
      <xdr:row>62</xdr:row>
      <xdr:rowOff>83343</xdr:rowOff>
    </xdr:to>
    <xdr:graphicFrame macro="">
      <xdr:nvGraphicFramePr>
        <xdr:cNvPr id="10" name="Chart 9">
          <a:extLst>
            <a:ext uri="{FF2B5EF4-FFF2-40B4-BE49-F238E27FC236}">
              <a16:creationId xmlns:a16="http://schemas.microsoft.com/office/drawing/2014/main" id="{0DAF7B7B-C1E8-4DDD-99D1-D89A2634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285750</xdr:colOff>
      <xdr:row>63</xdr:row>
      <xdr:rowOff>158353</xdr:rowOff>
    </xdr:from>
    <xdr:to>
      <xdr:col>8</xdr:col>
      <xdr:colOff>511969</xdr:colOff>
      <xdr:row>79</xdr:row>
      <xdr:rowOff>1</xdr:rowOff>
    </xdr:to>
    <xdr:graphicFrame macro="">
      <xdr:nvGraphicFramePr>
        <xdr:cNvPr id="11" name="Chart 10">
          <a:extLst>
            <a:ext uri="{FF2B5EF4-FFF2-40B4-BE49-F238E27FC236}">
              <a16:creationId xmlns:a16="http://schemas.microsoft.com/office/drawing/2014/main" id="{AF8B4EE1-6D95-4A11-9579-156605052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226218</xdr:colOff>
      <xdr:row>82</xdr:row>
      <xdr:rowOff>122633</xdr:rowOff>
    </xdr:from>
    <xdr:to>
      <xdr:col>8</xdr:col>
      <xdr:colOff>547687</xdr:colOff>
      <xdr:row>96</xdr:row>
      <xdr:rowOff>175021</xdr:rowOff>
    </xdr:to>
    <xdr:graphicFrame macro="">
      <xdr:nvGraphicFramePr>
        <xdr:cNvPr id="12" name="Chart 11">
          <a:extLst>
            <a:ext uri="{FF2B5EF4-FFF2-40B4-BE49-F238E27FC236}">
              <a16:creationId xmlns:a16="http://schemas.microsoft.com/office/drawing/2014/main" id="{BE58D987-A87A-4A81-96E5-743005317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250031</xdr:colOff>
      <xdr:row>98</xdr:row>
      <xdr:rowOff>15478</xdr:rowOff>
    </xdr:from>
    <xdr:to>
      <xdr:col>8</xdr:col>
      <xdr:colOff>583406</xdr:colOff>
      <xdr:row>109</xdr:row>
      <xdr:rowOff>130968</xdr:rowOff>
    </xdr:to>
    <xdr:graphicFrame macro="">
      <xdr:nvGraphicFramePr>
        <xdr:cNvPr id="13" name="Chart 12">
          <a:extLst>
            <a:ext uri="{FF2B5EF4-FFF2-40B4-BE49-F238E27FC236}">
              <a16:creationId xmlns:a16="http://schemas.microsoft.com/office/drawing/2014/main" id="{040F5222-0B13-4D22-B047-204B760DE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119062</xdr:colOff>
      <xdr:row>111</xdr:row>
      <xdr:rowOff>179716</xdr:rowOff>
    </xdr:from>
    <xdr:to>
      <xdr:col>11</xdr:col>
      <xdr:colOff>287547</xdr:colOff>
      <xdr:row>123</xdr:row>
      <xdr:rowOff>8985</xdr:rowOff>
    </xdr:to>
    <xdr:graphicFrame macro="">
      <xdr:nvGraphicFramePr>
        <xdr:cNvPr id="14" name="Chart 13">
          <a:extLst>
            <a:ext uri="{FF2B5EF4-FFF2-40B4-BE49-F238E27FC236}">
              <a16:creationId xmlns:a16="http://schemas.microsoft.com/office/drawing/2014/main" id="{F88B1E7C-817F-498C-A3C1-47DCDCE47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107156</xdr:colOff>
      <xdr:row>124</xdr:row>
      <xdr:rowOff>110727</xdr:rowOff>
    </xdr:from>
    <xdr:to>
      <xdr:col>8</xdr:col>
      <xdr:colOff>428625</xdr:colOff>
      <xdr:row>138</xdr:row>
      <xdr:rowOff>20240</xdr:rowOff>
    </xdr:to>
    <xdr:graphicFrame macro="">
      <xdr:nvGraphicFramePr>
        <xdr:cNvPr id="2" name="Chart 1">
          <a:extLst>
            <a:ext uri="{FF2B5EF4-FFF2-40B4-BE49-F238E27FC236}">
              <a16:creationId xmlns:a16="http://schemas.microsoft.com/office/drawing/2014/main" id="{C658168B-3A09-427F-A598-810F141F5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35719</xdr:colOff>
      <xdr:row>140</xdr:row>
      <xdr:rowOff>39290</xdr:rowOff>
    </xdr:from>
    <xdr:to>
      <xdr:col>8</xdr:col>
      <xdr:colOff>357188</xdr:colOff>
      <xdr:row>154</xdr:row>
      <xdr:rowOff>20240</xdr:rowOff>
    </xdr:to>
    <xdr:graphicFrame macro="">
      <xdr:nvGraphicFramePr>
        <xdr:cNvPr id="3" name="Chart 2">
          <a:extLst>
            <a:ext uri="{FF2B5EF4-FFF2-40B4-BE49-F238E27FC236}">
              <a16:creationId xmlns:a16="http://schemas.microsoft.com/office/drawing/2014/main" id="{4CAE5F51-571E-4827-A8A0-4AC9A41FD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23812</xdr:colOff>
      <xdr:row>156</xdr:row>
      <xdr:rowOff>15478</xdr:rowOff>
    </xdr:from>
    <xdr:to>
      <xdr:col>8</xdr:col>
      <xdr:colOff>354718</xdr:colOff>
      <xdr:row>171</xdr:row>
      <xdr:rowOff>20241</xdr:rowOff>
    </xdr:to>
    <xdr:graphicFrame macro="">
      <xdr:nvGraphicFramePr>
        <xdr:cNvPr id="4" name="Chart 3">
          <a:extLst>
            <a:ext uri="{FF2B5EF4-FFF2-40B4-BE49-F238E27FC236}">
              <a16:creationId xmlns:a16="http://schemas.microsoft.com/office/drawing/2014/main" id="{29EF919C-9869-4E99-B6C8-D13F61DBC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571500</xdr:colOff>
      <xdr:row>173</xdr:row>
      <xdr:rowOff>75008</xdr:rowOff>
    </xdr:from>
    <xdr:to>
      <xdr:col>8</xdr:col>
      <xdr:colOff>285750</xdr:colOff>
      <xdr:row>188</xdr:row>
      <xdr:rowOff>20239</xdr:rowOff>
    </xdr:to>
    <xdr:graphicFrame macro="">
      <xdr:nvGraphicFramePr>
        <xdr:cNvPr id="5" name="Chart 4">
          <a:extLst>
            <a:ext uri="{FF2B5EF4-FFF2-40B4-BE49-F238E27FC236}">
              <a16:creationId xmlns:a16="http://schemas.microsoft.com/office/drawing/2014/main" id="{34369404-E3CD-4E67-A632-E3D860900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607218</xdr:colOff>
      <xdr:row>189</xdr:row>
      <xdr:rowOff>27384</xdr:rowOff>
    </xdr:from>
    <xdr:to>
      <xdr:col>8</xdr:col>
      <xdr:colOff>321468</xdr:colOff>
      <xdr:row>204</xdr:row>
      <xdr:rowOff>55959</xdr:rowOff>
    </xdr:to>
    <xdr:graphicFrame macro="">
      <xdr:nvGraphicFramePr>
        <xdr:cNvPr id="6" name="Chart 5">
          <a:extLst>
            <a:ext uri="{FF2B5EF4-FFF2-40B4-BE49-F238E27FC236}">
              <a16:creationId xmlns:a16="http://schemas.microsoft.com/office/drawing/2014/main" id="{A5212B7B-B4D9-4CF1-873A-702F74268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11906</xdr:colOff>
      <xdr:row>206</xdr:row>
      <xdr:rowOff>51196</xdr:rowOff>
    </xdr:from>
    <xdr:to>
      <xdr:col>8</xdr:col>
      <xdr:colOff>333375</xdr:colOff>
      <xdr:row>222</xdr:row>
      <xdr:rowOff>55959</xdr:rowOff>
    </xdr:to>
    <xdr:graphicFrame macro="">
      <xdr:nvGraphicFramePr>
        <xdr:cNvPr id="15" name="Chart 14">
          <a:extLst>
            <a:ext uri="{FF2B5EF4-FFF2-40B4-BE49-F238E27FC236}">
              <a16:creationId xmlns:a16="http://schemas.microsoft.com/office/drawing/2014/main" id="{A757743E-757E-41AE-8A37-E680FFA3A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14378</xdr:colOff>
      <xdr:row>241</xdr:row>
      <xdr:rowOff>111064</xdr:rowOff>
    </xdr:from>
    <xdr:to>
      <xdr:col>8</xdr:col>
      <xdr:colOff>467264</xdr:colOff>
      <xdr:row>258</xdr:row>
      <xdr:rowOff>107829</xdr:rowOff>
    </xdr:to>
    <xdr:graphicFrame macro="">
      <xdr:nvGraphicFramePr>
        <xdr:cNvPr id="17" name="Chart 16">
          <a:extLst>
            <a:ext uri="{FF2B5EF4-FFF2-40B4-BE49-F238E27FC236}">
              <a16:creationId xmlns:a16="http://schemas.microsoft.com/office/drawing/2014/main" id="{E18C5101-9402-48CC-96DA-8E41B2CA5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LEGGI_Review\LEGGI_2018\CIRIS_Standard_v2.3__London_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5\Strategy$\T&amp;E%20Division\2%20Environment\Energy\12%20Strategy\Climate%20Change%20Mitigation%20and%20Energy%20Strategy\3_Modelling\01.%20Base%20Models\01%20LEGGI\LEGGI_2009\LEGGI_2009_Summa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LEGGI_Review\LEGGI_2018\Archive\LEGGI_2018_NEW_Form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EDATA\Strategy$\T&amp;E%20Division\2%20Environment\Energy\15%20Measurement\02%20LEGGI\LEGGI_2010\v2_published%202014\LEGGI_2010_v2_publishedDS_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LEGGI_Review\LEGGI_2018\EF_2020\Conversion_Factors_2020_-_Full_set__for_advanced_us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Emission factors"/>
      <sheetName val="F-Gases"/>
      <sheetName val="Inventory"/>
      <sheetName val="I - Stationary"/>
      <sheetName val="II - Transport"/>
      <sheetName val="III - Waste"/>
      <sheetName val="IV - IPPU"/>
      <sheetName val="V - AFOLU"/>
      <sheetName val="VI - Other scope 3"/>
      <sheetName val="Calculators"/>
      <sheetName val="Fugitive gas"/>
      <sheetName val="Solid waste disposal"/>
      <sheetName val="Biological treatment"/>
      <sheetName val="Incineration"/>
      <sheetName val="Wastewater"/>
      <sheetName val="Results"/>
      <sheetName val="Results_Summary"/>
      <sheetName val="Results_Graphs"/>
      <sheetName val="Results_Graphs_2"/>
      <sheetName val="Results_Overview"/>
      <sheetName val="Results_Analysis"/>
      <sheetName val="Results_Net emissions"/>
      <sheetName val="Notes_1"/>
      <sheetName val="Notes_2"/>
      <sheetName val="Notes_3"/>
      <sheetName val="Notes_4"/>
      <sheetName val="Notes_5"/>
      <sheetName val="Notes_6"/>
      <sheetName val="Report"/>
      <sheetName val="Results_Analysis_Data"/>
      <sheetName val="Results_Analysis_Data_2"/>
    </sheetNames>
    <sheetDataSet>
      <sheetData sheetId="0">
        <row r="3">
          <cell r="DB3"/>
          <cell r="DC3"/>
        </row>
        <row r="4">
          <cell r="A4" t="str">
            <v>Please select</v>
          </cell>
          <cell r="DB4" t="str">
            <v>Please select</v>
          </cell>
          <cell r="DC4" t="str">
            <v>Please select</v>
          </cell>
        </row>
        <row r="5">
          <cell r="A5" t="str">
            <v>Sovereign city-state</v>
          </cell>
          <cell r="DB5" t="str">
            <v>Africa</v>
          </cell>
          <cell r="DC5">
            <v>2000</v>
          </cell>
        </row>
        <row r="6">
          <cell r="A6" t="str">
            <v>Federal district</v>
          </cell>
          <cell r="DB6" t="str">
            <v>East Asia</v>
          </cell>
          <cell r="DC6">
            <v>2001</v>
          </cell>
        </row>
        <row r="7">
          <cell r="A7" t="str">
            <v>Province / District / State</v>
          </cell>
          <cell r="DB7" t="str">
            <v>Europe</v>
          </cell>
          <cell r="DC7">
            <v>2002</v>
          </cell>
        </row>
        <row r="8">
          <cell r="A8" t="str">
            <v>County</v>
          </cell>
          <cell r="DB8" t="str">
            <v>Latin America</v>
          </cell>
          <cell r="DC8">
            <v>2003</v>
          </cell>
        </row>
        <row r="9">
          <cell r="A9" t="str">
            <v>A Metropolitan area</v>
          </cell>
          <cell r="DB9" t="str">
            <v>North America</v>
          </cell>
          <cell r="DC9">
            <v>2004</v>
          </cell>
        </row>
        <row r="10">
          <cell r="A10" t="str">
            <v>City / Municipality</v>
          </cell>
          <cell r="DB10" t="str">
            <v>Southeast Asia and Oceania</v>
          </cell>
          <cell r="DC10">
            <v>2005</v>
          </cell>
        </row>
        <row r="11">
          <cell r="A11" t="str">
            <v>Local government area within a city / metropolitan area</v>
          </cell>
          <cell r="DB11" t="str">
            <v>South and West Asia</v>
          </cell>
          <cell r="DC11">
            <v>2006</v>
          </cell>
        </row>
        <row r="12">
          <cell r="A12" t="str">
            <v>Other (please specify)</v>
          </cell>
          <cell r="DC12">
            <v>2007</v>
          </cell>
        </row>
        <row r="13">
          <cell r="DC13">
            <v>2008</v>
          </cell>
        </row>
        <row r="14">
          <cell r="DC14">
            <v>2009</v>
          </cell>
        </row>
        <row r="15">
          <cell r="DC15">
            <v>2010</v>
          </cell>
        </row>
        <row r="16">
          <cell r="DC16">
            <v>2011</v>
          </cell>
        </row>
        <row r="17">
          <cell r="DC17">
            <v>2012</v>
          </cell>
        </row>
        <row r="18">
          <cell r="DC18">
            <v>2013</v>
          </cell>
        </row>
        <row r="19">
          <cell r="DC19">
            <v>2014</v>
          </cell>
        </row>
        <row r="20">
          <cell r="DC20">
            <v>2015</v>
          </cell>
        </row>
        <row r="21">
          <cell r="DC21">
            <v>2016</v>
          </cell>
        </row>
        <row r="22">
          <cell r="DC22">
            <v>2017</v>
          </cell>
        </row>
        <row r="23">
          <cell r="DC23">
            <v>2018</v>
          </cell>
        </row>
        <row r="24">
          <cell r="DC24">
            <v>2019</v>
          </cell>
        </row>
        <row r="25">
          <cell r="DC25">
            <v>2020</v>
          </cell>
        </row>
        <row r="26">
          <cell r="DC26" t="str">
            <v>2000/2001</v>
          </cell>
        </row>
        <row r="27">
          <cell r="DC27" t="str">
            <v>2001/2002</v>
          </cell>
        </row>
        <row r="28">
          <cell r="DC28" t="str">
            <v>2002/2003</v>
          </cell>
        </row>
        <row r="29">
          <cell r="DC29" t="str">
            <v>2004/2005</v>
          </cell>
        </row>
        <row r="30">
          <cell r="DC30" t="str">
            <v>2005/2006</v>
          </cell>
        </row>
        <row r="31">
          <cell r="DC31" t="str">
            <v>2006/2007</v>
          </cell>
        </row>
        <row r="32">
          <cell r="DC32" t="str">
            <v>2007/2008</v>
          </cell>
        </row>
        <row r="33">
          <cell r="DC33" t="str">
            <v>2008/2009</v>
          </cell>
        </row>
        <row r="34">
          <cell r="DC34" t="str">
            <v>2009/2010</v>
          </cell>
        </row>
        <row r="35">
          <cell r="DC35" t="str">
            <v>2010/2011</v>
          </cell>
        </row>
        <row r="36">
          <cell r="DC36" t="str">
            <v>2011/2012</v>
          </cell>
        </row>
        <row r="37">
          <cell r="DC37" t="str">
            <v>2012/2013</v>
          </cell>
        </row>
        <row r="38">
          <cell r="DC38" t="str">
            <v>2013/2014</v>
          </cell>
        </row>
        <row r="39">
          <cell r="DC39" t="str">
            <v>2014/2015</v>
          </cell>
        </row>
        <row r="40">
          <cell r="DC40" t="str">
            <v>2015/2016</v>
          </cell>
        </row>
        <row r="41">
          <cell r="DC41" t="str">
            <v>2016/2017</v>
          </cell>
        </row>
        <row r="42">
          <cell r="DC42" t="str">
            <v>2017/2018</v>
          </cell>
        </row>
        <row r="43">
          <cell r="DC43" t="str">
            <v>2018/2019</v>
          </cell>
        </row>
        <row r="44">
          <cell r="DC44" t="str">
            <v>2019/2020</v>
          </cell>
        </row>
        <row r="45">
          <cell r="DC45" t="str">
            <v>2020/2021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
      <sheetName val="CO2eq"/>
      <sheetName val="Summary_Table"/>
      <sheetName val="Raw_Data"/>
      <sheetName val="Lists"/>
    </sheetNames>
    <sheetDataSet>
      <sheetData sheetId="0" refreshError="1"/>
      <sheetData sheetId="1" refreshError="1"/>
      <sheetData sheetId="2" refreshError="1"/>
      <sheetData sheetId="3" refreshError="1"/>
      <sheetData sheetId="4">
        <row r="4">
          <cell r="B4" t="str">
            <v>Domestic</v>
          </cell>
          <cell r="J4" t="str">
            <v>Barking and Dagenham</v>
          </cell>
        </row>
        <row r="5">
          <cell r="B5" t="str">
            <v>Industrial_and_Commercial</v>
          </cell>
          <cell r="J5" t="str">
            <v>Barnet</v>
          </cell>
        </row>
        <row r="6">
          <cell r="B6" t="str">
            <v>Transport</v>
          </cell>
          <cell r="J6" t="str">
            <v>Bexley</v>
          </cell>
        </row>
        <row r="7">
          <cell r="J7" t="str">
            <v>Brent</v>
          </cell>
        </row>
        <row r="8">
          <cell r="J8" t="str">
            <v>Bromley</v>
          </cell>
        </row>
        <row r="9">
          <cell r="J9" t="str">
            <v>Camden</v>
          </cell>
        </row>
        <row r="10">
          <cell r="J10" t="str">
            <v>City of London</v>
          </cell>
        </row>
        <row r="11">
          <cell r="J11" t="str">
            <v>Croydon</v>
          </cell>
        </row>
        <row r="12">
          <cell r="J12" t="str">
            <v>Ealing</v>
          </cell>
        </row>
        <row r="13">
          <cell r="J13" t="str">
            <v>Enfield</v>
          </cell>
        </row>
        <row r="14">
          <cell r="J14" t="str">
            <v>Greenwich</v>
          </cell>
        </row>
        <row r="15">
          <cell r="J15" t="str">
            <v>Hackney</v>
          </cell>
        </row>
        <row r="16">
          <cell r="J16" t="str">
            <v>Hammersmith and Fulham</v>
          </cell>
        </row>
        <row r="17">
          <cell r="J17" t="str">
            <v>Haringey</v>
          </cell>
        </row>
        <row r="18">
          <cell r="J18" t="str">
            <v>Harrow</v>
          </cell>
        </row>
        <row r="19">
          <cell r="J19" t="str">
            <v>Havering</v>
          </cell>
        </row>
        <row r="20">
          <cell r="J20" t="str">
            <v>Hillingdon</v>
          </cell>
        </row>
        <row r="21">
          <cell r="J21" t="str">
            <v>Hounslow</v>
          </cell>
        </row>
        <row r="22">
          <cell r="J22" t="str">
            <v>Islington</v>
          </cell>
        </row>
        <row r="23">
          <cell r="J23" t="str">
            <v>Kensington and Chelsea</v>
          </cell>
        </row>
        <row r="24">
          <cell r="J24" t="str">
            <v>Kingston</v>
          </cell>
        </row>
        <row r="25">
          <cell r="J25" t="str">
            <v>Lambeth</v>
          </cell>
        </row>
        <row r="26">
          <cell r="J26" t="str">
            <v>Lewisham</v>
          </cell>
        </row>
        <row r="27">
          <cell r="J27" t="str">
            <v>Merton</v>
          </cell>
        </row>
        <row r="28">
          <cell r="J28" t="str">
            <v>Newham</v>
          </cell>
        </row>
        <row r="29">
          <cell r="J29" t="str">
            <v>Redbridge</v>
          </cell>
        </row>
        <row r="30">
          <cell r="J30" t="str">
            <v>Richmond</v>
          </cell>
        </row>
        <row r="31">
          <cell r="J31" t="str">
            <v>Southwark</v>
          </cell>
        </row>
        <row r="32">
          <cell r="J32" t="str">
            <v>Sutton</v>
          </cell>
        </row>
        <row r="33">
          <cell r="J33" t="str">
            <v>Tower Hamlets</v>
          </cell>
        </row>
        <row r="34">
          <cell r="J34" t="str">
            <v>Waltham Forest</v>
          </cell>
        </row>
        <row r="35">
          <cell r="J35" t="str">
            <v>Wandsworth</v>
          </cell>
        </row>
        <row r="36">
          <cell r="J36" t="str">
            <v>Westminster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PCC &amp; GPC"/>
      <sheetName val="00 Summary"/>
      <sheetName val="I. Stationary Energy"/>
      <sheetName val="01 Energy"/>
      <sheetName val="02 CO2"/>
      <sheetName val="02b CO2e"/>
      <sheetName val="03a Data_Elec&amp;Gas"/>
      <sheetName val="IPPU"/>
      <sheetName val="Wastewater"/>
      <sheetName val="Waste"/>
      <sheetName val="Conversion units"/>
      <sheetName val=" AFOLU"/>
      <sheetName val="03b Data_Residual"/>
      <sheetName val="03c Data_CO2"/>
      <sheetName val="03c Data_Transport"/>
      <sheetName val="04 Emissions Factors"/>
      <sheetName val="GWP"/>
      <sheetName val="05 Data_Sources"/>
      <sheetName val="C40 reporting"/>
      <sheetName val="CDP repor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6">
          <cell r="F6">
            <v>0.25358000000000003</v>
          </cell>
        </row>
        <row r="8">
          <cell r="F8">
            <v>0.18409</v>
          </cell>
        </row>
        <row r="9">
          <cell r="F9">
            <v>0.31469999999999998</v>
          </cell>
        </row>
        <row r="10">
          <cell r="F10">
            <v>0.25358999999999998</v>
          </cell>
        </row>
        <row r="14">
          <cell r="F14">
            <v>0.31469999999999998</v>
          </cell>
        </row>
        <row r="15">
          <cell r="F15">
            <v>0.26683000000000001</v>
          </cell>
        </row>
        <row r="16">
          <cell r="F16">
            <v>0.1349149051551963</v>
          </cell>
        </row>
        <row r="33">
          <cell r="H33">
            <v>0.8</v>
          </cell>
        </row>
        <row r="34">
          <cell r="H34">
            <v>4</v>
          </cell>
          <cell r="I34">
            <v>0.24</v>
          </cell>
        </row>
        <row r="35">
          <cell r="H35">
            <v>2.5210439999999997E-2</v>
          </cell>
        </row>
        <row r="36">
          <cell r="H36">
            <v>237</v>
          </cell>
          <cell r="I36">
            <v>60</v>
          </cell>
        </row>
        <row r="37">
          <cell r="H37">
            <v>237</v>
          </cell>
          <cell r="I37">
            <v>100</v>
          </cell>
        </row>
      </sheetData>
      <sheetData sheetId="17">
        <row r="11">
          <cell r="F11">
            <v>1</v>
          </cell>
        </row>
        <row r="12">
          <cell r="F12">
            <v>28</v>
          </cell>
        </row>
        <row r="13">
          <cell r="F13">
            <v>265</v>
          </cell>
        </row>
      </sheetData>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a Revisions_2014"/>
      <sheetName val="00b Summary"/>
      <sheetName val="01 Energy"/>
      <sheetName val="02 CO2"/>
      <sheetName val="02b CO2e"/>
      <sheetName val="03a Data_Elec&amp;Gas"/>
      <sheetName val="03b Data_Residual"/>
      <sheetName val="03c Data_CO2"/>
      <sheetName val="03c Data_Transport"/>
      <sheetName val="04 Emissions Factors"/>
      <sheetName val="05 Data_Sources"/>
    </sheetNames>
    <sheetDataSet>
      <sheetData sheetId="0"/>
      <sheetData sheetId="1"/>
      <sheetData sheetId="2"/>
      <sheetData sheetId="3"/>
      <sheetData sheetId="4"/>
      <sheetData sheetId="5"/>
      <sheetData sheetId="6"/>
      <sheetData sheetId="7"/>
      <sheetData sheetId="8"/>
      <sheetData sheetId="9">
        <row r="6">
          <cell r="I6">
            <v>0.48530999999999996</v>
          </cell>
        </row>
        <row r="14">
          <cell r="I14">
            <v>0.29116999999999998</v>
          </cell>
        </row>
        <row r="15">
          <cell r="I15">
            <v>0.26826000000000005</v>
          </cell>
        </row>
        <row r="20">
          <cell r="I20">
            <v>3182.2999999999997</v>
          </cell>
        </row>
        <row r="21">
          <cell r="I21">
            <v>3042.1</v>
          </cell>
        </row>
        <row r="22">
          <cell r="I22">
            <v>3070.5</v>
          </cell>
        </row>
        <row r="23">
          <cell r="I23">
            <v>3492.6</v>
          </cell>
        </row>
        <row r="24">
          <cell r="I24">
            <v>2664.9</v>
          </cell>
        </row>
        <row r="27">
          <cell r="I27">
            <v>2.2422999999999997</v>
          </cell>
        </row>
        <row r="28">
          <cell r="I28">
            <v>2.5835000000000004</v>
          </cell>
        </row>
        <row r="29">
          <cell r="I29">
            <v>3.0212000000000003</v>
          </cell>
        </row>
      </sheetData>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row r="6">
          <cell r="E6">
            <v>2020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68:J162" totalsRowShown="0" headerRowDxfId="13" dataDxfId="11" headerRowBorderDxfId="12" tableBorderDxfId="10" totalsRowBorderDxfId="9">
  <tableColumns count="9">
    <tableColumn id="1" xr3:uid="{00000000-0010-0000-0000-000001000000}" name="Permit ID" dataDxfId="8"/>
    <tableColumn id="2" xr3:uid="{00000000-0010-0000-0000-000002000000}" name="Operator Name" dataDxfId="7"/>
    <tableColumn id="3" xr3:uid="{00000000-0010-0000-0000-000003000000}" name="Installation Name" dataDxfId="6"/>
    <tableColumn id="4" xr3:uid="{00000000-0010-0000-0000-000004000000}" name="Annex I Activity" dataDxfId="5"/>
    <tableColumn id="5" xr3:uid="{00000000-0010-0000-0000-000005000000}" name="Status" dataDxfId="4"/>
    <tableColumn id="6" xr3:uid="{00000000-0010-0000-0000-000006000000}" name="Installation Category" dataDxfId="3"/>
    <tableColumn id="7" xr3:uid="{00000000-0010-0000-0000-000007000000}" name="Emitter Type" dataDxfId="2"/>
    <tableColumn id="8" xr3:uid="{00000000-0010-0000-0000-000008000000}" name="Report Year" dataDxfId="1"/>
    <tableColumn id="10" xr3:uid="{00000000-0010-0000-0000-00000A000000}" name="Total Reportable Emissions (Tonnes CO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publications/greenhouse-gas-reporting-conversion-factors-2020" TargetMode="External"/><Relationship Id="rId1" Type="http://schemas.openxmlformats.org/officeDocument/2006/relationships/hyperlink" Target="https://www.gov.uk/government/publications/greenhouse-gas-reporting-conversion-factors-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66FF"/>
  </sheetPr>
  <dimension ref="B1:O137"/>
  <sheetViews>
    <sheetView topLeftCell="A21" zoomScaleNormal="100" workbookViewId="0">
      <selection activeCell="B26" sqref="B26"/>
    </sheetView>
  </sheetViews>
  <sheetFormatPr defaultColWidth="9.1328125" defaultRowHeight="14.25" x14ac:dyDescent="0.45"/>
  <cols>
    <col min="1" max="1" width="9.1328125" style="1457"/>
    <col min="2" max="2" width="169" style="1496" customWidth="1"/>
    <col min="3" max="3" width="34.265625" style="1496" customWidth="1"/>
    <col min="4" max="4" width="20.86328125" style="1496" customWidth="1"/>
    <col min="5" max="5" width="42.59765625" style="1496" customWidth="1"/>
    <col min="6" max="6" width="48.59765625" style="1496" customWidth="1"/>
    <col min="7" max="7" width="23.265625" style="1496" customWidth="1"/>
    <col min="8" max="8" width="19.3984375" style="1496" customWidth="1"/>
    <col min="9" max="9" width="9.1328125" style="1496"/>
    <col min="10" max="16384" width="9.1328125" style="1457"/>
  </cols>
  <sheetData>
    <row r="1" spans="2:9" x14ac:dyDescent="0.45">
      <c r="B1" s="1457"/>
      <c r="C1" s="1457"/>
      <c r="D1" s="1457"/>
      <c r="E1" s="1457"/>
      <c r="F1" s="1457"/>
      <c r="G1" s="1457"/>
      <c r="H1" s="1457"/>
      <c r="I1" s="1457"/>
    </row>
    <row r="2" spans="2:9" x14ac:dyDescent="0.45">
      <c r="B2" s="1457"/>
      <c r="C2" s="1457"/>
      <c r="D2" s="1457"/>
      <c r="E2" s="1457"/>
      <c r="F2" s="1457"/>
      <c r="G2" s="1457"/>
      <c r="H2" s="1457"/>
      <c r="I2" s="1457"/>
    </row>
    <row r="3" spans="2:9" x14ac:dyDescent="0.45">
      <c r="B3" s="2034"/>
      <c r="C3" s="1457"/>
      <c r="D3" s="1457"/>
      <c r="E3" s="1457"/>
      <c r="F3" s="1457"/>
      <c r="G3" s="1457"/>
      <c r="H3" s="1457"/>
      <c r="I3" s="1457"/>
    </row>
    <row r="4" spans="2:9" x14ac:dyDescent="0.45">
      <c r="B4" s="2034"/>
      <c r="C4" s="1457"/>
      <c r="D4" s="1457"/>
      <c r="E4" s="1457"/>
      <c r="F4" s="1457"/>
      <c r="G4" s="1457"/>
      <c r="H4" s="1457"/>
      <c r="I4" s="1457"/>
    </row>
    <row r="5" spans="2:9" x14ac:dyDescent="0.45">
      <c r="B5" s="2034"/>
      <c r="C5" s="1457"/>
      <c r="D5" s="1457"/>
      <c r="E5" s="1457"/>
      <c r="F5" s="1457"/>
      <c r="G5" s="1457"/>
      <c r="H5" s="1457"/>
      <c r="I5" s="1457"/>
    </row>
    <row r="6" spans="2:9" x14ac:dyDescent="0.45">
      <c r="B6" s="2034"/>
      <c r="C6" s="1457"/>
      <c r="D6" s="1457"/>
      <c r="E6" s="1457"/>
      <c r="F6" s="1457"/>
      <c r="G6" s="1457"/>
      <c r="H6" s="1457"/>
      <c r="I6" s="1457"/>
    </row>
    <row r="7" spans="2:9" x14ac:dyDescent="0.45">
      <c r="B7" s="2034"/>
      <c r="C7" s="1457"/>
      <c r="D7" s="1457"/>
      <c r="E7" s="1457"/>
      <c r="F7" s="1457"/>
      <c r="G7" s="1457"/>
      <c r="H7" s="1457"/>
      <c r="I7" s="1457"/>
    </row>
    <row r="8" spans="2:9" x14ac:dyDescent="0.45">
      <c r="B8" s="2034"/>
      <c r="C8" s="1457"/>
      <c r="D8" s="1457"/>
      <c r="E8" s="1457"/>
      <c r="F8" s="1457"/>
      <c r="G8" s="1457"/>
      <c r="H8" s="1457"/>
      <c r="I8" s="1457"/>
    </row>
    <row r="9" spans="2:9" x14ac:dyDescent="0.45">
      <c r="B9" s="2034"/>
      <c r="C9" s="1457"/>
      <c r="D9" s="1457"/>
      <c r="E9" s="1457"/>
      <c r="F9" s="1457"/>
      <c r="G9" s="1457"/>
      <c r="H9" s="1457"/>
      <c r="I9" s="1457"/>
    </row>
    <row r="10" spans="2:9" x14ac:dyDescent="0.45">
      <c r="B10" s="1457"/>
      <c r="C10" s="1457"/>
      <c r="D10" s="1457"/>
      <c r="E10" s="1457"/>
      <c r="F10" s="1457"/>
      <c r="G10" s="1457"/>
      <c r="H10" s="1457"/>
      <c r="I10" s="1457"/>
    </row>
    <row r="11" spans="2:9" ht="14.65" thickBot="1" x14ac:dyDescent="0.5">
      <c r="B11" s="1457"/>
      <c r="C11" s="1457"/>
      <c r="D11" s="1457"/>
      <c r="E11" s="1457"/>
      <c r="F11" s="1457"/>
      <c r="G11" s="1457"/>
      <c r="H11" s="1457"/>
      <c r="I11" s="1457"/>
    </row>
    <row r="12" spans="2:9" ht="14.65" thickBot="1" x14ac:dyDescent="0.5">
      <c r="B12" s="1635" t="s">
        <v>1707</v>
      </c>
      <c r="C12" s="1653"/>
      <c r="D12" s="1457"/>
      <c r="E12" s="1457"/>
      <c r="F12" s="1457"/>
      <c r="G12" s="1457"/>
      <c r="H12" s="1457"/>
      <c r="I12" s="1457"/>
    </row>
    <row r="13" spans="2:9" ht="43.15" thickBot="1" x14ac:dyDescent="0.5">
      <c r="B13" s="1459" t="s">
        <v>2313</v>
      </c>
      <c r="C13" s="1654"/>
      <c r="D13" s="1665"/>
      <c r="E13" s="1457"/>
      <c r="F13" s="1457"/>
      <c r="G13" s="1457"/>
      <c r="H13" s="1457"/>
      <c r="I13" s="1457"/>
    </row>
    <row r="14" spans="2:9" ht="14.65" thickBot="1" x14ac:dyDescent="0.5">
      <c r="B14" s="1635" t="s">
        <v>1755</v>
      </c>
      <c r="C14" s="1654"/>
      <c r="D14" s="1665"/>
      <c r="E14" s="1457"/>
      <c r="F14" s="1457"/>
      <c r="G14" s="1457"/>
      <c r="H14" s="1457"/>
      <c r="I14" s="1457"/>
    </row>
    <row r="15" spans="2:9" ht="128.65" thickBot="1" x14ac:dyDescent="0.5">
      <c r="B15" s="1460" t="s">
        <v>1907</v>
      </c>
      <c r="C15" s="1654"/>
      <c r="D15" s="1665"/>
      <c r="E15" s="1457"/>
      <c r="F15" s="1457"/>
      <c r="G15" s="1457"/>
      <c r="H15" s="1457"/>
      <c r="I15" s="1457"/>
    </row>
    <row r="16" spans="2:9" ht="14.65" thickBot="1" x14ac:dyDescent="0.5">
      <c r="B16" s="1635" t="s">
        <v>1756</v>
      </c>
      <c r="C16" s="1654"/>
      <c r="D16" s="1665"/>
      <c r="E16" s="1457"/>
      <c r="F16" s="1457"/>
      <c r="G16" s="1457"/>
      <c r="H16" s="1457"/>
      <c r="I16" s="1457"/>
    </row>
    <row r="17" spans="2:9" ht="150.4" thickBot="1" x14ac:dyDescent="0.5">
      <c r="B17" s="1459" t="s">
        <v>1908</v>
      </c>
      <c r="C17" s="1654"/>
      <c r="D17" s="1665"/>
      <c r="E17" s="1457"/>
      <c r="F17" s="1457"/>
      <c r="G17" s="1457"/>
      <c r="H17" s="1457"/>
      <c r="I17" s="1457"/>
    </row>
    <row r="18" spans="2:9" ht="14.65" thickBot="1" x14ac:dyDescent="0.5">
      <c r="B18" s="1635" t="s">
        <v>1708</v>
      </c>
      <c r="C18" s="1457"/>
      <c r="D18" s="1457"/>
      <c r="E18" s="1457"/>
      <c r="F18" s="1457"/>
      <c r="G18" s="1457"/>
      <c r="H18" s="1457"/>
      <c r="I18" s="1457"/>
    </row>
    <row r="19" spans="2:9" ht="47.65" thickBot="1" x14ac:dyDescent="0.5">
      <c r="B19" s="1459" t="s">
        <v>2314</v>
      </c>
      <c r="C19" s="1457"/>
      <c r="D19" s="1457"/>
      <c r="E19" s="1457"/>
      <c r="F19" s="1457"/>
      <c r="G19" s="1457"/>
      <c r="H19" s="1457"/>
      <c r="I19" s="1457"/>
    </row>
    <row r="20" spans="2:9" ht="222.75" customHeight="1" thickBot="1" x14ac:dyDescent="0.5">
      <c r="B20" s="1460" t="s">
        <v>1757</v>
      </c>
      <c r="C20" s="1457"/>
      <c r="D20" s="1457"/>
      <c r="E20" s="1457"/>
      <c r="F20" s="1457"/>
      <c r="G20" s="1457"/>
      <c r="H20" s="1457"/>
      <c r="I20" s="1457"/>
    </row>
    <row r="21" spans="2:9" ht="14.65" thickBot="1" x14ac:dyDescent="0.5">
      <c r="B21" s="1457"/>
      <c r="C21" s="1457"/>
      <c r="D21" s="1457"/>
      <c r="E21" s="1457"/>
      <c r="F21" s="1457"/>
      <c r="G21" s="1457"/>
      <c r="H21" s="1457"/>
      <c r="I21" s="1457"/>
    </row>
    <row r="22" spans="2:9" ht="14.65" thickBot="1" x14ac:dyDescent="0.5">
      <c r="B22" s="1458" t="s">
        <v>1789</v>
      </c>
      <c r="C22" s="1457"/>
      <c r="D22" s="1457"/>
      <c r="E22" s="1457"/>
      <c r="F22" s="1457"/>
      <c r="G22" s="1457"/>
      <c r="H22" s="1457"/>
      <c r="I22" s="1457"/>
    </row>
    <row r="23" spans="2:9" ht="128.65" thickBot="1" x14ac:dyDescent="0.5">
      <c r="B23" s="1460" t="s">
        <v>2212</v>
      </c>
      <c r="C23" s="1457"/>
      <c r="D23" s="1457"/>
      <c r="E23" s="1457"/>
      <c r="F23" s="1457"/>
      <c r="G23" s="1457"/>
      <c r="H23" s="1457"/>
      <c r="I23" s="1457"/>
    </row>
    <row r="24" spans="2:9" x14ac:dyDescent="0.45">
      <c r="B24" s="1655"/>
      <c r="C24" s="1457"/>
      <c r="D24" s="1457"/>
      <c r="E24" s="1457"/>
      <c r="F24" s="1457"/>
      <c r="G24" s="1457"/>
      <c r="H24" s="1457"/>
      <c r="I24" s="1457"/>
    </row>
    <row r="25" spans="2:9" x14ac:dyDescent="0.45">
      <c r="B25" s="1655"/>
      <c r="C25" s="1655"/>
      <c r="D25" s="1655"/>
      <c r="E25" s="1655"/>
      <c r="F25" s="1655"/>
      <c r="G25" s="1655"/>
      <c r="H25" s="1655"/>
      <c r="I25" s="1655"/>
    </row>
    <row r="26" spans="2:9" x14ac:dyDescent="0.45">
      <c r="B26" s="1656"/>
      <c r="C26" s="1656"/>
      <c r="D26" s="1656"/>
      <c r="E26" s="1657"/>
      <c r="F26" s="1657"/>
      <c r="G26" s="1638"/>
      <c r="H26" s="1666"/>
      <c r="I26" s="1636"/>
    </row>
    <row r="27" spans="2:9" x14ac:dyDescent="0.45">
      <c r="B27" s="1662"/>
      <c r="C27" s="1656"/>
      <c r="D27" s="1656"/>
      <c r="E27" s="1657"/>
      <c r="F27" s="1657"/>
      <c r="G27" s="1638"/>
      <c r="H27" s="1637"/>
      <c r="I27" s="1636"/>
    </row>
    <row r="28" spans="2:9" x14ac:dyDescent="0.45">
      <c r="B28" s="1656"/>
      <c r="C28" s="1656"/>
      <c r="D28" s="1656"/>
      <c r="E28" s="1657"/>
      <c r="F28" s="1657"/>
      <c r="G28" s="1638"/>
      <c r="H28" s="1666"/>
      <c r="I28" s="1636"/>
    </row>
    <row r="29" spans="2:9" x14ac:dyDescent="0.45">
      <c r="B29" s="1656"/>
      <c r="C29" s="1656"/>
      <c r="D29" s="1656"/>
      <c r="E29" s="1657"/>
      <c r="F29" s="1657"/>
      <c r="G29" s="1638"/>
      <c r="H29" s="1666"/>
      <c r="I29" s="1636"/>
    </row>
    <row r="30" spans="2:9" x14ac:dyDescent="0.45">
      <c r="B30" s="1656"/>
      <c r="C30" s="1656"/>
      <c r="D30" s="1656"/>
      <c r="E30" s="1657"/>
      <c r="F30" s="1657"/>
      <c r="G30" s="1638"/>
      <c r="H30" s="1666"/>
      <c r="I30" s="1636"/>
    </row>
    <row r="31" spans="2:9" x14ac:dyDescent="0.45">
      <c r="B31" s="1656"/>
      <c r="C31" s="1656"/>
      <c r="D31" s="1656"/>
      <c r="E31" s="1657"/>
      <c r="F31" s="1657"/>
      <c r="G31" s="1667"/>
      <c r="H31" s="1637"/>
      <c r="I31" s="1636"/>
    </row>
    <row r="32" spans="2:9" x14ac:dyDescent="0.45">
      <c r="B32" s="1663"/>
      <c r="C32" s="1656"/>
      <c r="D32" s="1656"/>
      <c r="E32" s="1657"/>
      <c r="F32" s="1657"/>
      <c r="G32" s="1667"/>
      <c r="H32" s="1638"/>
      <c r="I32" s="1636"/>
    </row>
    <row r="33" spans="2:9" x14ac:dyDescent="0.45">
      <c r="B33" s="1656"/>
      <c r="C33" s="1656"/>
      <c r="D33" s="1656"/>
      <c r="E33" s="1657"/>
      <c r="F33" s="1657"/>
      <c r="G33" s="1667"/>
      <c r="H33" s="1638"/>
      <c r="I33" s="1636"/>
    </row>
    <row r="34" spans="2:9" x14ac:dyDescent="0.45">
      <c r="B34" s="1656"/>
      <c r="C34" s="1656"/>
      <c r="D34" s="1656"/>
      <c r="E34" s="1657"/>
      <c r="F34" s="1657"/>
      <c r="G34" s="1667"/>
      <c r="H34" s="1638"/>
      <c r="I34" s="1636"/>
    </row>
    <row r="35" spans="2:9" ht="90" customHeight="1" x14ac:dyDescent="0.45">
      <c r="B35" s="1656"/>
      <c r="C35" s="1656"/>
      <c r="D35" s="1656"/>
      <c r="E35" s="1657"/>
      <c r="F35" s="1657"/>
      <c r="G35" s="2202"/>
      <c r="H35" s="2204"/>
      <c r="I35" s="2205"/>
    </row>
    <row r="36" spans="2:9" ht="85.5" customHeight="1" x14ac:dyDescent="0.45">
      <c r="B36" s="1656"/>
      <c r="C36" s="1656"/>
      <c r="D36" s="1656"/>
      <c r="E36" s="1657"/>
      <c r="F36" s="1657"/>
      <c r="G36" s="2203"/>
      <c r="H36" s="2203"/>
      <c r="I36" s="2206"/>
    </row>
    <row r="37" spans="2:9" ht="116.25" customHeight="1" x14ac:dyDescent="0.45">
      <c r="B37" s="1656"/>
      <c r="C37" s="1656"/>
      <c r="D37" s="1656"/>
      <c r="E37" s="1657"/>
      <c r="F37" s="1657"/>
      <c r="G37" s="2203"/>
      <c r="H37" s="2203"/>
      <c r="I37" s="2206"/>
    </row>
    <row r="38" spans="2:9" x14ac:dyDescent="0.45">
      <c r="B38" s="1656"/>
      <c r="C38" s="1656"/>
      <c r="D38" s="1656"/>
      <c r="E38" s="1657"/>
      <c r="F38" s="1657"/>
      <c r="G38" s="1667"/>
      <c r="H38" s="1638"/>
      <c r="I38" s="1636"/>
    </row>
    <row r="39" spans="2:9" ht="48" customHeight="1" x14ac:dyDescent="0.45">
      <c r="B39" s="1656"/>
      <c r="C39" s="1656"/>
      <c r="D39" s="1656"/>
      <c r="E39" s="2207"/>
      <c r="F39" s="1657"/>
      <c r="G39" s="2204"/>
      <c r="H39" s="1638"/>
      <c r="I39" s="1636"/>
    </row>
    <row r="40" spans="2:9" ht="48.75" customHeight="1" x14ac:dyDescent="0.45">
      <c r="B40" s="1656"/>
      <c r="C40" s="1656"/>
      <c r="D40" s="1656"/>
      <c r="E40" s="2208"/>
      <c r="F40" s="1657"/>
      <c r="G40" s="2203"/>
      <c r="H40" s="1638"/>
      <c r="I40" s="1636"/>
    </row>
    <row r="41" spans="2:9" x14ac:dyDescent="0.45">
      <c r="B41" s="1656"/>
      <c r="C41" s="1656"/>
      <c r="D41" s="1656"/>
      <c r="E41" s="1657"/>
      <c r="F41" s="1657"/>
      <c r="G41" s="1638"/>
      <c r="H41" s="1638"/>
      <c r="I41" s="1636"/>
    </row>
    <row r="42" spans="2:9" x14ac:dyDescent="0.45">
      <c r="B42" s="1656"/>
      <c r="C42" s="1656"/>
      <c r="D42" s="1656"/>
      <c r="E42" s="1657"/>
      <c r="F42" s="1657"/>
      <c r="G42" s="1638"/>
      <c r="H42" s="1638"/>
      <c r="I42" s="1636"/>
    </row>
    <row r="43" spans="2:9" x14ac:dyDescent="0.45">
      <c r="B43" s="1656"/>
      <c r="C43" s="1656"/>
      <c r="D43" s="1656"/>
      <c r="E43" s="1657"/>
      <c r="F43" s="1657"/>
      <c r="G43" s="1638"/>
      <c r="H43" s="1638"/>
      <c r="I43" s="1636"/>
    </row>
    <row r="44" spans="2:9" x14ac:dyDescent="0.45">
      <c r="B44" s="1656"/>
      <c r="C44" s="1656"/>
      <c r="D44" s="1656"/>
      <c r="E44" s="1657"/>
      <c r="F44" s="1657"/>
      <c r="G44" s="1638"/>
      <c r="H44" s="1638"/>
      <c r="I44" s="1636"/>
    </row>
    <row r="45" spans="2:9" x14ac:dyDescent="0.45">
      <c r="B45" s="1656"/>
      <c r="C45" s="1656"/>
      <c r="D45" s="1656"/>
      <c r="E45" s="1657"/>
      <c r="F45" s="1657"/>
      <c r="G45" s="1638"/>
      <c r="H45" s="1638"/>
      <c r="I45" s="1636"/>
    </row>
    <row r="46" spans="2:9" x14ac:dyDescent="0.45">
      <c r="B46" s="1656"/>
      <c r="C46" s="1656"/>
      <c r="D46" s="1656"/>
      <c r="E46" s="1657"/>
      <c r="F46" s="1657"/>
      <c r="G46" s="1638"/>
      <c r="H46" s="1638"/>
      <c r="I46" s="1636"/>
    </row>
    <row r="47" spans="2:9" x14ac:dyDescent="0.45">
      <c r="B47" s="1656"/>
      <c r="C47" s="1657"/>
      <c r="D47" s="1657"/>
      <c r="E47" s="1657"/>
      <c r="F47" s="1657"/>
      <c r="G47" s="1638"/>
      <c r="H47" s="1668"/>
      <c r="I47" s="1636"/>
    </row>
    <row r="50" spans="2:15" ht="15.75" x14ac:dyDescent="0.45">
      <c r="B50" s="1658"/>
      <c r="C50" s="1658"/>
      <c r="D50" s="1658"/>
      <c r="E50" s="1658"/>
      <c r="F50" s="1658"/>
      <c r="G50" s="1658"/>
      <c r="H50" s="1658"/>
      <c r="I50" s="1658"/>
      <c r="J50" s="1669"/>
      <c r="K50" s="1669"/>
      <c r="L50" s="1669"/>
      <c r="M50" s="1669"/>
      <c r="N50" s="1669"/>
      <c r="O50" s="1670"/>
    </row>
    <row r="51" spans="2:15" ht="15.75" x14ac:dyDescent="0.5">
      <c r="B51" s="1661"/>
      <c r="C51" s="1659"/>
      <c r="D51" s="1661"/>
      <c r="E51" s="1661"/>
      <c r="F51" s="1660"/>
      <c r="G51" s="1660"/>
      <c r="H51" s="1660"/>
      <c r="I51" s="1660"/>
      <c r="J51" s="1671"/>
      <c r="K51" s="1671"/>
      <c r="L51" s="1671"/>
      <c r="M51" s="1671"/>
      <c r="N51" s="1671"/>
      <c r="O51" s="1672"/>
    </row>
    <row r="52" spans="2:15" ht="15.75" x14ac:dyDescent="0.45">
      <c r="B52" s="1639"/>
      <c r="C52" s="1639"/>
      <c r="D52" s="1639"/>
      <c r="E52" s="1639"/>
      <c r="F52" s="1640"/>
      <c r="G52" s="1640"/>
      <c r="H52" s="1640"/>
      <c r="I52" s="1640"/>
      <c r="J52" s="1461"/>
      <c r="K52" s="1461"/>
      <c r="L52" s="1461"/>
      <c r="M52" s="1461"/>
      <c r="N52" s="1461"/>
      <c r="O52" s="1462"/>
    </row>
    <row r="53" spans="2:15" ht="15.75" x14ac:dyDescent="0.45">
      <c r="B53" s="1639"/>
      <c r="C53" s="1639"/>
      <c r="D53" s="1639"/>
      <c r="E53" s="1639"/>
      <c r="F53" s="1640"/>
      <c r="G53" s="1640"/>
      <c r="H53" s="1640"/>
      <c r="I53" s="1640"/>
      <c r="J53" s="1461"/>
      <c r="K53" s="1461"/>
      <c r="L53" s="1461"/>
      <c r="M53" s="1461"/>
      <c r="N53" s="1461"/>
      <c r="O53" s="1462"/>
    </row>
    <row r="54" spans="2:15" ht="15.75" x14ac:dyDescent="0.45">
      <c r="B54" s="1639"/>
      <c r="C54" s="1639"/>
      <c r="D54" s="1639"/>
      <c r="E54" s="1639"/>
      <c r="F54" s="1640"/>
      <c r="G54" s="1640"/>
      <c r="H54" s="1640"/>
      <c r="I54" s="1640"/>
      <c r="J54" s="1461"/>
      <c r="K54" s="1461"/>
      <c r="L54" s="1461"/>
      <c r="M54" s="1461"/>
      <c r="N54" s="1461"/>
      <c r="O54" s="1462"/>
    </row>
    <row r="55" spans="2:15" ht="15.75" x14ac:dyDescent="0.45">
      <c r="B55" s="1639"/>
      <c r="C55" s="1639"/>
      <c r="D55" s="1639"/>
      <c r="E55" s="1639"/>
      <c r="F55" s="1640"/>
      <c r="G55" s="1640"/>
      <c r="H55" s="1640"/>
      <c r="I55" s="1640"/>
      <c r="J55" s="1461"/>
      <c r="K55" s="1461"/>
      <c r="L55" s="1461"/>
      <c r="M55" s="1461"/>
      <c r="N55" s="1461"/>
      <c r="O55" s="1462"/>
    </row>
    <row r="56" spans="2:15" ht="15.75" x14ac:dyDescent="0.45">
      <c r="B56" s="1639"/>
      <c r="C56" s="1640"/>
      <c r="D56" s="1639"/>
      <c r="E56" s="1639"/>
      <c r="F56" s="1640"/>
      <c r="G56" s="1640"/>
      <c r="H56" s="1640"/>
      <c r="I56" s="1640"/>
      <c r="J56" s="1461"/>
      <c r="K56" s="1461"/>
      <c r="L56" s="1461"/>
      <c r="M56" s="1461"/>
      <c r="N56" s="1461"/>
      <c r="O56" s="1462"/>
    </row>
    <row r="57" spans="2:15" ht="15.75" x14ac:dyDescent="0.45">
      <c r="B57" s="1639"/>
      <c r="C57" s="1640"/>
      <c r="D57" s="1639"/>
      <c r="E57" s="1639"/>
      <c r="F57" s="1640"/>
      <c r="G57" s="1640"/>
      <c r="H57" s="1640"/>
      <c r="I57" s="1640"/>
      <c r="J57" s="1461"/>
      <c r="K57" s="1461"/>
      <c r="L57" s="1461"/>
      <c r="M57" s="1461"/>
      <c r="N57" s="1461"/>
      <c r="O57" s="1462"/>
    </row>
    <row r="58" spans="2:15" ht="15.75" x14ac:dyDescent="0.45">
      <c r="B58" s="1639"/>
      <c r="C58" s="1639"/>
      <c r="D58" s="1639"/>
      <c r="E58" s="1639"/>
      <c r="F58" s="1640"/>
      <c r="G58" s="1640"/>
      <c r="H58" s="1640"/>
      <c r="I58" s="1640"/>
      <c r="J58" s="1461"/>
      <c r="K58" s="1461"/>
      <c r="L58" s="1461"/>
      <c r="M58" s="1461"/>
      <c r="N58" s="1461"/>
      <c r="O58" s="1462"/>
    </row>
    <row r="59" spans="2:15" ht="15.75" x14ac:dyDescent="0.45">
      <c r="B59" s="1639"/>
      <c r="C59" s="1639"/>
      <c r="D59" s="1639"/>
      <c r="E59" s="1639"/>
      <c r="F59" s="1640"/>
      <c r="G59" s="1640"/>
      <c r="H59" s="1640"/>
      <c r="I59" s="1640"/>
      <c r="J59" s="1461"/>
      <c r="K59" s="1461"/>
      <c r="L59" s="1461"/>
      <c r="M59" s="1461"/>
      <c r="N59" s="1461"/>
      <c r="O59" s="1462"/>
    </row>
    <row r="60" spans="2:15" ht="15.75" x14ac:dyDescent="0.45">
      <c r="B60" s="1639"/>
      <c r="C60" s="1640"/>
      <c r="D60" s="1639"/>
      <c r="E60" s="1639"/>
      <c r="F60" s="1640"/>
      <c r="G60" s="1640"/>
      <c r="H60" s="1640"/>
      <c r="I60" s="1640"/>
      <c r="J60" s="1461"/>
      <c r="K60" s="1461"/>
      <c r="L60" s="1461"/>
      <c r="M60" s="1461"/>
      <c r="N60" s="1461"/>
      <c r="O60" s="1462"/>
    </row>
    <row r="61" spans="2:15" ht="15.75" x14ac:dyDescent="0.45">
      <c r="B61" s="1639"/>
      <c r="C61" s="1640"/>
      <c r="D61" s="1639"/>
      <c r="E61" s="1639"/>
      <c r="F61" s="1640"/>
      <c r="G61" s="1640"/>
      <c r="H61" s="1640"/>
      <c r="I61" s="1640"/>
      <c r="J61" s="1461"/>
      <c r="K61" s="1461"/>
      <c r="L61" s="1461"/>
      <c r="M61" s="1461"/>
      <c r="N61" s="1461"/>
      <c r="O61" s="1462"/>
    </row>
    <row r="62" spans="2:15" ht="15.75" x14ac:dyDescent="0.5">
      <c r="B62" s="1661"/>
      <c r="C62" s="1660"/>
      <c r="D62" s="1673"/>
      <c r="E62" s="1673"/>
      <c r="F62" s="1660"/>
      <c r="G62" s="1660"/>
      <c r="H62" s="1660"/>
      <c r="I62" s="1660"/>
      <c r="J62" s="1671"/>
      <c r="K62" s="1671"/>
      <c r="L62" s="1671"/>
      <c r="M62" s="1671"/>
      <c r="N62" s="1671"/>
      <c r="O62" s="1672"/>
    </row>
    <row r="63" spans="2:15" ht="15.75" x14ac:dyDescent="0.45">
      <c r="B63" s="1639"/>
      <c r="C63" s="1640"/>
      <c r="D63" s="1639"/>
      <c r="E63" s="1639"/>
      <c r="F63" s="1640"/>
      <c r="G63" s="1640"/>
      <c r="H63" s="1640"/>
      <c r="I63" s="1640"/>
      <c r="J63" s="1461"/>
      <c r="K63" s="1461"/>
      <c r="L63" s="1461"/>
      <c r="M63" s="1461"/>
      <c r="N63" s="1461"/>
      <c r="O63" s="1462"/>
    </row>
    <row r="64" spans="2:15" ht="15.75" x14ac:dyDescent="0.45">
      <c r="B64" s="1639"/>
      <c r="C64" s="1640"/>
      <c r="D64" s="1639"/>
      <c r="E64" s="1639"/>
      <c r="F64" s="1640"/>
      <c r="G64" s="1640"/>
      <c r="H64" s="1640"/>
      <c r="I64" s="1640"/>
      <c r="J64" s="1461"/>
      <c r="K64" s="1461"/>
      <c r="L64" s="1461"/>
      <c r="M64" s="1461"/>
      <c r="N64" s="1461"/>
      <c r="O64" s="1462"/>
    </row>
    <row r="65" spans="2:15" ht="15.75" x14ac:dyDescent="0.45">
      <c r="B65" s="1639"/>
      <c r="C65" s="1640"/>
      <c r="D65" s="1639"/>
      <c r="E65" s="1639"/>
      <c r="F65" s="1640"/>
      <c r="G65" s="1640"/>
      <c r="H65" s="1640"/>
      <c r="I65" s="1640"/>
      <c r="J65" s="1461"/>
      <c r="K65" s="1461"/>
      <c r="L65" s="1461"/>
      <c r="M65" s="1461"/>
      <c r="N65" s="1461"/>
      <c r="O65" s="1462"/>
    </row>
    <row r="66" spans="2:15" ht="15.75" x14ac:dyDescent="0.45">
      <c r="B66" s="1639"/>
      <c r="C66" s="1640"/>
      <c r="D66" s="1639"/>
      <c r="E66" s="1639"/>
      <c r="F66" s="1640"/>
      <c r="G66" s="1640"/>
      <c r="H66" s="1640"/>
      <c r="I66" s="1640"/>
      <c r="J66" s="1461"/>
      <c r="K66" s="1461"/>
      <c r="L66" s="1461"/>
      <c r="M66" s="1461"/>
      <c r="N66" s="1461"/>
      <c r="O66" s="1462"/>
    </row>
    <row r="67" spans="2:15" ht="15.75" x14ac:dyDescent="0.45">
      <c r="B67" s="1639"/>
      <c r="C67" s="1640"/>
      <c r="D67" s="1639"/>
      <c r="E67" s="1639"/>
      <c r="F67" s="1640"/>
      <c r="G67" s="1640"/>
      <c r="H67" s="1640"/>
      <c r="I67" s="1640"/>
      <c r="J67" s="1461"/>
      <c r="K67" s="1461"/>
      <c r="L67" s="1461"/>
      <c r="M67" s="1461"/>
      <c r="N67" s="1461"/>
      <c r="O67" s="1462"/>
    </row>
    <row r="68" spans="2:15" ht="15.75" x14ac:dyDescent="0.5">
      <c r="B68" s="1661"/>
      <c r="C68" s="1641"/>
      <c r="D68" s="1661"/>
      <c r="E68" s="1661"/>
      <c r="F68" s="1641"/>
      <c r="G68" s="1643"/>
      <c r="H68" s="1643"/>
      <c r="I68" s="1643"/>
      <c r="J68" s="1465"/>
      <c r="K68" s="1465"/>
      <c r="L68" s="1465"/>
      <c r="M68" s="1465"/>
      <c r="N68" s="1465"/>
      <c r="O68" s="1466"/>
    </row>
    <row r="69" spans="2:15" ht="15.75" x14ac:dyDescent="0.45">
      <c r="B69" s="1639"/>
      <c r="C69" s="1640"/>
      <c r="D69" s="1639"/>
      <c r="E69" s="1639"/>
      <c r="F69" s="1640"/>
      <c r="G69" s="1640"/>
      <c r="H69" s="1640"/>
      <c r="I69" s="1640"/>
      <c r="J69" s="1461"/>
      <c r="K69" s="1461"/>
      <c r="L69" s="1461"/>
      <c r="M69" s="1461"/>
      <c r="N69" s="1461"/>
      <c r="O69" s="1462"/>
    </row>
    <row r="70" spans="2:15" ht="15.75" x14ac:dyDescent="0.45">
      <c r="B70" s="1639"/>
      <c r="C70" s="1640"/>
      <c r="D70" s="1639"/>
      <c r="E70" s="1639"/>
      <c r="F70" s="1640"/>
      <c r="G70" s="1640"/>
      <c r="H70" s="1640"/>
      <c r="I70" s="1640"/>
      <c r="J70" s="1461"/>
      <c r="K70" s="1461"/>
      <c r="L70" s="1461"/>
      <c r="M70" s="1461"/>
      <c r="N70" s="1461"/>
      <c r="O70" s="1462"/>
    </row>
    <row r="71" spans="2:15" ht="15.75" x14ac:dyDescent="0.45">
      <c r="B71" s="1639"/>
      <c r="C71" s="1640"/>
      <c r="D71" s="1639"/>
      <c r="E71" s="1639"/>
      <c r="F71" s="1640"/>
      <c r="G71" s="1640"/>
      <c r="H71" s="1640"/>
      <c r="I71" s="1640"/>
      <c r="J71" s="1461"/>
      <c r="K71" s="1461"/>
      <c r="L71" s="1461"/>
      <c r="M71" s="1461"/>
      <c r="N71" s="1461"/>
      <c r="O71" s="1462"/>
    </row>
    <row r="72" spans="2:15" ht="15.75" x14ac:dyDescent="0.45">
      <c r="B72" s="1639"/>
      <c r="C72" s="1640"/>
      <c r="D72" s="1639"/>
      <c r="E72" s="1639"/>
      <c r="F72" s="1640"/>
      <c r="G72" s="1640"/>
      <c r="H72" s="1640"/>
      <c r="I72" s="1640"/>
      <c r="J72" s="1461"/>
      <c r="K72" s="1461"/>
      <c r="L72" s="1461"/>
      <c r="M72" s="1461"/>
      <c r="N72" s="1461"/>
      <c r="O72" s="1462"/>
    </row>
    <row r="73" spans="2:15" ht="15.75" x14ac:dyDescent="0.5">
      <c r="B73" s="1661"/>
      <c r="C73" s="1660"/>
      <c r="D73" s="1661"/>
      <c r="E73" s="1661"/>
      <c r="F73" s="1660"/>
      <c r="G73" s="1660"/>
      <c r="H73" s="1660"/>
      <c r="I73" s="1660"/>
      <c r="J73" s="1671"/>
      <c r="K73" s="1671"/>
      <c r="L73" s="1671"/>
      <c r="M73" s="1671"/>
      <c r="N73" s="1671"/>
      <c r="O73" s="1672"/>
    </row>
    <row r="74" spans="2:15" ht="15.75" x14ac:dyDescent="0.45">
      <c r="B74" s="1639"/>
      <c r="C74" s="1639"/>
      <c r="D74" s="1639"/>
      <c r="E74" s="1639"/>
      <c r="F74" s="1640"/>
      <c r="G74" s="1640"/>
      <c r="H74" s="1640"/>
      <c r="I74" s="1640"/>
      <c r="J74" s="1461"/>
      <c r="K74" s="1461"/>
      <c r="L74" s="1461"/>
      <c r="M74" s="1461"/>
      <c r="N74" s="1461"/>
      <c r="O74" s="1462"/>
    </row>
    <row r="75" spans="2:15" ht="15.75" x14ac:dyDescent="0.5">
      <c r="B75" s="1639"/>
      <c r="C75" s="1639"/>
      <c r="D75" s="1639"/>
      <c r="E75" s="1639"/>
      <c r="F75" s="1641"/>
      <c r="G75" s="1642"/>
      <c r="H75" s="1642"/>
      <c r="I75" s="1642"/>
      <c r="J75" s="1463"/>
      <c r="K75" s="1463"/>
      <c r="L75" s="1463"/>
      <c r="M75" s="1463"/>
      <c r="N75" s="1463"/>
      <c r="O75" s="1464"/>
    </row>
    <row r="76" spans="2:15" ht="15.75" x14ac:dyDescent="0.5">
      <c r="B76" s="1661"/>
      <c r="C76" s="1660"/>
      <c r="D76" s="1661"/>
      <c r="E76" s="1661"/>
      <c r="F76" s="1660"/>
      <c r="G76" s="1660"/>
      <c r="H76" s="1660"/>
      <c r="I76" s="1660"/>
      <c r="J76" s="1671"/>
      <c r="K76" s="1671"/>
      <c r="L76" s="1671"/>
      <c r="M76" s="1671"/>
      <c r="N76" s="1671"/>
      <c r="O76" s="1672"/>
    </row>
    <row r="77" spans="2:15" ht="15.75" x14ac:dyDescent="0.5">
      <c r="B77" s="1639"/>
      <c r="C77" s="1641"/>
      <c r="D77" s="1639"/>
      <c r="E77" s="1639"/>
      <c r="F77" s="1641"/>
      <c r="G77" s="1643"/>
      <c r="H77" s="1643"/>
      <c r="I77" s="1643"/>
      <c r="J77" s="1465"/>
      <c r="K77" s="1465"/>
      <c r="L77" s="1465"/>
      <c r="M77" s="1465"/>
      <c r="N77" s="1465"/>
      <c r="O77" s="1466"/>
    </row>
    <row r="78" spans="2:15" ht="15.75" x14ac:dyDescent="0.45">
      <c r="B78" s="1639"/>
      <c r="C78" s="1640"/>
      <c r="D78" s="1639"/>
      <c r="E78" s="1639"/>
      <c r="F78" s="1640"/>
      <c r="G78" s="1640"/>
      <c r="H78" s="1640"/>
      <c r="I78" s="1640"/>
      <c r="J78" s="1461"/>
      <c r="K78" s="1461"/>
      <c r="L78" s="1461"/>
      <c r="M78" s="1461"/>
      <c r="N78" s="1461"/>
      <c r="O78" s="1462"/>
    </row>
    <row r="79" spans="2:15" ht="15.75" x14ac:dyDescent="0.5">
      <c r="B79" s="1639"/>
      <c r="C79" s="1641"/>
      <c r="D79" s="1639"/>
      <c r="E79" s="1639"/>
      <c r="F79" s="1641"/>
      <c r="G79" s="1643"/>
      <c r="H79" s="1643"/>
      <c r="I79" s="1643"/>
      <c r="J79" s="1465"/>
      <c r="K79" s="1465"/>
      <c r="L79" s="1465"/>
      <c r="M79" s="1465"/>
      <c r="N79" s="1465"/>
      <c r="O79" s="1466"/>
    </row>
    <row r="80" spans="2:15" ht="15.75" x14ac:dyDescent="0.5">
      <c r="B80" s="1661"/>
      <c r="C80" s="1661"/>
      <c r="D80" s="1661"/>
      <c r="E80" s="1661"/>
      <c r="F80" s="1641"/>
      <c r="G80" s="1643"/>
      <c r="H80" s="1643"/>
      <c r="I80" s="1643"/>
      <c r="J80" s="1465"/>
      <c r="K80" s="1465"/>
      <c r="L80" s="1465"/>
      <c r="M80" s="1465"/>
      <c r="N80" s="1465"/>
      <c r="O80" s="1466"/>
    </row>
    <row r="85" spans="2:14" ht="15.75" customHeight="1" x14ac:dyDescent="0.45">
      <c r="B85" s="1664"/>
      <c r="C85" s="1658"/>
      <c r="D85" s="1658"/>
      <c r="E85" s="1658"/>
      <c r="F85" s="1658"/>
      <c r="G85" s="1658"/>
      <c r="H85" s="1658"/>
      <c r="I85" s="1658"/>
      <c r="J85" s="1669"/>
      <c r="K85" s="1669"/>
      <c r="L85" s="1669"/>
      <c r="M85" s="1669"/>
      <c r="N85" s="1670"/>
    </row>
    <row r="86" spans="2:14" ht="15.75" x14ac:dyDescent="0.5">
      <c r="B86" s="1661"/>
      <c r="C86" s="1659"/>
      <c r="D86" s="1661"/>
      <c r="E86" s="1661"/>
      <c r="F86" s="1661"/>
      <c r="G86" s="1661"/>
      <c r="H86" s="1660"/>
      <c r="I86" s="1660"/>
      <c r="J86" s="1671"/>
      <c r="K86" s="1671"/>
      <c r="L86" s="1671"/>
      <c r="M86" s="1671"/>
      <c r="N86" s="1672"/>
    </row>
    <row r="87" spans="2:14" ht="15.75" x14ac:dyDescent="0.45">
      <c r="B87" s="1639"/>
      <c r="C87" s="1639"/>
      <c r="D87" s="1639"/>
      <c r="E87" s="1638"/>
      <c r="F87" s="1666"/>
      <c r="G87" s="1636"/>
    </row>
    <row r="88" spans="2:14" ht="15.75" x14ac:dyDescent="0.45">
      <c r="D88" s="1639"/>
      <c r="E88" s="1638"/>
      <c r="F88" s="1637"/>
      <c r="G88" s="1636"/>
    </row>
    <row r="89" spans="2:14" ht="15.75" x14ac:dyDescent="0.45">
      <c r="D89" s="1639"/>
      <c r="E89" s="1638"/>
      <c r="F89" s="1666"/>
      <c r="G89" s="1636"/>
    </row>
    <row r="90" spans="2:14" ht="15.75" x14ac:dyDescent="0.45">
      <c r="D90" s="1639"/>
      <c r="E90" s="1638"/>
      <c r="F90" s="1666"/>
      <c r="G90" s="1636"/>
    </row>
    <row r="91" spans="2:14" ht="15.75" x14ac:dyDescent="0.45">
      <c r="B91" s="1639"/>
      <c r="C91" s="1639"/>
      <c r="D91" s="1639"/>
      <c r="E91" s="1638"/>
      <c r="F91" s="1666"/>
      <c r="G91" s="1636"/>
    </row>
    <row r="92" spans="2:14" ht="15.75" x14ac:dyDescent="0.45">
      <c r="D92" s="1639"/>
      <c r="E92" s="1667"/>
      <c r="F92" s="1637"/>
      <c r="G92" s="1636"/>
    </row>
    <row r="93" spans="2:14" ht="15.75" x14ac:dyDescent="0.45">
      <c r="D93" s="1639"/>
      <c r="E93" s="1667"/>
      <c r="F93" s="1638"/>
      <c r="G93" s="1636"/>
    </row>
    <row r="94" spans="2:14" ht="15.75" x14ac:dyDescent="0.45">
      <c r="B94" s="1639"/>
      <c r="C94" s="1639"/>
      <c r="D94" s="1639"/>
      <c r="E94" s="1638"/>
      <c r="F94" s="1666"/>
      <c r="G94" s="1636"/>
    </row>
    <row r="95" spans="2:14" ht="15.75" x14ac:dyDescent="0.45">
      <c r="D95" s="1639"/>
      <c r="E95" s="1667"/>
      <c r="F95" s="1637"/>
      <c r="G95" s="1636"/>
    </row>
    <row r="96" spans="2:14" ht="15.75" x14ac:dyDescent="0.45">
      <c r="B96" s="1639"/>
      <c r="C96" s="1639"/>
      <c r="D96" s="1639"/>
      <c r="E96" s="1638"/>
      <c r="F96" s="1666"/>
      <c r="G96" s="1636"/>
    </row>
    <row r="97" spans="2:7" ht="15.75" x14ac:dyDescent="0.45">
      <c r="D97" s="1639"/>
      <c r="E97" s="1667"/>
      <c r="F97" s="1637"/>
      <c r="G97" s="1636"/>
    </row>
    <row r="98" spans="2:7" ht="15.75" x14ac:dyDescent="0.45">
      <c r="D98" s="1639"/>
      <c r="E98" s="1667"/>
      <c r="F98" s="1638"/>
      <c r="G98" s="1636"/>
    </row>
    <row r="99" spans="2:7" ht="15.75" x14ac:dyDescent="0.45">
      <c r="B99" s="1639"/>
      <c r="C99" s="1639"/>
      <c r="D99" s="1639"/>
      <c r="E99" s="1638"/>
      <c r="F99" s="1666"/>
      <c r="G99" s="1636"/>
    </row>
    <row r="100" spans="2:7" ht="15.75" x14ac:dyDescent="0.45">
      <c r="D100" s="1639"/>
      <c r="E100" s="1667"/>
      <c r="F100" s="1637"/>
      <c r="G100" s="1636"/>
    </row>
    <row r="101" spans="2:7" ht="15.75" x14ac:dyDescent="0.45">
      <c r="D101" s="1639"/>
      <c r="E101" s="1667"/>
      <c r="F101" s="1638"/>
      <c r="G101" s="1636"/>
    </row>
    <row r="102" spans="2:7" ht="15.75" x14ac:dyDescent="0.45">
      <c r="D102" s="1639"/>
      <c r="E102" s="1667"/>
      <c r="F102" s="1638"/>
      <c r="G102" s="1636"/>
    </row>
    <row r="103" spans="2:7" ht="15.75" x14ac:dyDescent="0.45">
      <c r="B103" s="1639"/>
      <c r="C103" s="1640"/>
      <c r="D103" s="1639"/>
      <c r="E103" s="1638"/>
      <c r="F103" s="1666"/>
      <c r="G103" s="1636"/>
    </row>
    <row r="104" spans="2:7" ht="15.75" x14ac:dyDescent="0.45">
      <c r="D104" s="1639"/>
      <c r="E104" s="1667"/>
      <c r="F104" s="1637"/>
      <c r="G104" s="1636"/>
    </row>
    <row r="105" spans="2:7" ht="15.75" x14ac:dyDescent="0.45">
      <c r="D105" s="1639"/>
      <c r="E105" s="1667"/>
      <c r="F105" s="1638"/>
      <c r="G105" s="1636"/>
    </row>
    <row r="106" spans="2:7" ht="15.75" x14ac:dyDescent="0.45">
      <c r="D106" s="1639"/>
      <c r="E106" s="1667"/>
      <c r="F106" s="1638"/>
      <c r="G106" s="1636"/>
    </row>
    <row r="107" spans="2:7" ht="15.75" x14ac:dyDescent="0.45">
      <c r="B107" s="1639"/>
      <c r="C107" s="1640"/>
      <c r="D107" s="1644"/>
      <c r="E107" s="1638"/>
      <c r="F107" s="1666"/>
      <c r="G107" s="1636"/>
    </row>
    <row r="108" spans="2:7" ht="15.75" x14ac:dyDescent="0.45">
      <c r="D108" s="1644"/>
      <c r="E108" s="1667"/>
      <c r="F108" s="1637"/>
      <c r="G108" s="1636"/>
    </row>
    <row r="109" spans="2:7" ht="15.75" x14ac:dyDescent="0.45">
      <c r="D109" s="1644"/>
      <c r="E109" s="1667"/>
      <c r="F109" s="1638"/>
      <c r="G109" s="1636"/>
    </row>
    <row r="110" spans="2:7" ht="15.75" x14ac:dyDescent="0.45">
      <c r="D110" s="1644"/>
      <c r="E110" s="1667"/>
      <c r="F110" s="1638"/>
      <c r="G110" s="1636"/>
    </row>
    <row r="111" spans="2:7" ht="15.75" x14ac:dyDescent="0.45">
      <c r="B111" s="1639"/>
      <c r="C111" s="1639"/>
      <c r="D111" s="1639"/>
      <c r="E111" s="1638"/>
      <c r="F111" s="1666"/>
      <c r="G111" s="1636"/>
    </row>
    <row r="112" spans="2:7" ht="15.75" x14ac:dyDescent="0.45">
      <c r="D112" s="1639"/>
      <c r="E112" s="1667"/>
      <c r="F112" s="1637"/>
      <c r="G112" s="1636"/>
    </row>
    <row r="113" spans="2:7" ht="15.75" x14ac:dyDescent="0.45">
      <c r="D113" s="1639"/>
      <c r="E113" s="1667"/>
      <c r="F113" s="1638"/>
      <c r="G113" s="1636"/>
    </row>
    <row r="114" spans="2:7" ht="15.75" x14ac:dyDescent="0.45">
      <c r="B114" s="1639"/>
      <c r="C114" s="1640"/>
    </row>
    <row r="115" spans="2:7" ht="15.75" x14ac:dyDescent="0.45">
      <c r="B115" s="1639"/>
      <c r="C115" s="1640"/>
    </row>
    <row r="116" spans="2:7" ht="15.75" x14ac:dyDescent="0.5">
      <c r="B116" s="1661"/>
      <c r="C116" s="1660"/>
      <c r="D116" s="1673"/>
      <c r="E116" s="1673"/>
      <c r="F116" s="1660"/>
      <c r="G116" s="1660"/>
    </row>
    <row r="117" spans="2:7" ht="15.75" x14ac:dyDescent="0.45">
      <c r="B117" s="1639"/>
      <c r="C117" s="1640"/>
      <c r="D117" s="1639"/>
      <c r="E117" s="1638"/>
      <c r="F117" s="1638"/>
      <c r="G117" s="1636"/>
    </row>
    <row r="118" spans="2:7" ht="15.75" x14ac:dyDescent="0.45">
      <c r="D118" s="1639"/>
    </row>
    <row r="119" spans="2:7" ht="15.75" x14ac:dyDescent="0.45">
      <c r="B119" s="1639"/>
      <c r="C119" s="1640"/>
      <c r="D119" s="1639"/>
      <c r="E119" s="1638"/>
    </row>
    <row r="120" spans="2:7" ht="15.75" x14ac:dyDescent="0.45">
      <c r="D120" s="1639"/>
    </row>
    <row r="121" spans="2:7" ht="15.75" x14ac:dyDescent="0.45">
      <c r="B121" s="1639"/>
      <c r="C121" s="1640"/>
      <c r="D121" s="1639"/>
      <c r="E121" s="1638"/>
      <c r="F121" s="1638"/>
      <c r="G121" s="1636"/>
    </row>
    <row r="122" spans="2:7" ht="15.75" x14ac:dyDescent="0.45">
      <c r="B122" s="1639"/>
      <c r="C122" s="1640"/>
      <c r="D122" s="1639"/>
      <c r="E122" s="1667"/>
      <c r="F122" s="1638"/>
      <c r="G122" s="1636"/>
    </row>
    <row r="123" spans="2:7" ht="15.75" x14ac:dyDescent="0.45">
      <c r="B123" s="1639"/>
      <c r="C123" s="1640"/>
      <c r="F123" s="1674"/>
      <c r="G123" s="1675"/>
    </row>
    <row r="124" spans="2:7" ht="15.75" x14ac:dyDescent="0.5">
      <c r="B124" s="1661"/>
      <c r="C124" s="1660"/>
      <c r="D124" s="1661"/>
      <c r="E124" s="1661"/>
      <c r="F124" s="1661"/>
      <c r="G124" s="1661"/>
    </row>
    <row r="127" spans="2:7" ht="15.75" x14ac:dyDescent="0.5">
      <c r="B127" s="1661"/>
      <c r="C127" s="1660"/>
      <c r="D127" s="1660"/>
      <c r="E127" s="1660"/>
      <c r="F127" s="1660"/>
      <c r="G127" s="1660"/>
    </row>
    <row r="128" spans="2:7" ht="15.75" x14ac:dyDescent="0.45">
      <c r="B128" s="1639"/>
      <c r="C128" s="1640"/>
    </row>
    <row r="129" spans="2:7" ht="15.75" x14ac:dyDescent="0.45">
      <c r="B129" s="1639"/>
      <c r="C129" s="1640"/>
    </row>
    <row r="131" spans="2:7" ht="15.75" x14ac:dyDescent="0.45">
      <c r="B131" s="1639"/>
      <c r="C131" s="1640"/>
    </row>
    <row r="132" spans="2:7" ht="15.75" x14ac:dyDescent="0.45">
      <c r="B132" s="1661"/>
      <c r="C132" s="1640"/>
      <c r="D132" s="1641"/>
      <c r="E132" s="1641"/>
      <c r="F132" s="1641"/>
      <c r="G132" s="1641"/>
    </row>
    <row r="133" spans="2:7" ht="15.75" x14ac:dyDescent="0.45">
      <c r="B133" s="1639"/>
      <c r="C133" s="1640"/>
    </row>
    <row r="134" spans="2:7" ht="15.75" x14ac:dyDescent="0.45">
      <c r="B134" s="1639"/>
      <c r="C134" s="1640"/>
    </row>
    <row r="135" spans="2:7" ht="15.75" x14ac:dyDescent="0.45">
      <c r="B135" s="1639"/>
      <c r="C135" s="1640"/>
    </row>
    <row r="136" spans="2:7" ht="15.75" x14ac:dyDescent="0.45">
      <c r="B136" s="1639"/>
      <c r="C136" s="1640"/>
    </row>
    <row r="137" spans="2:7" ht="15.75" x14ac:dyDescent="0.45">
      <c r="B137" s="1661"/>
      <c r="C137" s="1661"/>
      <c r="D137" s="1661"/>
      <c r="E137" s="1661"/>
      <c r="F137" s="1661"/>
      <c r="G137" s="1661"/>
    </row>
  </sheetData>
  <sheetProtection algorithmName="SHA-512" hashValue="Q0gpGO7HvBq0Fy+bJiF/Kav7ByQnZ5hhfiTk78ivMdRkONCYXGZSVjPYmfzFj/IrWFjB3FTubWu8Dzbghda8mQ==" saltValue="4htLP+jxcdBGh4PCYQ+O+A==" spinCount="100000" sheet="1" objects="1" scenarios="1"/>
  <mergeCells count="5">
    <mergeCell ref="G35:G37"/>
    <mergeCell ref="H35:H37"/>
    <mergeCell ref="I35:I37"/>
    <mergeCell ref="E39:E40"/>
    <mergeCell ref="G39:G4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CCFFFF"/>
  </sheetPr>
  <dimension ref="A1:AO196"/>
  <sheetViews>
    <sheetView workbookViewId="0">
      <selection activeCell="J12" sqref="J12:J15"/>
    </sheetView>
  </sheetViews>
  <sheetFormatPr defaultColWidth="9.1328125" defaultRowHeight="14.25" outlineLevelCol="1" x14ac:dyDescent="0.45"/>
  <cols>
    <col min="1" max="1" width="15.73046875" style="888" customWidth="1"/>
    <col min="2" max="2" width="14.265625" style="888" customWidth="1"/>
    <col min="3" max="3" width="17.265625" style="888" customWidth="1"/>
    <col min="4" max="4" width="34.59765625" style="888" customWidth="1"/>
    <col min="5" max="5" width="13.59765625" style="888" customWidth="1"/>
    <col min="6" max="6" width="9.1328125" style="888"/>
    <col min="7" max="7" width="17.1328125" style="888" customWidth="1"/>
    <col min="8" max="8" width="17.86328125" style="888" customWidth="1"/>
    <col min="9" max="9" width="12.3984375" style="888" customWidth="1"/>
    <col min="10" max="14" width="9.1328125" style="888"/>
    <col min="15" max="15" width="10.73046875" style="888" hidden="1" customWidth="1" outlineLevel="1"/>
    <col min="16" max="17" width="9.1328125" style="888" hidden="1" customWidth="1" outlineLevel="1"/>
    <col min="18" max="18" width="11.1328125" style="888" hidden="1" customWidth="1" outlineLevel="1"/>
    <col min="19" max="19" width="9.1328125" style="888" hidden="1" customWidth="1" outlineLevel="1"/>
    <col min="20" max="20" width="15" style="888" customWidth="1" collapsed="1"/>
    <col min="21" max="21" width="12.73046875" style="888" hidden="1" customWidth="1" outlineLevel="1"/>
    <col min="22" max="22" width="12.1328125" style="888" hidden="1" customWidth="1" outlineLevel="1"/>
    <col min="23" max="23" width="11.86328125" style="888" hidden="1" customWidth="1" outlineLevel="1"/>
    <col min="24" max="27" width="9.1328125" style="888" hidden="1" customWidth="1" outlineLevel="1"/>
    <col min="28" max="28" width="11.1328125" style="888" hidden="1" customWidth="1" outlineLevel="1"/>
    <col min="29" max="30" width="9.1328125" style="888" hidden="1" customWidth="1" outlineLevel="1"/>
    <col min="31" max="31" width="11.59765625" style="888" bestFit="1" customWidth="1" collapsed="1"/>
    <col min="32" max="32" width="13.265625" style="888" customWidth="1"/>
    <col min="33" max="33" width="10.59765625" style="888" bestFit="1" customWidth="1"/>
    <col min="34" max="34" width="18.73046875" style="888" customWidth="1"/>
    <col min="35" max="35" width="41.3984375" style="888" customWidth="1"/>
    <col min="36" max="36" width="13.265625" style="888" customWidth="1"/>
    <col min="37" max="37" width="9.1328125" style="888"/>
    <col min="38" max="38" width="17.86328125" style="888" customWidth="1"/>
    <col min="39" max="16384" width="9.1328125" style="888"/>
  </cols>
  <sheetData>
    <row r="1" spans="1:41" ht="14.65" thickTop="1" x14ac:dyDescent="0.45">
      <c r="A1" s="999"/>
      <c r="B1" s="1000"/>
      <c r="C1" s="1000"/>
      <c r="D1" s="1001"/>
      <c r="E1" s="1736"/>
      <c r="F1" s="1736"/>
      <c r="G1" s="1736"/>
      <c r="H1" s="1736"/>
      <c r="I1" s="1736"/>
      <c r="J1" s="1736"/>
      <c r="K1" s="1736"/>
      <c r="L1" s="1736"/>
      <c r="M1" s="1736"/>
      <c r="N1" s="1736"/>
      <c r="O1" s="1736"/>
      <c r="P1" s="1736"/>
      <c r="Q1" s="1736"/>
      <c r="R1" s="1736"/>
      <c r="S1" s="1736"/>
      <c r="T1" s="1736"/>
      <c r="U1" s="1736"/>
      <c r="V1" s="1736"/>
      <c r="W1" s="1736"/>
      <c r="X1" s="1845"/>
      <c r="Y1" s="1207"/>
      <c r="Z1" s="1207"/>
      <c r="AA1" s="1207"/>
      <c r="AB1" s="1207"/>
      <c r="AC1" s="1207"/>
      <c r="AD1" s="1207"/>
      <c r="AE1" s="1207"/>
      <c r="AF1" s="1207"/>
      <c r="AG1" s="1207"/>
      <c r="AH1" s="1207"/>
      <c r="AI1" s="1207"/>
      <c r="AJ1" s="1207"/>
      <c r="AK1" s="1207"/>
      <c r="AL1" s="1207"/>
      <c r="AM1" s="1207"/>
      <c r="AN1" s="1207"/>
      <c r="AO1" s="1207"/>
    </row>
    <row r="2" spans="1:41" x14ac:dyDescent="0.45">
      <c r="A2" s="1002" t="s">
        <v>380</v>
      </c>
      <c r="B2" s="1024" t="s">
        <v>572</v>
      </c>
      <c r="C2" s="887"/>
      <c r="D2" s="1004"/>
      <c r="E2" s="1736"/>
      <c r="F2" s="1736"/>
      <c r="G2" s="1736"/>
      <c r="H2" s="1736"/>
      <c r="I2" s="1736"/>
      <c r="J2" s="1736"/>
      <c r="K2" s="1736"/>
      <c r="L2" s="1736"/>
      <c r="M2" s="1736"/>
      <c r="N2" s="1736"/>
      <c r="O2" s="1736"/>
      <c r="P2" s="1736"/>
      <c r="Q2" s="1736"/>
      <c r="R2" s="1736"/>
      <c r="S2" s="1736"/>
      <c r="T2" s="1736"/>
      <c r="U2" s="1736"/>
      <c r="V2" s="1736"/>
      <c r="W2" s="1736"/>
      <c r="X2" s="1736"/>
      <c r="Y2" s="1736"/>
      <c r="Z2" s="1736"/>
      <c r="AA2" s="1736"/>
      <c r="AB2" s="1737"/>
      <c r="AC2" s="1737"/>
      <c r="AD2" s="1737"/>
      <c r="AE2" s="1737"/>
      <c r="AF2" s="1736"/>
      <c r="AG2" s="1736"/>
      <c r="AH2" s="1736"/>
      <c r="AI2" s="1736"/>
      <c r="AJ2" s="1736"/>
      <c r="AK2" s="1736"/>
      <c r="AL2" s="1736"/>
      <c r="AM2" s="1736"/>
      <c r="AN2" s="1736"/>
      <c r="AO2" s="1736"/>
    </row>
    <row r="3" spans="1:41" x14ac:dyDescent="0.45">
      <c r="A3" s="1025" t="s">
        <v>568</v>
      </c>
      <c r="B3" s="1003">
        <v>2018</v>
      </c>
      <c r="C3" s="887"/>
      <c r="D3" s="1004"/>
      <c r="E3" s="1742"/>
      <c r="F3" s="1742"/>
      <c r="G3" s="1736"/>
      <c r="H3" s="1736"/>
      <c r="I3" s="1736"/>
      <c r="J3" s="1736"/>
      <c r="K3" s="1736"/>
      <c r="L3" s="1736"/>
      <c r="M3" s="1736"/>
      <c r="N3" s="1736"/>
      <c r="O3" s="1736"/>
      <c r="P3" s="1736"/>
      <c r="Q3" s="1736"/>
      <c r="R3" s="1736"/>
      <c r="S3" s="1736"/>
      <c r="T3" s="1736"/>
      <c r="U3" s="1736"/>
      <c r="V3" s="1736"/>
      <c r="W3" s="1736"/>
      <c r="X3" s="1736"/>
      <c r="Y3" s="1736"/>
      <c r="Z3" s="1736"/>
      <c r="AA3" s="1736"/>
      <c r="AB3" s="1737"/>
      <c r="AC3" s="1737"/>
      <c r="AD3" s="1737"/>
      <c r="AE3" s="1737"/>
      <c r="AF3" s="1736"/>
      <c r="AG3" s="1736"/>
      <c r="AH3" s="1736"/>
      <c r="AI3" s="1736"/>
      <c r="AJ3" s="1736"/>
      <c r="AK3" s="1736"/>
      <c r="AL3" s="1736"/>
      <c r="AM3" s="1736"/>
      <c r="AN3" s="1736"/>
      <c r="AO3" s="1736"/>
    </row>
    <row r="4" spans="1:41" x14ac:dyDescent="0.45">
      <c r="A4" s="1005" t="s">
        <v>397</v>
      </c>
      <c r="B4" s="1006" t="s">
        <v>309</v>
      </c>
      <c r="C4" s="259"/>
      <c r="D4" s="1007"/>
      <c r="E4" s="1736"/>
      <c r="F4" s="1736"/>
      <c r="G4" s="1736"/>
      <c r="H4" s="1736"/>
      <c r="I4" s="1736"/>
      <c r="J4" s="1736"/>
      <c r="K4" s="1736"/>
      <c r="L4" s="1736"/>
      <c r="M4" s="1736"/>
      <c r="N4" s="1736"/>
      <c r="O4" s="1736"/>
      <c r="P4" s="1736"/>
      <c r="Q4" s="1736"/>
      <c r="R4" s="1736"/>
      <c r="S4" s="1736"/>
      <c r="T4" s="1736"/>
      <c r="U4" s="1736"/>
      <c r="V4" s="1736"/>
      <c r="W4" s="1736"/>
      <c r="X4" s="1736"/>
      <c r="Y4" s="1736"/>
      <c r="Z4" s="1736"/>
      <c r="AA4" s="1736"/>
      <c r="AB4" s="1737"/>
      <c r="AC4" s="1737"/>
      <c r="AD4" s="1737"/>
      <c r="AE4" s="1737"/>
      <c r="AF4" s="1736"/>
      <c r="AG4" s="1736"/>
      <c r="AH4" s="1736"/>
      <c r="AI4" s="1736"/>
      <c r="AJ4" s="1736"/>
      <c r="AK4" s="1736"/>
      <c r="AL4" s="1736"/>
      <c r="AM4" s="1736"/>
      <c r="AN4" s="1736"/>
      <c r="AO4" s="1736"/>
    </row>
    <row r="5" spans="1:41" x14ac:dyDescent="0.45">
      <c r="A5" s="2044" t="s">
        <v>2316</v>
      </c>
      <c r="B5" s="259"/>
      <c r="C5" s="259"/>
      <c r="D5" s="1007"/>
      <c r="E5" s="1752"/>
      <c r="F5" s="1736"/>
      <c r="G5" s="1736"/>
      <c r="H5" s="1736"/>
      <c r="I5" s="1736"/>
      <c r="J5" s="1736"/>
      <c r="K5" s="1736"/>
      <c r="L5" s="1752"/>
      <c r="M5" s="1752"/>
      <c r="N5" s="1752"/>
      <c r="O5" s="1736"/>
      <c r="P5" s="1736"/>
      <c r="Q5" s="1736"/>
      <c r="R5" s="1736"/>
      <c r="S5" s="1736"/>
      <c r="T5" s="1736"/>
      <c r="U5" s="1736"/>
      <c r="V5" s="1736"/>
      <c r="W5" s="1736"/>
      <c r="X5" s="1736"/>
      <c r="Y5" s="1736"/>
      <c r="Z5" s="1736"/>
      <c r="AA5" s="1736"/>
      <c r="AB5" s="1737"/>
      <c r="AC5" s="1737"/>
      <c r="AD5" s="1737"/>
      <c r="AE5" s="1737"/>
      <c r="AF5" s="1736"/>
      <c r="AG5" s="1736"/>
      <c r="AH5" s="1736"/>
      <c r="AI5" s="1736"/>
      <c r="AJ5" s="1736"/>
      <c r="AK5" s="1736"/>
      <c r="AL5" s="1736"/>
      <c r="AM5" s="1736"/>
      <c r="AN5" s="1736"/>
      <c r="AO5" s="1736"/>
    </row>
    <row r="6" spans="1:41" ht="14.65" thickBot="1" x14ac:dyDescent="0.5">
      <c r="A6" s="2045"/>
      <c r="B6" s="1008"/>
      <c r="C6" s="1009"/>
      <c r="D6" s="1010"/>
      <c r="E6" s="1746"/>
      <c r="F6" s="1736"/>
      <c r="G6" s="1736"/>
      <c r="H6" s="1736"/>
      <c r="I6" s="1736"/>
      <c r="J6" s="1736"/>
      <c r="K6" s="1736"/>
      <c r="L6" s="1789"/>
      <c r="M6" s="1789"/>
      <c r="N6" s="1794"/>
      <c r="O6" s="1747"/>
      <c r="P6" s="1736"/>
      <c r="Q6" s="1795"/>
      <c r="R6" s="1736"/>
      <c r="S6" s="1736"/>
      <c r="T6" s="1736"/>
      <c r="U6" s="1736"/>
      <c r="V6" s="1736"/>
      <c r="W6" s="1736"/>
      <c r="X6" s="1736"/>
      <c r="Y6" s="1736"/>
      <c r="Z6" s="1736"/>
      <c r="AA6" s="1736"/>
      <c r="AB6" s="1737"/>
      <c r="AC6" s="1737"/>
      <c r="AD6" s="1737"/>
      <c r="AE6" s="1737"/>
      <c r="AF6" s="1736"/>
      <c r="AG6" s="1736"/>
      <c r="AH6" s="1736"/>
      <c r="AI6" s="1736"/>
      <c r="AJ6" s="1736"/>
      <c r="AK6" s="1736"/>
      <c r="AL6" s="1736"/>
      <c r="AM6" s="1736"/>
      <c r="AN6" s="1736"/>
      <c r="AO6" s="1736"/>
    </row>
    <row r="7" spans="1:41" ht="14.65" thickTop="1" x14ac:dyDescent="0.45">
      <c r="D7" s="1207"/>
      <c r="F7" s="1736"/>
      <c r="G7" s="1736"/>
      <c r="H7" s="1736"/>
      <c r="I7" s="1736"/>
      <c r="J7" s="1736"/>
      <c r="K7" s="1736"/>
      <c r="W7" s="1846"/>
    </row>
    <row r="8" spans="1:41" x14ac:dyDescent="0.45">
      <c r="F8" s="1736"/>
      <c r="G8" s="1736"/>
      <c r="H8" s="1736"/>
      <c r="I8" s="1736"/>
      <c r="J8" s="1736"/>
    </row>
    <row r="9" spans="1:41" ht="14.65" thickBot="1" x14ac:dyDescent="0.5">
      <c r="B9" s="1682"/>
      <c r="F9" s="1736"/>
      <c r="G9" s="1736"/>
      <c r="H9" s="1736"/>
      <c r="I9" s="1736"/>
      <c r="J9" s="1736"/>
    </row>
    <row r="10" spans="1:41" ht="15" thickBot="1" x14ac:dyDescent="0.5">
      <c r="B10" s="251" t="s">
        <v>1596</v>
      </c>
      <c r="C10" s="253"/>
      <c r="D10" s="262"/>
      <c r="E10" s="243"/>
      <c r="F10" s="245"/>
      <c r="G10" s="246"/>
      <c r="H10" s="245"/>
      <c r="I10" s="246"/>
      <c r="J10" s="245"/>
      <c r="K10" s="245"/>
      <c r="L10" s="2396" t="s">
        <v>881</v>
      </c>
      <c r="M10" s="2394"/>
      <c r="N10" s="2394"/>
      <c r="O10" s="2394"/>
      <c r="P10" s="2394"/>
      <c r="Q10" s="2394"/>
      <c r="R10" s="2394"/>
      <c r="S10" s="2394"/>
      <c r="T10" s="2394"/>
      <c r="U10" s="2394"/>
      <c r="V10" s="2394"/>
      <c r="W10" s="2394"/>
      <c r="X10" s="2394"/>
      <c r="Y10" s="2394"/>
      <c r="Z10" s="2394"/>
      <c r="AA10" s="2394"/>
      <c r="AB10" s="2394"/>
      <c r="AC10" s="2394"/>
      <c r="AD10" s="2394"/>
      <c r="AE10" s="2394"/>
      <c r="AF10" s="2394"/>
      <c r="AG10" s="2395"/>
      <c r="AH10" s="253"/>
    </row>
    <row r="11" spans="1:41" ht="40.5" thickBot="1" x14ac:dyDescent="0.55000000000000004">
      <c r="B11" s="678" t="s">
        <v>1271</v>
      </c>
      <c r="C11" s="617" t="s">
        <v>1270</v>
      </c>
      <c r="D11" s="268" t="s">
        <v>521</v>
      </c>
      <c r="E11" s="617" t="s">
        <v>522</v>
      </c>
      <c r="F11" s="618" t="s">
        <v>1280</v>
      </c>
      <c r="G11" s="268" t="s">
        <v>1278</v>
      </c>
      <c r="H11" s="618" t="s">
        <v>882</v>
      </c>
      <c r="I11" s="268" t="s">
        <v>574</v>
      </c>
      <c r="J11" s="618" t="s">
        <v>584</v>
      </c>
      <c r="K11" s="618" t="s">
        <v>1663</v>
      </c>
      <c r="L11" s="617" t="s">
        <v>798</v>
      </c>
      <c r="M11" s="618" t="s">
        <v>799</v>
      </c>
      <c r="N11" s="269" t="s">
        <v>1675</v>
      </c>
      <c r="O11" s="436" t="s">
        <v>492</v>
      </c>
      <c r="P11" s="436" t="s">
        <v>577</v>
      </c>
      <c r="Q11" s="436" t="s">
        <v>578</v>
      </c>
      <c r="R11" s="436" t="s">
        <v>490</v>
      </c>
      <c r="S11" s="436" t="s">
        <v>579</v>
      </c>
      <c r="T11" s="1139" t="s">
        <v>120</v>
      </c>
      <c r="U11" s="435" t="s">
        <v>501</v>
      </c>
      <c r="V11" s="436" t="s">
        <v>505</v>
      </c>
      <c r="W11" s="436" t="s">
        <v>509</v>
      </c>
      <c r="X11" s="436" t="s">
        <v>511</v>
      </c>
      <c r="Y11" s="436" t="s">
        <v>513</v>
      </c>
      <c r="Z11" s="436" t="s">
        <v>495</v>
      </c>
      <c r="AA11" s="436" t="s">
        <v>580</v>
      </c>
      <c r="AB11" s="436" t="s">
        <v>497</v>
      </c>
      <c r="AC11" s="436" t="s">
        <v>581</v>
      </c>
      <c r="AD11" s="1116" t="s">
        <v>582</v>
      </c>
      <c r="AE11" s="751" t="s">
        <v>1598</v>
      </c>
      <c r="AF11" s="752" t="s">
        <v>79</v>
      </c>
      <c r="AG11" s="753" t="s">
        <v>112</v>
      </c>
      <c r="AH11" s="250" t="s">
        <v>802</v>
      </c>
    </row>
    <row r="12" spans="1:41" ht="28.5" x14ac:dyDescent="0.45">
      <c r="B12" s="1141" t="s">
        <v>441</v>
      </c>
      <c r="C12" s="1086" t="s">
        <v>1196</v>
      </c>
      <c r="D12" s="1086" t="s">
        <v>1221</v>
      </c>
      <c r="E12" s="1166" t="s">
        <v>1251</v>
      </c>
      <c r="F12" s="1097"/>
      <c r="G12" s="1097"/>
      <c r="H12" s="1097"/>
      <c r="I12" s="1141" t="s">
        <v>321</v>
      </c>
      <c r="J12" s="2123" t="s">
        <v>363</v>
      </c>
      <c r="K12" s="1134"/>
      <c r="L12" s="1127"/>
      <c r="M12" s="1097"/>
      <c r="N12" s="1097"/>
      <c r="O12" s="1097"/>
      <c r="P12" s="1097"/>
      <c r="Q12" s="1097"/>
      <c r="R12" s="1097"/>
      <c r="S12" s="1134"/>
      <c r="T12" s="1124"/>
      <c r="U12" s="1097"/>
      <c r="V12" s="1097"/>
      <c r="W12" s="1097"/>
      <c r="X12" s="1097"/>
      <c r="Y12" s="1097"/>
      <c r="Z12" s="1097"/>
      <c r="AA12" s="1097"/>
      <c r="AB12" s="1097"/>
      <c r="AC12" s="1097"/>
      <c r="AD12" s="1134"/>
      <c r="AE12" s="1134"/>
      <c r="AF12" s="1127"/>
      <c r="AG12" s="1128"/>
      <c r="AH12" s="1124"/>
    </row>
    <row r="13" spans="1:41" ht="28.5" x14ac:dyDescent="0.45">
      <c r="B13" s="1142" t="s">
        <v>441</v>
      </c>
      <c r="C13" s="1076" t="s">
        <v>1197</v>
      </c>
      <c r="D13" s="1076" t="s">
        <v>1222</v>
      </c>
      <c r="E13" s="1167" t="s">
        <v>1251</v>
      </c>
      <c r="F13" s="1098"/>
      <c r="G13" s="1098"/>
      <c r="H13" s="1098"/>
      <c r="I13" s="1142" t="s">
        <v>321</v>
      </c>
      <c r="J13" s="2124" t="s">
        <v>363</v>
      </c>
      <c r="K13" s="1136"/>
      <c r="L13" s="1135"/>
      <c r="M13" s="1098"/>
      <c r="N13" s="1098"/>
      <c r="O13" s="1098"/>
      <c r="P13" s="1098"/>
      <c r="Q13" s="1098"/>
      <c r="R13" s="1098"/>
      <c r="S13" s="1136"/>
      <c r="T13" s="1140"/>
      <c r="U13" s="1098"/>
      <c r="V13" s="1098"/>
      <c r="W13" s="1098"/>
      <c r="X13" s="1098"/>
      <c r="Y13" s="1098"/>
      <c r="Z13" s="1098"/>
      <c r="AA13" s="1098"/>
      <c r="AB13" s="1098"/>
      <c r="AC13" s="1098"/>
      <c r="AD13" s="1136"/>
      <c r="AE13" s="1130"/>
      <c r="AF13" s="1129"/>
      <c r="AG13" s="1130"/>
      <c r="AH13" s="1125"/>
    </row>
    <row r="14" spans="1:41" ht="28.5" x14ac:dyDescent="0.45">
      <c r="B14" s="1142" t="s">
        <v>441</v>
      </c>
      <c r="C14" s="1076" t="s">
        <v>1198</v>
      </c>
      <c r="D14" s="1076" t="s">
        <v>1223</v>
      </c>
      <c r="E14" s="1167" t="s">
        <v>1251</v>
      </c>
      <c r="F14" s="1098"/>
      <c r="G14" s="1098"/>
      <c r="H14" s="1098"/>
      <c r="I14" s="1142" t="s">
        <v>321</v>
      </c>
      <c r="J14" s="2124" t="s">
        <v>363</v>
      </c>
      <c r="K14" s="1136"/>
      <c r="L14" s="1135"/>
      <c r="M14" s="1098"/>
      <c r="N14" s="1098"/>
      <c r="O14" s="1098"/>
      <c r="P14" s="1098"/>
      <c r="Q14" s="1098"/>
      <c r="R14" s="1098"/>
      <c r="S14" s="1136"/>
      <c r="T14" s="1140"/>
      <c r="U14" s="1098"/>
      <c r="V14" s="1098"/>
      <c r="W14" s="1098"/>
      <c r="X14" s="1098"/>
      <c r="Y14" s="1098"/>
      <c r="Z14" s="1098"/>
      <c r="AA14" s="1098"/>
      <c r="AB14" s="1098"/>
      <c r="AC14" s="1098"/>
      <c r="AD14" s="1136"/>
      <c r="AE14" s="1130"/>
      <c r="AF14" s="1129"/>
      <c r="AG14" s="1130"/>
      <c r="AH14" s="1125"/>
    </row>
    <row r="15" spans="1:41" ht="28.9" thickBot="1" x14ac:dyDescent="0.5">
      <c r="B15" s="1143" t="s">
        <v>441</v>
      </c>
      <c r="C15" s="1088" t="s">
        <v>1200</v>
      </c>
      <c r="D15" s="1088" t="s">
        <v>1225</v>
      </c>
      <c r="E15" s="1206" t="s">
        <v>1251</v>
      </c>
      <c r="F15" s="1100"/>
      <c r="G15" s="1100"/>
      <c r="H15" s="1100"/>
      <c r="I15" s="1143" t="s">
        <v>321</v>
      </c>
      <c r="J15" s="2125" t="s">
        <v>363</v>
      </c>
      <c r="K15" s="1138"/>
      <c r="L15" s="1137"/>
      <c r="M15" s="1100"/>
      <c r="N15" s="1100"/>
      <c r="O15" s="1100"/>
      <c r="P15" s="1100"/>
      <c r="Q15" s="1100"/>
      <c r="R15" s="1100"/>
      <c r="S15" s="1138"/>
      <c r="T15" s="1126"/>
      <c r="U15" s="1100"/>
      <c r="V15" s="1100"/>
      <c r="W15" s="1100"/>
      <c r="X15" s="1100"/>
      <c r="Y15" s="1100"/>
      <c r="Z15" s="1100"/>
      <c r="AA15" s="1100"/>
      <c r="AB15" s="1100"/>
      <c r="AC15" s="1100"/>
      <c r="AD15" s="1138"/>
      <c r="AE15" s="1132"/>
      <c r="AF15" s="1131"/>
      <c r="AG15" s="1132"/>
      <c r="AH15" s="1126"/>
    </row>
    <row r="19" spans="2:40" ht="14.65" thickBot="1" x14ac:dyDescent="0.5">
      <c r="B19" s="1682"/>
    </row>
    <row r="20" spans="2:40" ht="19.5" customHeight="1" thickBot="1" x14ac:dyDescent="0.5">
      <c r="B20" s="251" t="s">
        <v>1597</v>
      </c>
      <c r="C20" s="253"/>
      <c r="D20" s="262"/>
      <c r="E20" s="243"/>
      <c r="F20" s="245"/>
      <c r="G20" s="246"/>
      <c r="H20" s="245"/>
      <c r="I20" s="246"/>
      <c r="J20" s="245"/>
      <c r="K20" s="243"/>
      <c r="L20" s="2393" t="s">
        <v>881</v>
      </c>
      <c r="M20" s="2394"/>
      <c r="N20" s="2394"/>
      <c r="O20" s="2394"/>
      <c r="P20" s="2394"/>
      <c r="Q20" s="2394"/>
      <c r="R20" s="2394"/>
      <c r="S20" s="2394"/>
      <c r="T20" s="2394"/>
      <c r="U20" s="2394"/>
      <c r="V20" s="2394"/>
      <c r="W20" s="2394"/>
      <c r="X20" s="2394"/>
      <c r="Y20" s="2394"/>
      <c r="Z20" s="2394"/>
      <c r="AA20" s="2394"/>
      <c r="AB20" s="2394"/>
      <c r="AC20" s="2394"/>
      <c r="AD20" s="2394"/>
      <c r="AE20" s="2394"/>
      <c r="AF20" s="2394"/>
      <c r="AG20" s="2395"/>
      <c r="AH20" s="253"/>
    </row>
    <row r="21" spans="2:40" ht="50.25" customHeight="1" thickBot="1" x14ac:dyDescent="0.6">
      <c r="B21" s="678" t="s">
        <v>1271</v>
      </c>
      <c r="C21" s="617" t="s">
        <v>1270</v>
      </c>
      <c r="D21" s="268" t="s">
        <v>521</v>
      </c>
      <c r="E21" s="617" t="s">
        <v>522</v>
      </c>
      <c r="F21" s="618" t="s">
        <v>1280</v>
      </c>
      <c r="G21" s="268" t="s">
        <v>1278</v>
      </c>
      <c r="H21" s="618" t="s">
        <v>882</v>
      </c>
      <c r="I21" s="268" t="s">
        <v>574</v>
      </c>
      <c r="J21" s="618" t="s">
        <v>584</v>
      </c>
      <c r="K21" s="1117" t="s">
        <v>1663</v>
      </c>
      <c r="L21" s="241" t="s">
        <v>798</v>
      </c>
      <c r="M21" s="242" t="s">
        <v>799</v>
      </c>
      <c r="N21" s="257" t="s">
        <v>1675</v>
      </c>
      <c r="O21" s="752" t="s">
        <v>1676</v>
      </c>
      <c r="P21" s="752" t="s">
        <v>1677</v>
      </c>
      <c r="Q21" s="752" t="s">
        <v>1678</v>
      </c>
      <c r="R21" s="752" t="s">
        <v>1679</v>
      </c>
      <c r="S21" s="753" t="s">
        <v>1680</v>
      </c>
      <c r="T21" s="751" t="s">
        <v>1599</v>
      </c>
      <c r="U21" s="751" t="s">
        <v>501</v>
      </c>
      <c r="V21" s="752" t="s">
        <v>505</v>
      </c>
      <c r="W21" s="752" t="s">
        <v>509</v>
      </c>
      <c r="X21" s="752" t="s">
        <v>511</v>
      </c>
      <c r="Y21" s="752" t="s">
        <v>513</v>
      </c>
      <c r="Z21" s="752" t="s">
        <v>495</v>
      </c>
      <c r="AA21" s="752" t="s">
        <v>580</v>
      </c>
      <c r="AB21" s="752" t="s">
        <v>497</v>
      </c>
      <c r="AC21" s="752" t="s">
        <v>581</v>
      </c>
      <c r="AD21" s="753" t="s">
        <v>582</v>
      </c>
      <c r="AE21" s="751" t="s">
        <v>1598</v>
      </c>
      <c r="AF21" s="752" t="s">
        <v>1682</v>
      </c>
      <c r="AG21" s="753" t="s">
        <v>1681</v>
      </c>
      <c r="AH21" s="261" t="s">
        <v>802</v>
      </c>
    </row>
    <row r="22" spans="2:40" ht="25.5" customHeight="1" x14ac:dyDescent="0.45">
      <c r="B22" s="1110" t="s">
        <v>447</v>
      </c>
      <c r="C22" s="1111" t="s">
        <v>1199</v>
      </c>
      <c r="D22" s="1111" t="s">
        <v>1224</v>
      </c>
      <c r="E22" s="1111" t="s">
        <v>1252</v>
      </c>
      <c r="F22" s="1111" t="s">
        <v>1541</v>
      </c>
      <c r="G22" s="1111" t="s">
        <v>1540</v>
      </c>
      <c r="H22" s="1111" t="s">
        <v>1492</v>
      </c>
      <c r="I22" s="1103" t="s">
        <v>321</v>
      </c>
      <c r="J22" s="1104"/>
      <c r="K22" s="1124"/>
      <c r="L22" s="1102"/>
      <c r="M22" s="1103"/>
      <c r="N22" s="1103"/>
      <c r="O22" s="1103"/>
      <c r="P22" s="1103"/>
      <c r="Q22" s="1103"/>
      <c r="R22" s="1103"/>
      <c r="S22" s="1103"/>
      <c r="T22" s="1103">
        <f>SUM(O22:S22)</f>
        <v>0</v>
      </c>
      <c r="U22" s="1103">
        <v>0</v>
      </c>
      <c r="V22" s="1103">
        <v>0</v>
      </c>
      <c r="W22" s="1103">
        <v>0</v>
      </c>
      <c r="X22" s="1103">
        <v>0</v>
      </c>
      <c r="Y22" s="1103">
        <v>0</v>
      </c>
      <c r="Z22" s="1103">
        <v>926.66981882198547</v>
      </c>
      <c r="AA22" s="1103">
        <v>0</v>
      </c>
      <c r="AB22" s="1103">
        <v>0</v>
      </c>
      <c r="AC22" s="1103">
        <v>0</v>
      </c>
      <c r="AD22" s="1104">
        <v>0</v>
      </c>
      <c r="AE22" s="1118">
        <f>SUM(U22:AD22)</f>
        <v>926.66981882198547</v>
      </c>
      <c r="AF22" s="1120">
        <v>23.210761788192094</v>
      </c>
      <c r="AG22" s="1121">
        <v>0</v>
      </c>
      <c r="AH22" s="2050">
        <f>SUM(L22:N22)+T22+AE22+AF22+AG22</f>
        <v>949.88058061017762</v>
      </c>
      <c r="AN22" s="1848"/>
    </row>
    <row r="23" spans="2:40" ht="26.25" x14ac:dyDescent="0.45">
      <c r="B23" s="1112" t="s">
        <v>447</v>
      </c>
      <c r="C23" s="1113" t="s">
        <v>1201</v>
      </c>
      <c r="D23" s="1113" t="s">
        <v>1226</v>
      </c>
      <c r="E23" s="1113" t="s">
        <v>1252</v>
      </c>
      <c r="F23" s="1113" t="s">
        <v>1527</v>
      </c>
      <c r="G23" s="1113" t="s">
        <v>1524</v>
      </c>
      <c r="H23" s="1113" t="s">
        <v>1494</v>
      </c>
      <c r="I23" s="1101" t="s">
        <v>321</v>
      </c>
      <c r="J23" s="1106"/>
      <c r="K23" s="1140"/>
      <c r="L23" s="1105"/>
      <c r="M23" s="1101"/>
      <c r="N23" s="1101"/>
      <c r="O23" s="1101"/>
      <c r="P23" s="1101"/>
      <c r="Q23" s="1101"/>
      <c r="R23" s="1101"/>
      <c r="S23" s="1101"/>
      <c r="T23" s="1101">
        <f t="shared" ref="T23:T41" si="0">SUM(O23:S23)</f>
        <v>0</v>
      </c>
      <c r="U23" s="1101">
        <v>149568.19573007728</v>
      </c>
      <c r="V23" s="1101">
        <v>94841.946270961227</v>
      </c>
      <c r="W23" s="1101">
        <v>66511.425627925739</v>
      </c>
      <c r="X23" s="1101">
        <v>0</v>
      </c>
      <c r="Y23" s="1101">
        <v>0</v>
      </c>
      <c r="Z23" s="1101">
        <v>0</v>
      </c>
      <c r="AA23" s="1101">
        <v>0</v>
      </c>
      <c r="AB23" s="1101">
        <v>18537.568159126567</v>
      </c>
      <c r="AC23" s="1101">
        <v>0</v>
      </c>
      <c r="AD23" s="1106">
        <v>0</v>
      </c>
      <c r="AE23" s="1118">
        <f t="shared" ref="AE23:AE41" si="1">SUM(U23:AD23)</f>
        <v>329459.13578809082</v>
      </c>
      <c r="AF23" s="1120">
        <v>0</v>
      </c>
      <c r="AG23" s="1121">
        <v>0</v>
      </c>
      <c r="AH23" s="1118">
        <f t="shared" ref="AH23:AH41" si="2">SUM(L23:N23)+T23+AE23+AF23+AG23</f>
        <v>329459.13578809082</v>
      </c>
      <c r="AN23" s="1848"/>
    </row>
    <row r="24" spans="2:40" ht="30" customHeight="1" x14ac:dyDescent="0.45">
      <c r="B24" s="1112" t="s">
        <v>447</v>
      </c>
      <c r="C24" s="1113" t="s">
        <v>1201</v>
      </c>
      <c r="D24" s="1113" t="s">
        <v>1226</v>
      </c>
      <c r="E24" s="1113" t="s">
        <v>1252</v>
      </c>
      <c r="F24" s="1113" t="s">
        <v>1529</v>
      </c>
      <c r="G24" s="1113" t="s">
        <v>1524</v>
      </c>
      <c r="H24" s="1113" t="s">
        <v>1501</v>
      </c>
      <c r="I24" s="1101" t="s">
        <v>321</v>
      </c>
      <c r="J24" s="1106"/>
      <c r="K24" s="1140"/>
      <c r="L24" s="1105"/>
      <c r="M24" s="1101"/>
      <c r="N24" s="1101"/>
      <c r="O24" s="1101"/>
      <c r="P24" s="1101"/>
      <c r="Q24" s="1101"/>
      <c r="R24" s="1101"/>
      <c r="S24" s="1101"/>
      <c r="T24" s="1101">
        <f t="shared" si="0"/>
        <v>0</v>
      </c>
      <c r="U24" s="1101">
        <v>0</v>
      </c>
      <c r="V24" s="1101">
        <v>9431.3313516359758</v>
      </c>
      <c r="W24" s="1101">
        <v>0</v>
      </c>
      <c r="X24" s="1101">
        <v>0</v>
      </c>
      <c r="Y24" s="1101">
        <v>0</v>
      </c>
      <c r="Z24" s="1101">
        <v>0</v>
      </c>
      <c r="AA24" s="1101">
        <v>0</v>
      </c>
      <c r="AB24" s="1101">
        <v>0</v>
      </c>
      <c r="AC24" s="1101">
        <v>0</v>
      </c>
      <c r="AD24" s="1106">
        <v>0</v>
      </c>
      <c r="AE24" s="1118">
        <f t="shared" si="1"/>
        <v>9431.3313516359758</v>
      </c>
      <c r="AF24" s="1120">
        <v>0</v>
      </c>
      <c r="AG24" s="1121">
        <v>0</v>
      </c>
      <c r="AH24" s="1118">
        <f t="shared" si="2"/>
        <v>9431.3313516359758</v>
      </c>
      <c r="AN24" s="1848"/>
    </row>
    <row r="25" spans="2:40" ht="28.5" x14ac:dyDescent="0.45">
      <c r="B25" s="1112" t="s">
        <v>447</v>
      </c>
      <c r="C25" s="1113" t="s">
        <v>1201</v>
      </c>
      <c r="D25" s="1113" t="s">
        <v>1226</v>
      </c>
      <c r="E25" s="1113" t="s">
        <v>1252</v>
      </c>
      <c r="F25" s="1113" t="s">
        <v>1693</v>
      </c>
      <c r="G25" s="1113" t="s">
        <v>1495</v>
      </c>
      <c r="H25" s="1113" t="s">
        <v>1495</v>
      </c>
      <c r="I25" s="1101" t="s">
        <v>321</v>
      </c>
      <c r="J25" s="1106"/>
      <c r="K25" s="1140"/>
      <c r="L25" s="1105"/>
      <c r="M25" s="1101"/>
      <c r="N25" s="1101"/>
      <c r="O25" s="1101"/>
      <c r="P25" s="1101"/>
      <c r="Q25" s="1101"/>
      <c r="R25" s="1101"/>
      <c r="S25" s="1101"/>
      <c r="T25" s="1101">
        <f t="shared" si="0"/>
        <v>0</v>
      </c>
      <c r="U25" s="1101">
        <v>116870.06649217723</v>
      </c>
      <c r="V25" s="1101">
        <v>70306.158609127553</v>
      </c>
      <c r="W25" s="1101">
        <v>29834.225799472955</v>
      </c>
      <c r="X25" s="1101">
        <v>0</v>
      </c>
      <c r="Y25" s="1101">
        <v>0</v>
      </c>
      <c r="Z25" s="1101">
        <v>0</v>
      </c>
      <c r="AA25" s="1101">
        <v>0</v>
      </c>
      <c r="AB25" s="1101">
        <v>7236.8422861595654</v>
      </c>
      <c r="AC25" s="1101">
        <v>0</v>
      </c>
      <c r="AD25" s="1106">
        <v>0</v>
      </c>
      <c r="AE25" s="1118">
        <f t="shared" si="1"/>
        <v>224247.29318693728</v>
      </c>
      <c r="AF25" s="1120">
        <v>0</v>
      </c>
      <c r="AG25" s="1121">
        <v>0</v>
      </c>
      <c r="AH25" s="1118">
        <f t="shared" si="2"/>
        <v>224247.29318693728</v>
      </c>
      <c r="AM25" s="1867" t="s">
        <v>1841</v>
      </c>
      <c r="AN25" s="1848"/>
    </row>
    <row r="26" spans="2:40" ht="26.25" x14ac:dyDescent="0.45">
      <c r="B26" s="1112" t="s">
        <v>447</v>
      </c>
      <c r="C26" s="1113" t="s">
        <v>1201</v>
      </c>
      <c r="D26" s="1113" t="s">
        <v>1226</v>
      </c>
      <c r="E26" s="1113" t="s">
        <v>1252</v>
      </c>
      <c r="F26" s="1113" t="s">
        <v>1694</v>
      </c>
      <c r="G26" s="1113" t="s">
        <v>1496</v>
      </c>
      <c r="H26" s="1113" t="s">
        <v>1496</v>
      </c>
      <c r="I26" s="1101" t="s">
        <v>321</v>
      </c>
      <c r="J26" s="1106"/>
      <c r="K26" s="1140"/>
      <c r="L26" s="1105"/>
      <c r="M26" s="1101"/>
      <c r="N26" s="1101"/>
      <c r="O26" s="1101"/>
      <c r="P26" s="1101"/>
      <c r="Q26" s="1101"/>
      <c r="R26" s="1101"/>
      <c r="S26" s="1101"/>
      <c r="T26" s="1101">
        <f t="shared" si="0"/>
        <v>0</v>
      </c>
      <c r="U26" s="1101">
        <v>36753.661650751972</v>
      </c>
      <c r="V26" s="1101">
        <v>17488.993764047853</v>
      </c>
      <c r="W26" s="1101">
        <v>21443.694363306728</v>
      </c>
      <c r="X26" s="1101">
        <v>0</v>
      </c>
      <c r="Y26" s="1101">
        <v>0</v>
      </c>
      <c r="Z26" s="1101">
        <v>0</v>
      </c>
      <c r="AA26" s="1101">
        <v>0</v>
      </c>
      <c r="AB26" s="1101">
        <v>2402.0010934167726</v>
      </c>
      <c r="AC26" s="1101">
        <v>0</v>
      </c>
      <c r="AD26" s="1106">
        <v>0</v>
      </c>
      <c r="AE26" s="1118">
        <f t="shared" si="1"/>
        <v>78088.350871523318</v>
      </c>
      <c r="AF26" s="1120">
        <v>0</v>
      </c>
      <c r="AG26" s="1121">
        <v>0</v>
      </c>
      <c r="AH26" s="1118">
        <f t="shared" si="2"/>
        <v>78088.350871523318</v>
      </c>
      <c r="AN26" s="1848"/>
    </row>
    <row r="27" spans="2:40" ht="26.25" x14ac:dyDescent="0.45">
      <c r="B27" s="1112" t="s">
        <v>447</v>
      </c>
      <c r="C27" s="1113" t="s">
        <v>1201</v>
      </c>
      <c r="D27" s="1113" t="s">
        <v>1226</v>
      </c>
      <c r="E27" s="1113" t="s">
        <v>1252</v>
      </c>
      <c r="F27" s="1113" t="s">
        <v>1695</v>
      </c>
      <c r="G27" s="1113" t="s">
        <v>1497</v>
      </c>
      <c r="H27" s="1113" t="s">
        <v>1497</v>
      </c>
      <c r="I27" s="1101" t="s">
        <v>321</v>
      </c>
      <c r="J27" s="1106"/>
      <c r="K27" s="1140"/>
      <c r="L27" s="1105"/>
      <c r="M27" s="1101"/>
      <c r="N27" s="1101"/>
      <c r="O27" s="1101"/>
      <c r="P27" s="1101"/>
      <c r="Q27" s="1101"/>
      <c r="R27" s="1101"/>
      <c r="S27" s="1101"/>
      <c r="T27" s="1101">
        <f t="shared" si="0"/>
        <v>0</v>
      </c>
      <c r="U27" s="1101">
        <v>28654.46423301036</v>
      </c>
      <c r="V27" s="1101">
        <v>365141.32648478367</v>
      </c>
      <c r="W27" s="1101">
        <v>0</v>
      </c>
      <c r="X27" s="1101">
        <v>0</v>
      </c>
      <c r="Y27" s="1101">
        <v>0</v>
      </c>
      <c r="Z27" s="1101">
        <v>0</v>
      </c>
      <c r="AA27" s="1101">
        <v>0</v>
      </c>
      <c r="AB27" s="1101">
        <v>5874.829999871602</v>
      </c>
      <c r="AC27" s="1101">
        <v>0</v>
      </c>
      <c r="AD27" s="1106">
        <v>0</v>
      </c>
      <c r="AE27" s="1118">
        <f t="shared" si="1"/>
        <v>399670.62071766565</v>
      </c>
      <c r="AF27" s="1120">
        <v>0</v>
      </c>
      <c r="AG27" s="1121">
        <v>0</v>
      </c>
      <c r="AH27" s="1118">
        <f t="shared" si="2"/>
        <v>399670.62071766565</v>
      </c>
      <c r="AN27" s="1848"/>
    </row>
    <row r="28" spans="2:40" ht="26.25" x14ac:dyDescent="0.45">
      <c r="B28" s="1112" t="s">
        <v>447</v>
      </c>
      <c r="C28" s="1113" t="s">
        <v>1201</v>
      </c>
      <c r="D28" s="1113" t="s">
        <v>1226</v>
      </c>
      <c r="E28" s="1113" t="s">
        <v>1252</v>
      </c>
      <c r="F28" s="1113" t="s">
        <v>1696</v>
      </c>
      <c r="G28" s="1113" t="s">
        <v>1498</v>
      </c>
      <c r="H28" s="1113" t="s">
        <v>1498</v>
      </c>
      <c r="I28" s="1101" t="s">
        <v>321</v>
      </c>
      <c r="J28" s="1106"/>
      <c r="K28" s="1140"/>
      <c r="L28" s="1105"/>
      <c r="M28" s="1101"/>
      <c r="N28" s="1101"/>
      <c r="O28" s="1101"/>
      <c r="P28" s="1101"/>
      <c r="Q28" s="1101"/>
      <c r="R28" s="1101"/>
      <c r="S28" s="1101"/>
      <c r="T28" s="1101">
        <f t="shared" si="0"/>
        <v>0</v>
      </c>
      <c r="U28" s="1101">
        <v>267532.28330804512</v>
      </c>
      <c r="V28" s="1101">
        <v>87628.509766827279</v>
      </c>
      <c r="W28" s="1101">
        <v>0</v>
      </c>
      <c r="X28" s="1101">
        <v>0</v>
      </c>
      <c r="Y28" s="1101">
        <v>0</v>
      </c>
      <c r="Z28" s="1101">
        <v>0</v>
      </c>
      <c r="AA28" s="1101">
        <v>0</v>
      </c>
      <c r="AB28" s="1101">
        <v>53698.618908040982</v>
      </c>
      <c r="AC28" s="1101">
        <v>0</v>
      </c>
      <c r="AD28" s="1106">
        <v>0</v>
      </c>
      <c r="AE28" s="1118">
        <f t="shared" si="1"/>
        <v>408859.41198291339</v>
      </c>
      <c r="AF28" s="1120">
        <v>0</v>
      </c>
      <c r="AG28" s="1121">
        <v>0</v>
      </c>
      <c r="AH28" s="1118">
        <f t="shared" si="2"/>
        <v>408859.41198291339</v>
      </c>
      <c r="AN28" s="1848"/>
    </row>
    <row r="29" spans="2:40" ht="26.25" x14ac:dyDescent="0.45">
      <c r="B29" s="1112" t="s">
        <v>447</v>
      </c>
      <c r="C29" s="1113" t="s">
        <v>1201</v>
      </c>
      <c r="D29" s="1113" t="s">
        <v>1226</v>
      </c>
      <c r="E29" s="1113" t="s">
        <v>1252</v>
      </c>
      <c r="F29" s="1113" t="s">
        <v>1699</v>
      </c>
      <c r="G29" s="1113" t="s">
        <v>1530</v>
      </c>
      <c r="H29" s="1113" t="s">
        <v>1502</v>
      </c>
      <c r="I29" s="1101" t="s">
        <v>321</v>
      </c>
      <c r="J29" s="1106"/>
      <c r="K29" s="1140"/>
      <c r="L29" s="1105"/>
      <c r="M29" s="1101"/>
      <c r="N29" s="1101"/>
      <c r="O29" s="1101"/>
      <c r="P29" s="1101"/>
      <c r="Q29" s="1101"/>
      <c r="R29" s="1101"/>
      <c r="S29" s="1101"/>
      <c r="T29" s="1101">
        <f t="shared" si="0"/>
        <v>0</v>
      </c>
      <c r="U29" s="1101">
        <v>0</v>
      </c>
      <c r="V29" s="1101">
        <v>22057.405667900093</v>
      </c>
      <c r="W29" s="1101">
        <v>0</v>
      </c>
      <c r="X29" s="1101">
        <v>2869.005212747853</v>
      </c>
      <c r="Y29" s="1101">
        <v>8827.0024970786089</v>
      </c>
      <c r="Z29" s="1101">
        <v>0</v>
      </c>
      <c r="AA29" s="1101">
        <v>13534.505159613176</v>
      </c>
      <c r="AB29" s="1101">
        <v>0</v>
      </c>
      <c r="AC29" s="1101">
        <v>14566.451946803491</v>
      </c>
      <c r="AD29" s="1106">
        <v>0</v>
      </c>
      <c r="AE29" s="1118">
        <f t="shared" si="1"/>
        <v>61854.370484143219</v>
      </c>
      <c r="AF29" s="1120">
        <v>0</v>
      </c>
      <c r="AG29" s="1121">
        <v>0</v>
      </c>
      <c r="AH29" s="1118">
        <f t="shared" si="2"/>
        <v>61854.370484143219</v>
      </c>
      <c r="AN29" s="1848"/>
    </row>
    <row r="30" spans="2:40" ht="26.25" x14ac:dyDescent="0.45">
      <c r="B30" s="1112" t="s">
        <v>447</v>
      </c>
      <c r="C30" s="1113" t="s">
        <v>1201</v>
      </c>
      <c r="D30" s="1113" t="s">
        <v>1226</v>
      </c>
      <c r="E30" s="1113" t="s">
        <v>1252</v>
      </c>
      <c r="F30" s="1113" t="s">
        <v>1700</v>
      </c>
      <c r="G30" s="1113" t="s">
        <v>1530</v>
      </c>
      <c r="H30" s="1113" t="s">
        <v>1503</v>
      </c>
      <c r="I30" s="1101" t="s">
        <v>321</v>
      </c>
      <c r="J30" s="1106"/>
      <c r="K30" s="1140"/>
      <c r="L30" s="1105"/>
      <c r="M30" s="1101"/>
      <c r="N30" s="1101"/>
      <c r="O30" s="1101"/>
      <c r="P30" s="1101"/>
      <c r="Q30" s="1101"/>
      <c r="R30" s="1101"/>
      <c r="S30" s="1101"/>
      <c r="T30" s="1101">
        <f t="shared" si="0"/>
        <v>0</v>
      </c>
      <c r="U30" s="1101">
        <v>0</v>
      </c>
      <c r="V30" s="1101">
        <v>0</v>
      </c>
      <c r="W30" s="1101">
        <v>0</v>
      </c>
      <c r="X30" s="1101">
        <v>0</v>
      </c>
      <c r="Y30" s="1101">
        <v>0</v>
      </c>
      <c r="Z30" s="1101">
        <v>0</v>
      </c>
      <c r="AA30" s="1101">
        <v>0</v>
      </c>
      <c r="AB30" s="1101">
        <v>0</v>
      </c>
      <c r="AC30" s="1101">
        <v>0</v>
      </c>
      <c r="AD30" s="1106">
        <v>0</v>
      </c>
      <c r="AE30" s="1118">
        <f t="shared" si="1"/>
        <v>0</v>
      </c>
      <c r="AF30" s="1120">
        <v>0</v>
      </c>
      <c r="AG30" s="1121">
        <v>0</v>
      </c>
      <c r="AH30" s="1118">
        <f t="shared" si="2"/>
        <v>0</v>
      </c>
      <c r="AN30" s="1868"/>
    </row>
    <row r="31" spans="2:40" ht="26.25" x14ac:dyDescent="0.45">
      <c r="B31" s="1112" t="s">
        <v>447</v>
      </c>
      <c r="C31" s="1113" t="s">
        <v>1201</v>
      </c>
      <c r="D31" s="1113" t="s">
        <v>1226</v>
      </c>
      <c r="E31" s="1113" t="s">
        <v>1252</v>
      </c>
      <c r="F31" s="1113" t="s">
        <v>1533</v>
      </c>
      <c r="G31" s="1113" t="s">
        <v>1532</v>
      </c>
      <c r="H31" s="1113" t="s">
        <v>1492</v>
      </c>
      <c r="I31" s="1101" t="s">
        <v>321</v>
      </c>
      <c r="J31" s="1106"/>
      <c r="K31" s="1140"/>
      <c r="L31" s="1105"/>
      <c r="M31" s="1101"/>
      <c r="N31" s="1101"/>
      <c r="O31" s="1101"/>
      <c r="P31" s="1101"/>
      <c r="Q31" s="1101"/>
      <c r="R31" s="1101"/>
      <c r="S31" s="1101">
        <v>0</v>
      </c>
      <c r="T31" s="1101">
        <f t="shared" si="0"/>
        <v>0</v>
      </c>
      <c r="U31" s="1101">
        <v>0</v>
      </c>
      <c r="V31" s="1101">
        <v>0</v>
      </c>
      <c r="W31" s="1101">
        <v>0</v>
      </c>
      <c r="X31" s="1101">
        <v>0</v>
      </c>
      <c r="Y31" s="1101">
        <v>42745.474355674116</v>
      </c>
      <c r="Z31" s="1101">
        <v>0</v>
      </c>
      <c r="AA31" s="1101">
        <v>0</v>
      </c>
      <c r="AB31" s="1101">
        <v>0</v>
      </c>
      <c r="AC31" s="1101">
        <v>0</v>
      </c>
      <c r="AD31" s="1106">
        <v>0</v>
      </c>
      <c r="AE31" s="1118">
        <f t="shared" si="1"/>
        <v>42745.474355674116</v>
      </c>
      <c r="AF31" s="1120">
        <v>0</v>
      </c>
      <c r="AG31" s="1121">
        <v>0</v>
      </c>
      <c r="AH31" s="1118">
        <f t="shared" si="2"/>
        <v>42745.474355674116</v>
      </c>
      <c r="AN31" s="1868"/>
    </row>
    <row r="32" spans="2:40" ht="26.25" x14ac:dyDescent="0.45">
      <c r="B32" s="1112" t="s">
        <v>447</v>
      </c>
      <c r="C32" s="1113" t="s">
        <v>1201</v>
      </c>
      <c r="D32" s="1113" t="s">
        <v>1226</v>
      </c>
      <c r="E32" s="1113" t="s">
        <v>1252</v>
      </c>
      <c r="F32" s="1113" t="s">
        <v>1697</v>
      </c>
      <c r="G32" s="1113" t="s">
        <v>1534</v>
      </c>
      <c r="H32" s="1113" t="s">
        <v>1504</v>
      </c>
      <c r="I32" s="1101" t="s">
        <v>321</v>
      </c>
      <c r="J32" s="1106"/>
      <c r="K32" s="1140"/>
      <c r="L32" s="1105"/>
      <c r="M32" s="1101"/>
      <c r="N32" s="1101"/>
      <c r="O32" s="1101"/>
      <c r="P32" s="1101"/>
      <c r="Q32" s="1101"/>
      <c r="R32" s="1101"/>
      <c r="S32" s="1101"/>
      <c r="T32" s="1101">
        <f t="shared" si="0"/>
        <v>0</v>
      </c>
      <c r="U32" s="1101">
        <v>0</v>
      </c>
      <c r="V32" s="1101">
        <v>116497.51492974408</v>
      </c>
      <c r="W32" s="1101">
        <v>0</v>
      </c>
      <c r="X32" s="1101">
        <v>0</v>
      </c>
      <c r="Y32" s="1101">
        <v>10930.128149002796</v>
      </c>
      <c r="Z32" s="1101">
        <v>0</v>
      </c>
      <c r="AA32" s="1101">
        <v>0</v>
      </c>
      <c r="AB32" s="1101">
        <v>0</v>
      </c>
      <c r="AC32" s="1101">
        <v>0</v>
      </c>
      <c r="AD32" s="1106">
        <v>0</v>
      </c>
      <c r="AE32" s="1118">
        <f t="shared" si="1"/>
        <v>127427.64307874687</v>
      </c>
      <c r="AF32" s="1120">
        <v>0</v>
      </c>
      <c r="AG32" s="1121">
        <v>0</v>
      </c>
      <c r="AH32" s="1118">
        <f t="shared" si="2"/>
        <v>127427.64307874687</v>
      </c>
    </row>
    <row r="33" spans="2:40" ht="26.25" x14ac:dyDescent="0.45">
      <c r="B33" s="1112" t="s">
        <v>447</v>
      </c>
      <c r="C33" s="1113" t="s">
        <v>1201</v>
      </c>
      <c r="D33" s="1113" t="s">
        <v>1226</v>
      </c>
      <c r="E33" s="1113" t="s">
        <v>1252</v>
      </c>
      <c r="F33" s="1113" t="s">
        <v>1698</v>
      </c>
      <c r="G33" s="1113" t="s">
        <v>1534</v>
      </c>
      <c r="H33" s="1113" t="s">
        <v>1505</v>
      </c>
      <c r="I33" s="1101" t="s">
        <v>321</v>
      </c>
      <c r="J33" s="1106"/>
      <c r="K33" s="1140"/>
      <c r="L33" s="1105"/>
      <c r="M33" s="1101"/>
      <c r="N33" s="1101"/>
      <c r="O33" s="1101"/>
      <c r="P33" s="1101"/>
      <c r="Q33" s="1101"/>
      <c r="R33" s="1101"/>
      <c r="S33" s="1101"/>
      <c r="T33" s="1101">
        <f t="shared" si="0"/>
        <v>0</v>
      </c>
      <c r="U33" s="1101">
        <v>0</v>
      </c>
      <c r="V33" s="1101">
        <v>68937.842280061173</v>
      </c>
      <c r="W33" s="1101">
        <v>0</v>
      </c>
      <c r="X33" s="1101">
        <v>3571.0248838942844</v>
      </c>
      <c r="Y33" s="1101">
        <v>0</v>
      </c>
      <c r="Z33" s="1101">
        <v>0</v>
      </c>
      <c r="AA33" s="1101">
        <v>0</v>
      </c>
      <c r="AB33" s="1101">
        <v>0</v>
      </c>
      <c r="AC33" s="1101">
        <v>0</v>
      </c>
      <c r="AD33" s="1106">
        <v>0</v>
      </c>
      <c r="AE33" s="1118">
        <f t="shared" si="1"/>
        <v>72508.867163955452</v>
      </c>
      <c r="AF33" s="1120">
        <v>0</v>
      </c>
      <c r="AG33" s="1121">
        <v>0</v>
      </c>
      <c r="AH33" s="1118">
        <f t="shared" si="2"/>
        <v>72508.867163955452</v>
      </c>
    </row>
    <row r="34" spans="2:40" ht="26.25" x14ac:dyDescent="0.45">
      <c r="B34" s="1112" t="s">
        <v>447</v>
      </c>
      <c r="C34" s="1113" t="s">
        <v>1201</v>
      </c>
      <c r="D34" s="1113" t="s">
        <v>1226</v>
      </c>
      <c r="E34" s="1113" t="s">
        <v>1252</v>
      </c>
      <c r="F34" s="1113" t="s">
        <v>1538</v>
      </c>
      <c r="G34" s="1113" t="s">
        <v>1537</v>
      </c>
      <c r="H34" s="1113" t="s">
        <v>1492</v>
      </c>
      <c r="I34" s="1101" t="s">
        <v>321</v>
      </c>
      <c r="J34" s="1106"/>
      <c r="K34" s="1140"/>
      <c r="L34" s="1105"/>
      <c r="M34" s="1101"/>
      <c r="N34" s="1101"/>
      <c r="O34" s="1101"/>
      <c r="P34" s="1101"/>
      <c r="Q34" s="1101"/>
      <c r="R34" s="1101"/>
      <c r="S34" s="1101"/>
      <c r="T34" s="1101">
        <f t="shared" si="0"/>
        <v>0</v>
      </c>
      <c r="U34" s="1101">
        <v>0</v>
      </c>
      <c r="V34" s="1101">
        <v>0</v>
      </c>
      <c r="W34" s="1101">
        <v>0</v>
      </c>
      <c r="X34" s="1101">
        <v>0</v>
      </c>
      <c r="Y34" s="1101">
        <v>0</v>
      </c>
      <c r="Z34" s="1101">
        <v>0</v>
      </c>
      <c r="AA34" s="1101">
        <v>0</v>
      </c>
      <c r="AB34" s="1101">
        <v>0</v>
      </c>
      <c r="AC34" s="1101">
        <v>0</v>
      </c>
      <c r="AD34" s="1106">
        <v>2161.7068146874162</v>
      </c>
      <c r="AE34" s="1118">
        <f t="shared" si="1"/>
        <v>2161.7068146874162</v>
      </c>
      <c r="AF34" s="1120">
        <v>0</v>
      </c>
      <c r="AG34" s="1121">
        <v>0</v>
      </c>
      <c r="AH34" s="1118">
        <f t="shared" si="2"/>
        <v>2161.7068146874162</v>
      </c>
    </row>
    <row r="35" spans="2:40" ht="51.75" x14ac:dyDescent="0.45">
      <c r="B35" s="1112" t="s">
        <v>447</v>
      </c>
      <c r="C35" s="1113" t="s">
        <v>1201</v>
      </c>
      <c r="D35" s="1113" t="s">
        <v>1226</v>
      </c>
      <c r="E35" s="1113" t="s">
        <v>1252</v>
      </c>
      <c r="F35" s="1113" t="s">
        <v>1539</v>
      </c>
      <c r="G35" s="1113" t="s">
        <v>1514</v>
      </c>
      <c r="H35" s="1113" t="s">
        <v>1499</v>
      </c>
      <c r="I35" s="1101" t="s">
        <v>321</v>
      </c>
      <c r="J35" s="1106"/>
      <c r="K35" s="1140"/>
      <c r="L35" s="1105"/>
      <c r="M35" s="1101"/>
      <c r="N35" s="1101"/>
      <c r="O35" s="1101"/>
      <c r="P35" s="1101"/>
      <c r="Q35" s="1101"/>
      <c r="R35" s="1101"/>
      <c r="S35" s="1101"/>
      <c r="T35" s="1101">
        <f t="shared" si="0"/>
        <v>0</v>
      </c>
      <c r="U35" s="1101">
        <v>3003.9993294983033</v>
      </c>
      <c r="V35" s="1101">
        <v>2315.9416722601286</v>
      </c>
      <c r="W35" s="1101">
        <v>382.57981228589472</v>
      </c>
      <c r="X35" s="1101">
        <v>0</v>
      </c>
      <c r="Y35" s="1101">
        <v>0</v>
      </c>
      <c r="Z35" s="1101">
        <v>0</v>
      </c>
      <c r="AA35" s="1101">
        <v>0</v>
      </c>
      <c r="AB35" s="1101">
        <v>528.13725366083042</v>
      </c>
      <c r="AC35" s="1101">
        <v>0</v>
      </c>
      <c r="AD35" s="1106">
        <v>0</v>
      </c>
      <c r="AE35" s="1118">
        <f t="shared" si="1"/>
        <v>6230.6580677051579</v>
      </c>
      <c r="AF35" s="1120">
        <v>0</v>
      </c>
      <c r="AG35" s="1121">
        <v>0</v>
      </c>
      <c r="AH35" s="1118">
        <f t="shared" si="2"/>
        <v>6230.6580677051579</v>
      </c>
    </row>
    <row r="36" spans="2:40" ht="51.75" x14ac:dyDescent="0.45">
      <c r="B36" s="1112" t="s">
        <v>447</v>
      </c>
      <c r="C36" s="1113" t="s">
        <v>1201</v>
      </c>
      <c r="D36" s="1113" t="s">
        <v>1226</v>
      </c>
      <c r="E36" s="1113" t="s">
        <v>1252</v>
      </c>
      <c r="F36" s="1113" t="s">
        <v>1539</v>
      </c>
      <c r="G36" s="1113" t="s">
        <v>1514</v>
      </c>
      <c r="H36" s="1113" t="s">
        <v>1500</v>
      </c>
      <c r="I36" s="1101" t="s">
        <v>321</v>
      </c>
      <c r="J36" s="1106"/>
      <c r="K36" s="1140"/>
      <c r="L36" s="1105"/>
      <c r="M36" s="1101"/>
      <c r="N36" s="1101"/>
      <c r="O36" s="1101"/>
      <c r="P36" s="1101"/>
      <c r="Q36" s="1101"/>
      <c r="R36" s="1101"/>
      <c r="S36" s="1101"/>
      <c r="T36" s="1101">
        <f t="shared" si="0"/>
        <v>0</v>
      </c>
      <c r="U36" s="1101">
        <v>5.5685000000000002</v>
      </c>
      <c r="V36" s="1101">
        <v>1927.0351099999996</v>
      </c>
      <c r="W36" s="1101">
        <v>5.6894159999999987</v>
      </c>
      <c r="X36" s="1101">
        <v>0</v>
      </c>
      <c r="Y36" s="1101">
        <v>5.1230200000000004</v>
      </c>
      <c r="Z36" s="1101">
        <v>0</v>
      </c>
      <c r="AA36" s="1101">
        <v>0</v>
      </c>
      <c r="AB36" s="1101">
        <v>0.10739249999999999</v>
      </c>
      <c r="AC36" s="1101">
        <v>0</v>
      </c>
      <c r="AD36" s="1106">
        <v>0</v>
      </c>
      <c r="AE36" s="1118">
        <f t="shared" si="1"/>
        <v>1943.5234384999997</v>
      </c>
      <c r="AF36" s="1120">
        <v>0</v>
      </c>
      <c r="AG36" s="1121">
        <v>0</v>
      </c>
      <c r="AH36" s="1118">
        <f t="shared" si="2"/>
        <v>1943.5234384999997</v>
      </c>
    </row>
    <row r="37" spans="2:40" ht="26.25" x14ac:dyDescent="0.45">
      <c r="B37" s="1112" t="s">
        <v>447</v>
      </c>
      <c r="C37" s="1113" t="s">
        <v>1202</v>
      </c>
      <c r="D37" s="1113" t="s">
        <v>1227</v>
      </c>
      <c r="E37" s="1113" t="s">
        <v>1252</v>
      </c>
      <c r="F37" s="1113" t="s">
        <v>1517</v>
      </c>
      <c r="G37" s="1113" t="s">
        <v>1516</v>
      </c>
      <c r="H37" s="1113" t="s">
        <v>1506</v>
      </c>
      <c r="I37" s="1101" t="s">
        <v>321</v>
      </c>
      <c r="J37" s="1106"/>
      <c r="K37" s="1140"/>
      <c r="L37" s="1105"/>
      <c r="M37" s="1101"/>
      <c r="N37" s="1101"/>
      <c r="O37" s="1101"/>
      <c r="P37" s="1101"/>
      <c r="Q37" s="1101"/>
      <c r="R37" s="1101"/>
      <c r="S37" s="1101"/>
      <c r="T37" s="1101">
        <f t="shared" si="0"/>
        <v>0</v>
      </c>
      <c r="U37" s="1101">
        <v>0</v>
      </c>
      <c r="V37" s="1101">
        <v>0</v>
      </c>
      <c r="W37" s="1101">
        <v>0</v>
      </c>
      <c r="X37" s="1101">
        <v>0</v>
      </c>
      <c r="Y37" s="1101">
        <v>0</v>
      </c>
      <c r="Z37" s="1101">
        <v>0</v>
      </c>
      <c r="AA37" s="1101">
        <v>0</v>
      </c>
      <c r="AB37" s="1101">
        <v>0</v>
      </c>
      <c r="AC37" s="1101">
        <v>0</v>
      </c>
      <c r="AD37" s="1106">
        <v>0</v>
      </c>
      <c r="AE37" s="1118">
        <f t="shared" si="1"/>
        <v>0</v>
      </c>
      <c r="AF37" s="1120">
        <v>0</v>
      </c>
      <c r="AG37" s="1121">
        <v>35060.209554669651</v>
      </c>
      <c r="AH37" s="1118">
        <f t="shared" si="2"/>
        <v>35060.209554669651</v>
      </c>
    </row>
    <row r="38" spans="2:40" ht="39" x14ac:dyDescent="0.45">
      <c r="B38" s="1112" t="s">
        <v>447</v>
      </c>
      <c r="C38" s="1113" t="s">
        <v>1202</v>
      </c>
      <c r="D38" s="1113" t="s">
        <v>1227</v>
      </c>
      <c r="E38" s="1113" t="s">
        <v>1252</v>
      </c>
      <c r="F38" s="1113" t="s">
        <v>1520</v>
      </c>
      <c r="G38" s="1113" t="s">
        <v>1519</v>
      </c>
      <c r="H38" s="1113" t="s">
        <v>1507</v>
      </c>
      <c r="I38" s="1101" t="s">
        <v>321</v>
      </c>
      <c r="J38" s="1106"/>
      <c r="K38" s="1140"/>
      <c r="L38" s="1105"/>
      <c r="M38" s="1101"/>
      <c r="N38" s="1101"/>
      <c r="O38" s="1101"/>
      <c r="P38" s="1101"/>
      <c r="Q38" s="1101"/>
      <c r="R38" s="1101"/>
      <c r="S38" s="1101"/>
      <c r="T38" s="1101">
        <f t="shared" si="0"/>
        <v>0</v>
      </c>
      <c r="U38" s="1101">
        <v>0</v>
      </c>
      <c r="V38" s="1101">
        <v>0</v>
      </c>
      <c r="W38" s="1101">
        <v>0</v>
      </c>
      <c r="X38" s="1101">
        <v>0</v>
      </c>
      <c r="Y38" s="1101">
        <v>0</v>
      </c>
      <c r="Z38" s="1101">
        <v>0</v>
      </c>
      <c r="AA38" s="1101">
        <v>0</v>
      </c>
      <c r="AB38" s="1101">
        <v>0</v>
      </c>
      <c r="AC38" s="1101">
        <v>0</v>
      </c>
      <c r="AD38" s="1106">
        <v>0</v>
      </c>
      <c r="AE38" s="1118">
        <f t="shared" si="1"/>
        <v>0</v>
      </c>
      <c r="AF38" s="1120">
        <v>0</v>
      </c>
      <c r="AG38" s="1121">
        <v>15832.363397612417</v>
      </c>
      <c r="AH38" s="1118">
        <f t="shared" si="2"/>
        <v>15832.363397612417</v>
      </c>
    </row>
    <row r="39" spans="2:40" ht="39" x14ac:dyDescent="0.45">
      <c r="B39" s="1112" t="s">
        <v>447</v>
      </c>
      <c r="C39" s="1113" t="s">
        <v>1202</v>
      </c>
      <c r="D39" s="1113" t="s">
        <v>1227</v>
      </c>
      <c r="E39" s="1113" t="s">
        <v>1252</v>
      </c>
      <c r="F39" s="1113" t="s">
        <v>1520</v>
      </c>
      <c r="G39" s="1113" t="s">
        <v>1519</v>
      </c>
      <c r="H39" s="1113" t="s">
        <v>1508</v>
      </c>
      <c r="I39" s="1101" t="s">
        <v>321</v>
      </c>
      <c r="J39" s="1106"/>
      <c r="K39" s="1140"/>
      <c r="L39" s="1105"/>
      <c r="M39" s="1101"/>
      <c r="N39" s="1101"/>
      <c r="O39" s="1101"/>
      <c r="P39" s="1101"/>
      <c r="Q39" s="1101"/>
      <c r="R39" s="1101"/>
      <c r="S39" s="1101"/>
      <c r="T39" s="1101">
        <f t="shared" si="0"/>
        <v>0</v>
      </c>
      <c r="U39" s="1101">
        <v>0</v>
      </c>
      <c r="V39" s="1101">
        <v>0</v>
      </c>
      <c r="W39" s="1101">
        <v>0</v>
      </c>
      <c r="X39" s="1101">
        <v>0</v>
      </c>
      <c r="Y39" s="1101">
        <v>0</v>
      </c>
      <c r="Z39" s="1101">
        <v>0</v>
      </c>
      <c r="AA39" s="1101">
        <v>0</v>
      </c>
      <c r="AB39" s="1101">
        <v>0</v>
      </c>
      <c r="AC39" s="1101">
        <v>0</v>
      </c>
      <c r="AD39" s="1106">
        <v>0</v>
      </c>
      <c r="AE39" s="1118">
        <f t="shared" si="1"/>
        <v>0</v>
      </c>
      <c r="AF39" s="1120">
        <v>0</v>
      </c>
      <c r="AG39" s="1121">
        <v>720.16689725364472</v>
      </c>
      <c r="AH39" s="1118">
        <f t="shared" si="2"/>
        <v>720.16689725364472</v>
      </c>
    </row>
    <row r="40" spans="2:40" ht="26.25" x14ac:dyDescent="0.45">
      <c r="B40" s="1112" t="s">
        <v>447</v>
      </c>
      <c r="C40" s="1113" t="s">
        <v>1202</v>
      </c>
      <c r="D40" s="1113" t="s">
        <v>1227</v>
      </c>
      <c r="E40" s="1113" t="s">
        <v>1252</v>
      </c>
      <c r="F40" s="1113" t="s">
        <v>1595</v>
      </c>
      <c r="G40" s="1113" t="s">
        <v>0</v>
      </c>
      <c r="H40" s="1113" t="s">
        <v>1493</v>
      </c>
      <c r="I40" s="1101" t="s">
        <v>321</v>
      </c>
      <c r="J40" s="1106"/>
      <c r="K40" s="1140"/>
      <c r="L40" s="1105"/>
      <c r="M40" s="1101"/>
      <c r="N40" s="1101"/>
      <c r="O40" s="1101">
        <v>4230.5421589338603</v>
      </c>
      <c r="P40" s="1101">
        <v>152.86215323476077</v>
      </c>
      <c r="Q40" s="1101">
        <v>2.8367551858916586</v>
      </c>
      <c r="R40" s="1101">
        <v>3563.9716572876928</v>
      </c>
      <c r="S40" s="1101"/>
      <c r="T40" s="1101">
        <f t="shared" si="0"/>
        <v>7950.212724642206</v>
      </c>
      <c r="U40" s="1101">
        <v>0</v>
      </c>
      <c r="V40" s="1101">
        <v>0</v>
      </c>
      <c r="W40" s="1101">
        <v>0</v>
      </c>
      <c r="X40" s="1101">
        <v>0</v>
      </c>
      <c r="Y40" s="1101">
        <v>0</v>
      </c>
      <c r="Z40" s="1101">
        <v>0</v>
      </c>
      <c r="AA40" s="1101">
        <v>0</v>
      </c>
      <c r="AB40" s="1101">
        <v>0</v>
      </c>
      <c r="AC40" s="1101">
        <v>0</v>
      </c>
      <c r="AD40" s="1106">
        <v>0</v>
      </c>
      <c r="AE40" s="1118">
        <f t="shared" si="1"/>
        <v>0</v>
      </c>
      <c r="AF40" s="1120">
        <v>0</v>
      </c>
      <c r="AG40" s="1121">
        <v>454.45515440836056</v>
      </c>
      <c r="AH40" s="1118">
        <f t="shared" si="2"/>
        <v>8404.6678790505666</v>
      </c>
    </row>
    <row r="41" spans="2:40" ht="26.65" thickBot="1" x14ac:dyDescent="0.5">
      <c r="B41" s="1114" t="s">
        <v>447</v>
      </c>
      <c r="C41" s="1115" t="s">
        <v>1202</v>
      </c>
      <c r="D41" s="1115" t="s">
        <v>1227</v>
      </c>
      <c r="E41" s="1115" t="s">
        <v>1252</v>
      </c>
      <c r="F41" s="1115" t="s">
        <v>1595</v>
      </c>
      <c r="G41" s="1115" t="s">
        <v>0</v>
      </c>
      <c r="H41" s="1115" t="s">
        <v>1509</v>
      </c>
      <c r="I41" s="1108" t="s">
        <v>321</v>
      </c>
      <c r="J41" s="1109"/>
      <c r="K41" s="1126"/>
      <c r="L41" s="1107"/>
      <c r="M41" s="1108"/>
      <c r="N41" s="1108"/>
      <c r="O41" s="1108"/>
      <c r="P41" s="1108"/>
      <c r="Q41" s="1108"/>
      <c r="R41" s="1108"/>
      <c r="S41" s="1108"/>
      <c r="T41" s="1108">
        <f t="shared" si="0"/>
        <v>0</v>
      </c>
      <c r="U41" s="1108">
        <v>0</v>
      </c>
      <c r="V41" s="1108">
        <v>0</v>
      </c>
      <c r="W41" s="1108">
        <v>0</v>
      </c>
      <c r="X41" s="1108">
        <v>0</v>
      </c>
      <c r="Y41" s="1108">
        <v>0</v>
      </c>
      <c r="Z41" s="1108">
        <v>0</v>
      </c>
      <c r="AA41" s="1108">
        <v>0</v>
      </c>
      <c r="AB41" s="1108">
        <v>0</v>
      </c>
      <c r="AC41" s="1108">
        <v>0</v>
      </c>
      <c r="AD41" s="1109">
        <v>0</v>
      </c>
      <c r="AE41" s="1119">
        <f t="shared" si="1"/>
        <v>0</v>
      </c>
      <c r="AF41" s="1122">
        <v>0</v>
      </c>
      <c r="AG41" s="1123">
        <v>100.17222529850004</v>
      </c>
      <c r="AH41" s="1119">
        <f t="shared" si="2"/>
        <v>100.17222529850004</v>
      </c>
      <c r="AM41" s="1743"/>
      <c r="AN41" s="1743"/>
    </row>
    <row r="42" spans="2:40" x14ac:dyDescent="0.45">
      <c r="F42" s="1207"/>
      <c r="G42" s="1207"/>
      <c r="H42" s="1207"/>
      <c r="I42" s="1207"/>
      <c r="J42" s="1207"/>
      <c r="K42" s="1207"/>
      <c r="L42" s="1207"/>
      <c r="M42" s="1207"/>
      <c r="N42" s="1207"/>
      <c r="O42" s="1207"/>
      <c r="P42" s="1207"/>
      <c r="Q42" s="1207"/>
      <c r="R42" s="1207"/>
      <c r="S42" s="1207"/>
      <c r="T42" s="1207"/>
      <c r="U42" s="1207"/>
      <c r="V42" s="1207"/>
      <c r="W42" s="1207"/>
      <c r="X42" s="1207"/>
      <c r="Y42" s="1207"/>
      <c r="Z42" s="1207"/>
      <c r="AA42" s="1207"/>
      <c r="AB42" s="1207"/>
      <c r="AC42" s="1207"/>
    </row>
    <row r="43" spans="2:40" x14ac:dyDescent="0.45">
      <c r="F43" s="1207"/>
      <c r="G43" s="1207"/>
      <c r="H43" s="1207"/>
      <c r="I43" s="1207"/>
      <c r="J43" s="1207"/>
      <c r="K43" s="1207"/>
      <c r="L43" s="1207"/>
      <c r="M43" s="1207"/>
      <c r="N43" s="1207"/>
      <c r="O43" s="1207"/>
      <c r="P43" s="1207"/>
      <c r="Q43" s="1207"/>
      <c r="R43" s="1207"/>
      <c r="S43" s="1207"/>
      <c r="T43" s="1207"/>
      <c r="U43" s="1207"/>
      <c r="V43" s="1207"/>
      <c r="W43" s="1207"/>
      <c r="X43" s="1207"/>
      <c r="Y43" s="1207"/>
      <c r="Z43" s="1207"/>
      <c r="AA43" s="1207"/>
      <c r="AB43" s="1207"/>
      <c r="AC43" s="1207"/>
      <c r="AH43" s="1847"/>
    </row>
    <row r="112" spans="34:34" x14ac:dyDescent="0.45">
      <c r="AH112" s="1848"/>
    </row>
    <row r="113" spans="3:26" x14ac:dyDescent="0.45">
      <c r="G113" s="1743"/>
    </row>
    <row r="114" spans="3:26" s="1207" customFormat="1" x14ac:dyDescent="0.45"/>
    <row r="115" spans="3:26" s="1207" customFormat="1" x14ac:dyDescent="0.45">
      <c r="C115" s="1849"/>
      <c r="D115" s="1849"/>
      <c r="E115" s="1849"/>
      <c r="F115" s="1849"/>
      <c r="G115" s="1849"/>
      <c r="H115" s="1849"/>
      <c r="I115" s="1849"/>
      <c r="J115" s="1849"/>
      <c r="K115" s="1849"/>
      <c r="L115" s="1849"/>
      <c r="M115" s="1849"/>
      <c r="N115" s="1849"/>
      <c r="O115" s="1849"/>
      <c r="P115" s="1849"/>
      <c r="Q115" s="1849"/>
      <c r="R115" s="1849"/>
      <c r="S115" s="1849"/>
      <c r="T115" s="1849"/>
      <c r="U115" s="1849"/>
      <c r="V115" s="1849"/>
      <c r="W115" s="1849"/>
      <c r="X115" s="1850"/>
      <c r="Y115" s="1850"/>
      <c r="Z115" s="1850"/>
    </row>
    <row r="116" spans="3:26" s="1207" customFormat="1" x14ac:dyDescent="0.45">
      <c r="C116" s="1849"/>
      <c r="D116" s="1849"/>
      <c r="E116" s="1849"/>
      <c r="F116" s="1849"/>
      <c r="G116" s="1849"/>
      <c r="H116" s="1849"/>
      <c r="I116" s="1849"/>
      <c r="J116" s="1849"/>
      <c r="K116" s="1849"/>
      <c r="L116" s="1849"/>
      <c r="M116" s="1849"/>
      <c r="N116" s="1849"/>
      <c r="O116" s="1849"/>
      <c r="P116" s="1849"/>
      <c r="Q116" s="1849"/>
      <c r="R116" s="1849"/>
      <c r="S116" s="1849"/>
      <c r="T116" s="1849"/>
      <c r="U116" s="1849"/>
      <c r="V116" s="1849"/>
      <c r="W116" s="1849"/>
      <c r="X116" s="1850"/>
      <c r="Y116" s="1850"/>
      <c r="Z116" s="1850"/>
    </row>
    <row r="117" spans="3:26" s="1207" customFormat="1" x14ac:dyDescent="0.45">
      <c r="G117" s="1851"/>
      <c r="H117" s="1851"/>
      <c r="I117" s="1851"/>
      <c r="J117" s="1851"/>
      <c r="K117" s="1851"/>
      <c r="L117" s="1851"/>
      <c r="M117" s="1851"/>
      <c r="N117" s="1851"/>
      <c r="O117" s="1851"/>
      <c r="P117" s="1851"/>
      <c r="Q117" s="1851"/>
      <c r="R117" s="1851"/>
      <c r="S117" s="1851"/>
      <c r="T117" s="1851"/>
      <c r="U117" s="1851"/>
      <c r="V117" s="1851"/>
      <c r="W117" s="1851"/>
      <c r="X117" s="1852"/>
      <c r="Y117" s="1852"/>
      <c r="Z117" s="1852"/>
    </row>
    <row r="118" spans="3:26" s="1207" customFormat="1" x14ac:dyDescent="0.45">
      <c r="G118" s="1851"/>
      <c r="H118" s="1851"/>
      <c r="I118" s="1851"/>
      <c r="J118" s="1851"/>
      <c r="K118" s="1851"/>
      <c r="L118" s="1851"/>
      <c r="M118" s="1851"/>
      <c r="N118" s="1851"/>
      <c r="O118" s="1851"/>
      <c r="P118" s="1851"/>
      <c r="Q118" s="1851"/>
      <c r="R118" s="1851"/>
      <c r="S118" s="1851"/>
      <c r="T118" s="1851"/>
      <c r="U118" s="1851"/>
      <c r="V118" s="1851"/>
      <c r="W118" s="1851"/>
      <c r="X118" s="1852"/>
      <c r="Y118" s="1852"/>
      <c r="Z118" s="1852"/>
    </row>
    <row r="119" spans="3:26" s="1207" customFormat="1" x14ac:dyDescent="0.45">
      <c r="G119" s="1851"/>
      <c r="H119" s="1851"/>
      <c r="I119" s="1851"/>
      <c r="J119" s="1851"/>
      <c r="K119" s="1851"/>
      <c r="L119" s="1851"/>
      <c r="M119" s="1851"/>
      <c r="N119" s="1851"/>
      <c r="O119" s="1851"/>
      <c r="P119" s="1851"/>
      <c r="Q119" s="1851"/>
      <c r="R119" s="1851"/>
      <c r="S119" s="1851"/>
      <c r="T119" s="1851"/>
      <c r="U119" s="1851"/>
      <c r="V119" s="1851"/>
      <c r="W119" s="1851"/>
      <c r="X119" s="1852"/>
      <c r="Y119" s="1852"/>
      <c r="Z119" s="1852"/>
    </row>
    <row r="120" spans="3:26" s="1207" customFormat="1" x14ac:dyDescent="0.45">
      <c r="G120" s="1851"/>
      <c r="H120" s="1851"/>
      <c r="I120" s="1851"/>
      <c r="J120" s="1851"/>
      <c r="K120" s="1851"/>
      <c r="L120" s="1851"/>
      <c r="M120" s="1851"/>
      <c r="N120" s="1851"/>
      <c r="O120" s="1851"/>
      <c r="P120" s="1851"/>
      <c r="Q120" s="1851"/>
      <c r="R120" s="1851"/>
      <c r="S120" s="1851"/>
      <c r="T120" s="1851"/>
      <c r="U120" s="1851"/>
      <c r="V120" s="1851"/>
      <c r="W120" s="1851"/>
      <c r="X120" s="1852"/>
      <c r="Y120" s="1852"/>
      <c r="Z120" s="1852"/>
    </row>
    <row r="121" spans="3:26" s="1207" customFormat="1" x14ac:dyDescent="0.45">
      <c r="G121" s="1851"/>
      <c r="H121" s="1851"/>
      <c r="I121" s="1851"/>
      <c r="J121" s="1851"/>
      <c r="K121" s="1851"/>
      <c r="L121" s="1851"/>
      <c r="M121" s="1851"/>
      <c r="N121" s="1851"/>
      <c r="O121" s="1851"/>
      <c r="P121" s="1851"/>
      <c r="Q121" s="1851"/>
      <c r="R121" s="1851"/>
      <c r="S121" s="1851"/>
      <c r="T121" s="1851"/>
      <c r="U121" s="1851"/>
      <c r="V121" s="1851"/>
      <c r="W121" s="1851"/>
      <c r="X121" s="1853"/>
      <c r="Y121" s="1853"/>
      <c r="Z121" s="1853"/>
    </row>
    <row r="122" spans="3:26" s="1207" customFormat="1" x14ac:dyDescent="0.45">
      <c r="G122" s="1851"/>
      <c r="H122" s="1851"/>
      <c r="I122" s="1851"/>
      <c r="J122" s="1851"/>
      <c r="K122" s="1851"/>
      <c r="L122" s="1851"/>
      <c r="M122" s="1851"/>
      <c r="N122" s="1851"/>
      <c r="O122" s="1851"/>
      <c r="P122" s="1851"/>
      <c r="Q122" s="1851"/>
      <c r="R122" s="1851"/>
      <c r="S122" s="1851"/>
      <c r="T122" s="1851"/>
      <c r="U122" s="1851"/>
      <c r="V122" s="1851"/>
      <c r="W122" s="1851"/>
      <c r="X122" s="1852"/>
      <c r="Y122" s="1852"/>
      <c r="Z122" s="1852"/>
    </row>
    <row r="123" spans="3:26" s="1207" customFormat="1" x14ac:dyDescent="0.45">
      <c r="G123" s="1851"/>
      <c r="H123" s="1851"/>
      <c r="I123" s="1851"/>
      <c r="J123" s="1851"/>
      <c r="K123" s="1851"/>
      <c r="L123" s="1851"/>
      <c r="M123" s="1851"/>
      <c r="N123" s="1851"/>
      <c r="O123" s="1851"/>
      <c r="P123" s="1851"/>
      <c r="Q123" s="1851"/>
      <c r="R123" s="1851"/>
      <c r="S123" s="1851"/>
      <c r="T123" s="1851"/>
      <c r="U123" s="1851"/>
      <c r="V123" s="1851"/>
      <c r="W123" s="1851"/>
      <c r="X123" s="1852"/>
      <c r="Y123" s="1852"/>
      <c r="Z123" s="1852"/>
    </row>
    <row r="124" spans="3:26" s="1207" customFormat="1" x14ac:dyDescent="0.45">
      <c r="G124" s="1851"/>
      <c r="H124" s="1851"/>
      <c r="I124" s="1851"/>
      <c r="J124" s="1851"/>
      <c r="K124" s="1851"/>
      <c r="L124" s="1851"/>
      <c r="M124" s="1851"/>
      <c r="N124" s="1851"/>
      <c r="O124" s="1851"/>
      <c r="P124" s="1851"/>
      <c r="Q124" s="1851"/>
      <c r="R124" s="1851"/>
      <c r="S124" s="1851"/>
      <c r="T124" s="1851"/>
      <c r="U124" s="1851"/>
      <c r="V124" s="1851"/>
      <c r="W124" s="1851"/>
      <c r="X124" s="1852"/>
      <c r="Y124" s="1852"/>
      <c r="Z124" s="1852"/>
    </row>
    <row r="125" spans="3:26" s="1207" customFormat="1" x14ac:dyDescent="0.45">
      <c r="G125" s="1851"/>
      <c r="H125" s="1851"/>
      <c r="I125" s="1851"/>
      <c r="J125" s="1851"/>
      <c r="K125" s="1851"/>
      <c r="L125" s="1851"/>
      <c r="M125" s="1851"/>
      <c r="N125" s="1851"/>
      <c r="O125" s="1851"/>
      <c r="P125" s="1851"/>
      <c r="Q125" s="1851"/>
      <c r="R125" s="1851"/>
      <c r="S125" s="1851"/>
      <c r="T125" s="1851"/>
      <c r="U125" s="1851"/>
      <c r="V125" s="1851"/>
      <c r="W125" s="1851"/>
      <c r="X125" s="1852"/>
      <c r="Y125" s="1852"/>
      <c r="Z125" s="1852"/>
    </row>
    <row r="126" spans="3:26" s="1207" customFormat="1" x14ac:dyDescent="0.45">
      <c r="G126" s="1851"/>
      <c r="H126" s="1851"/>
      <c r="I126" s="1851"/>
      <c r="J126" s="1851"/>
      <c r="K126" s="1851"/>
      <c r="L126" s="1851"/>
      <c r="M126" s="1851"/>
      <c r="N126" s="1851"/>
      <c r="O126" s="1851"/>
      <c r="P126" s="1851"/>
      <c r="Q126" s="1851"/>
      <c r="R126" s="1851"/>
      <c r="S126" s="1851"/>
      <c r="T126" s="1851"/>
      <c r="U126" s="1851"/>
      <c r="V126" s="1851"/>
      <c r="W126" s="1851"/>
      <c r="X126" s="1852"/>
      <c r="Y126" s="1852"/>
      <c r="Z126" s="1852"/>
    </row>
    <row r="127" spans="3:26" s="1207" customFormat="1" x14ac:dyDescent="0.45">
      <c r="G127" s="1851"/>
      <c r="H127" s="1851"/>
      <c r="I127" s="1851"/>
      <c r="J127" s="1851"/>
      <c r="K127" s="1851"/>
      <c r="L127" s="1851"/>
      <c r="M127" s="1851"/>
      <c r="N127" s="1851"/>
      <c r="O127" s="1851"/>
      <c r="P127" s="1851"/>
      <c r="Q127" s="1851"/>
      <c r="R127" s="1851"/>
      <c r="S127" s="1851"/>
      <c r="T127" s="1851"/>
      <c r="U127" s="1851"/>
      <c r="V127" s="1851"/>
      <c r="W127" s="1851"/>
      <c r="X127" s="1852"/>
      <c r="Y127" s="1852"/>
      <c r="Z127" s="1852"/>
    </row>
    <row r="128" spans="3:26" s="1207" customFormat="1" x14ac:dyDescent="0.45">
      <c r="G128" s="1854"/>
      <c r="H128" s="1851"/>
      <c r="I128" s="1851"/>
      <c r="J128" s="1851"/>
      <c r="K128" s="1851"/>
      <c r="L128" s="1851"/>
      <c r="M128" s="1851"/>
      <c r="N128" s="1851"/>
      <c r="O128" s="1851"/>
      <c r="P128" s="1851"/>
      <c r="Q128" s="1851"/>
      <c r="R128" s="1851"/>
      <c r="S128" s="1851"/>
      <c r="T128" s="1851"/>
      <c r="U128" s="1851"/>
      <c r="V128" s="1851"/>
      <c r="W128" s="1851"/>
      <c r="X128" s="1852"/>
      <c r="Y128" s="1852"/>
      <c r="Z128" s="1852"/>
    </row>
    <row r="129" spans="4:26" s="1207" customFormat="1" x14ac:dyDescent="0.45">
      <c r="G129" s="1855"/>
      <c r="H129" s="1855"/>
      <c r="I129" s="1855"/>
      <c r="J129" s="1855"/>
      <c r="K129" s="1855"/>
      <c r="L129" s="1855"/>
      <c r="M129" s="1855"/>
      <c r="N129" s="1855"/>
      <c r="O129" s="1855"/>
      <c r="P129" s="1855"/>
      <c r="Q129" s="1855"/>
      <c r="R129" s="1855"/>
      <c r="S129" s="1855"/>
      <c r="T129" s="1855"/>
      <c r="U129" s="1855"/>
      <c r="V129" s="1855"/>
      <c r="W129" s="1855"/>
      <c r="X129" s="1852"/>
      <c r="Y129" s="1852"/>
      <c r="Z129" s="1852"/>
    </row>
    <row r="130" spans="4:26" s="1207" customFormat="1" x14ac:dyDescent="0.45">
      <c r="G130" s="1856"/>
      <c r="H130" s="1856"/>
      <c r="I130" s="1856"/>
      <c r="J130" s="1856"/>
      <c r="K130" s="1856"/>
      <c r="L130" s="1856"/>
      <c r="M130" s="1856"/>
      <c r="N130" s="1856"/>
      <c r="O130" s="1856"/>
      <c r="P130" s="1856"/>
      <c r="Q130" s="1856"/>
      <c r="R130" s="1856"/>
      <c r="S130" s="1856"/>
      <c r="T130" s="1856"/>
      <c r="U130" s="1856"/>
      <c r="V130" s="1856"/>
      <c r="W130" s="1856"/>
      <c r="X130" s="1852"/>
      <c r="Y130" s="1852"/>
      <c r="Z130" s="1852"/>
    </row>
    <row r="131" spans="4:26" s="1207" customFormat="1" x14ac:dyDescent="0.45">
      <c r="G131" s="1856"/>
      <c r="H131" s="1856"/>
      <c r="I131" s="1856"/>
      <c r="J131" s="1856"/>
      <c r="K131" s="1856"/>
      <c r="L131" s="1856"/>
      <c r="M131" s="1856"/>
      <c r="N131" s="1856"/>
      <c r="O131" s="1856"/>
      <c r="P131" s="1856"/>
      <c r="Q131" s="1856"/>
      <c r="R131" s="1856"/>
      <c r="S131" s="1856"/>
      <c r="T131" s="1856"/>
      <c r="U131" s="1856"/>
      <c r="V131" s="1856"/>
      <c r="W131" s="1856"/>
      <c r="X131" s="1855"/>
      <c r="Y131" s="1855"/>
      <c r="Z131" s="1855"/>
    </row>
    <row r="132" spans="4:26" s="1207" customFormat="1" x14ac:dyDescent="0.45">
      <c r="G132" s="1856"/>
      <c r="H132" s="1856"/>
      <c r="I132" s="1856"/>
      <c r="J132" s="1856"/>
      <c r="K132" s="1856"/>
      <c r="L132" s="1856"/>
      <c r="M132" s="1856"/>
      <c r="N132" s="1856"/>
      <c r="O132" s="1856"/>
      <c r="P132" s="1856"/>
      <c r="Q132" s="1856"/>
      <c r="R132" s="1856"/>
      <c r="S132" s="1856"/>
      <c r="T132" s="1856"/>
      <c r="U132" s="1856"/>
      <c r="V132" s="1856"/>
      <c r="W132" s="1856"/>
      <c r="X132" s="1856"/>
      <c r="Y132" s="1856"/>
      <c r="Z132" s="1856"/>
    </row>
    <row r="133" spans="4:26" s="1207" customFormat="1" x14ac:dyDescent="0.45">
      <c r="G133" s="1856"/>
      <c r="H133" s="1856"/>
      <c r="I133" s="1856"/>
      <c r="J133" s="1856"/>
      <c r="K133" s="1856"/>
      <c r="L133" s="1856"/>
      <c r="M133" s="1856"/>
      <c r="N133" s="1856"/>
      <c r="O133" s="1856"/>
      <c r="P133" s="1856"/>
      <c r="Q133" s="1856"/>
      <c r="R133" s="1856"/>
      <c r="S133" s="1856"/>
      <c r="T133" s="1856"/>
      <c r="U133" s="1856"/>
      <c r="V133" s="1856"/>
      <c r="W133" s="1856"/>
      <c r="X133" s="1856"/>
      <c r="Y133" s="1856"/>
      <c r="Z133" s="1856"/>
    </row>
    <row r="134" spans="4:26" s="1207" customFormat="1" x14ac:dyDescent="0.45">
      <c r="G134" s="1856"/>
      <c r="H134" s="1856"/>
      <c r="I134" s="1856"/>
      <c r="J134" s="1856"/>
      <c r="K134" s="1856"/>
      <c r="L134" s="1856"/>
      <c r="M134" s="1856"/>
      <c r="N134" s="1856"/>
      <c r="O134" s="1856"/>
      <c r="P134" s="1856"/>
      <c r="Q134" s="1856"/>
      <c r="R134" s="1856"/>
      <c r="S134" s="1856"/>
      <c r="T134" s="1856"/>
      <c r="U134" s="1856"/>
      <c r="V134" s="1856"/>
      <c r="W134" s="1856"/>
      <c r="X134" s="1856"/>
      <c r="Y134" s="1856"/>
      <c r="Z134" s="1856"/>
    </row>
    <row r="135" spans="4:26" s="1207" customFormat="1" x14ac:dyDescent="0.45">
      <c r="G135" s="1856"/>
      <c r="H135" s="1856"/>
      <c r="I135" s="1856"/>
      <c r="J135" s="1856"/>
      <c r="K135" s="1856"/>
      <c r="L135" s="1856"/>
      <c r="M135" s="1856"/>
      <c r="N135" s="1856"/>
      <c r="O135" s="1856"/>
      <c r="P135" s="1856"/>
      <c r="Q135" s="1856"/>
      <c r="R135" s="1856"/>
      <c r="S135" s="1856"/>
      <c r="T135" s="1856"/>
      <c r="U135" s="1856"/>
      <c r="V135" s="1856"/>
      <c r="W135" s="1856"/>
      <c r="X135" s="1856"/>
      <c r="Y135" s="1856"/>
      <c r="Z135" s="1856"/>
    </row>
    <row r="136" spans="4:26" s="1207" customFormat="1" x14ac:dyDescent="0.45">
      <c r="G136" s="1856"/>
      <c r="H136" s="1856"/>
      <c r="I136" s="1856"/>
      <c r="J136" s="1856"/>
      <c r="K136" s="1856"/>
      <c r="L136" s="1856"/>
      <c r="M136" s="1856"/>
      <c r="N136" s="1856"/>
      <c r="O136" s="1856"/>
      <c r="P136" s="1856"/>
      <c r="Q136" s="1856"/>
      <c r="R136" s="1856"/>
      <c r="S136" s="1856"/>
      <c r="T136" s="1856"/>
      <c r="U136" s="1856"/>
      <c r="V136" s="1856"/>
      <c r="W136" s="1856"/>
      <c r="X136" s="1856"/>
      <c r="Y136" s="1856"/>
      <c r="Z136" s="1856"/>
    </row>
    <row r="137" spans="4:26" s="1207" customFormat="1" x14ac:dyDescent="0.45">
      <c r="G137" s="1856"/>
      <c r="H137" s="1856"/>
      <c r="I137" s="1856"/>
      <c r="J137" s="1856"/>
      <c r="K137" s="1856"/>
      <c r="L137" s="1856"/>
      <c r="M137" s="1856"/>
      <c r="N137" s="1856"/>
      <c r="O137" s="1856"/>
      <c r="P137" s="1856"/>
      <c r="Q137" s="1856"/>
      <c r="R137" s="1856"/>
      <c r="S137" s="1856"/>
      <c r="T137" s="1856"/>
      <c r="U137" s="1856"/>
      <c r="V137" s="1856"/>
      <c r="W137" s="1856"/>
      <c r="X137" s="1856"/>
      <c r="Y137" s="1856"/>
      <c r="Z137" s="1856"/>
    </row>
    <row r="138" spans="4:26" s="1207" customFormat="1" x14ac:dyDescent="0.45">
      <c r="G138" s="1856"/>
      <c r="H138" s="1856"/>
      <c r="I138" s="1856"/>
      <c r="J138" s="1856"/>
      <c r="K138" s="1856"/>
      <c r="L138" s="1856"/>
      <c r="M138" s="1856"/>
      <c r="N138" s="1856"/>
      <c r="O138" s="1856"/>
      <c r="P138" s="1856"/>
      <c r="Q138" s="1856"/>
      <c r="R138" s="1856"/>
      <c r="S138" s="1856"/>
      <c r="T138" s="1856"/>
      <c r="U138" s="1856"/>
      <c r="V138" s="1856"/>
      <c r="W138" s="1856"/>
      <c r="X138" s="1856"/>
      <c r="Y138" s="1856"/>
      <c r="Z138" s="1856"/>
    </row>
    <row r="139" spans="4:26" s="1207" customFormat="1" x14ac:dyDescent="0.45">
      <c r="G139" s="1856"/>
      <c r="H139" s="1856"/>
      <c r="I139" s="1856"/>
      <c r="J139" s="1856"/>
      <c r="K139" s="1856"/>
      <c r="L139" s="1856"/>
      <c r="M139" s="1856"/>
      <c r="N139" s="1856"/>
      <c r="O139" s="1856"/>
      <c r="P139" s="1856"/>
      <c r="Q139" s="1856"/>
      <c r="R139" s="1856"/>
      <c r="S139" s="1856"/>
      <c r="T139" s="1856"/>
      <c r="U139" s="1856"/>
      <c r="V139" s="1856"/>
      <c r="W139" s="1856"/>
      <c r="X139" s="1856"/>
      <c r="Y139" s="1856"/>
      <c r="Z139" s="1856"/>
    </row>
    <row r="140" spans="4:26" s="1207" customFormat="1" x14ac:dyDescent="0.45">
      <c r="D140" s="1850"/>
      <c r="F140" s="1850"/>
      <c r="G140" s="1857"/>
      <c r="H140" s="1857"/>
      <c r="I140" s="1857"/>
      <c r="J140" s="1857"/>
      <c r="K140" s="1857"/>
      <c r="L140" s="1857"/>
      <c r="M140" s="1857"/>
      <c r="N140" s="1857"/>
      <c r="O140" s="1857"/>
      <c r="P140" s="1857"/>
      <c r="Q140" s="1857"/>
      <c r="R140" s="1857"/>
      <c r="S140" s="1857"/>
      <c r="T140" s="1857"/>
      <c r="U140" s="1857"/>
      <c r="V140" s="1857"/>
      <c r="W140" s="1857"/>
      <c r="X140" s="1856"/>
      <c r="Y140" s="1856"/>
      <c r="Z140" s="1856"/>
    </row>
    <row r="141" spans="4:26" s="1207" customFormat="1" x14ac:dyDescent="0.45">
      <c r="G141" s="1858"/>
      <c r="H141" s="1858"/>
      <c r="I141" s="1858"/>
      <c r="J141" s="1858"/>
      <c r="K141" s="1858"/>
      <c r="L141" s="1858"/>
      <c r="M141" s="1858"/>
      <c r="N141" s="1858"/>
      <c r="O141" s="1858"/>
      <c r="P141" s="1858"/>
      <c r="Q141" s="1858"/>
      <c r="R141" s="1858"/>
      <c r="S141" s="1858"/>
      <c r="T141" s="1858"/>
      <c r="U141" s="1858"/>
      <c r="V141" s="1858"/>
      <c r="W141" s="1858"/>
      <c r="X141" s="1856"/>
      <c r="Y141" s="1856"/>
      <c r="Z141" s="1856"/>
    </row>
    <row r="142" spans="4:26" s="1207" customFormat="1" x14ac:dyDescent="0.45">
      <c r="G142" s="1858"/>
      <c r="H142" s="1858"/>
      <c r="I142" s="1858"/>
      <c r="J142" s="1858"/>
      <c r="K142" s="1858"/>
      <c r="L142" s="1858"/>
      <c r="M142" s="1858"/>
      <c r="N142" s="1858"/>
      <c r="O142" s="1858"/>
      <c r="P142" s="1858"/>
      <c r="Q142" s="1858"/>
      <c r="R142" s="1858"/>
      <c r="S142" s="1858"/>
      <c r="T142" s="1858"/>
      <c r="U142" s="1858"/>
      <c r="V142" s="1858"/>
      <c r="W142" s="1858"/>
      <c r="X142" s="1857"/>
      <c r="Y142" s="1857"/>
      <c r="Z142" s="1857"/>
    </row>
    <row r="143" spans="4:26" s="1207" customFormat="1" x14ac:dyDescent="0.45">
      <c r="D143" s="1850"/>
      <c r="F143" s="1850"/>
      <c r="G143" s="1857"/>
      <c r="H143" s="1857"/>
      <c r="I143" s="1857"/>
      <c r="J143" s="1857"/>
      <c r="K143" s="1857"/>
      <c r="L143" s="1857"/>
      <c r="M143" s="1857"/>
      <c r="N143" s="1857"/>
      <c r="O143" s="1857"/>
      <c r="P143" s="1857"/>
      <c r="Q143" s="1857"/>
      <c r="R143" s="1857"/>
      <c r="S143" s="1857"/>
      <c r="T143" s="1857"/>
      <c r="U143" s="1857"/>
      <c r="V143" s="1857"/>
      <c r="W143" s="1857"/>
      <c r="X143" s="1858"/>
      <c r="Y143" s="1858"/>
      <c r="Z143" s="1858"/>
    </row>
    <row r="144" spans="4:26" s="1207" customFormat="1" x14ac:dyDescent="0.45">
      <c r="G144" s="1858"/>
      <c r="H144" s="1858"/>
      <c r="I144" s="1858"/>
      <c r="J144" s="1858"/>
      <c r="K144" s="1858"/>
      <c r="L144" s="1858"/>
      <c r="M144" s="1858"/>
      <c r="N144" s="1858"/>
      <c r="O144" s="1858"/>
      <c r="P144" s="1858"/>
      <c r="Q144" s="1858"/>
      <c r="R144" s="1858"/>
      <c r="S144" s="1858"/>
      <c r="T144" s="1858"/>
      <c r="U144" s="1858"/>
      <c r="V144" s="1858"/>
      <c r="W144" s="1858"/>
      <c r="X144" s="1858"/>
      <c r="Y144" s="1858"/>
      <c r="Z144" s="1858"/>
    </row>
    <row r="145" spans="3:26" s="1207" customFormat="1" x14ac:dyDescent="0.45">
      <c r="G145" s="1858"/>
      <c r="H145" s="1858"/>
      <c r="I145" s="1858"/>
      <c r="J145" s="1858"/>
      <c r="K145" s="1858"/>
      <c r="L145" s="1858"/>
      <c r="M145" s="1858"/>
      <c r="N145" s="1858"/>
      <c r="O145" s="1858"/>
      <c r="P145" s="1858"/>
      <c r="Q145" s="1858"/>
      <c r="R145" s="1858"/>
      <c r="S145" s="1858"/>
      <c r="T145" s="1858"/>
      <c r="U145" s="1858"/>
      <c r="V145" s="1858"/>
      <c r="W145" s="1858"/>
      <c r="X145" s="1857"/>
      <c r="Y145" s="1857"/>
      <c r="Z145" s="1857"/>
    </row>
    <row r="146" spans="3:26" s="1207" customFormat="1" x14ac:dyDescent="0.45">
      <c r="G146" s="1858"/>
      <c r="H146" s="1858"/>
      <c r="I146" s="1858"/>
      <c r="J146" s="1858"/>
      <c r="K146" s="1858"/>
      <c r="L146" s="1858"/>
      <c r="M146" s="1858"/>
      <c r="N146" s="1858"/>
      <c r="O146" s="1858"/>
      <c r="P146" s="1858"/>
      <c r="Q146" s="1858"/>
      <c r="R146" s="1858"/>
      <c r="S146" s="1858"/>
      <c r="T146" s="1858"/>
      <c r="U146" s="1858"/>
      <c r="V146" s="1858"/>
      <c r="W146" s="1858"/>
      <c r="X146" s="1858"/>
      <c r="Y146" s="1858"/>
      <c r="Z146" s="1858"/>
    </row>
    <row r="147" spans="3:26" s="1207" customFormat="1" x14ac:dyDescent="0.45">
      <c r="G147" s="1858"/>
      <c r="H147" s="1858"/>
      <c r="I147" s="1858"/>
      <c r="J147" s="1858"/>
      <c r="K147" s="1858"/>
      <c r="L147" s="1858"/>
      <c r="M147" s="1858"/>
      <c r="N147" s="1858"/>
      <c r="O147" s="1858"/>
      <c r="P147" s="1858"/>
      <c r="Q147" s="1858"/>
      <c r="R147" s="1858"/>
      <c r="S147" s="1858"/>
      <c r="T147" s="1858"/>
      <c r="U147" s="1858"/>
      <c r="V147" s="1858"/>
      <c r="W147" s="1858"/>
      <c r="X147" s="1858"/>
      <c r="Y147" s="1858"/>
      <c r="Z147" s="1858"/>
    </row>
    <row r="148" spans="3:26" s="1207" customFormat="1" x14ac:dyDescent="0.45">
      <c r="G148" s="1858"/>
      <c r="H148" s="1858"/>
      <c r="I148" s="1858"/>
      <c r="J148" s="1858"/>
      <c r="K148" s="1858"/>
      <c r="L148" s="1858"/>
      <c r="M148" s="1858"/>
      <c r="N148" s="1858"/>
      <c r="O148" s="1858"/>
      <c r="P148" s="1858"/>
      <c r="Q148" s="1858"/>
      <c r="R148" s="1858"/>
      <c r="S148" s="1858"/>
      <c r="T148" s="1858"/>
      <c r="U148" s="1858"/>
      <c r="V148" s="1858"/>
      <c r="W148" s="1858"/>
      <c r="X148" s="1858"/>
      <c r="Y148" s="1858"/>
      <c r="Z148" s="1858"/>
    </row>
    <row r="149" spans="3:26" s="1207" customFormat="1" x14ac:dyDescent="0.45">
      <c r="D149" s="1850"/>
      <c r="F149" s="1850"/>
      <c r="G149" s="1857"/>
      <c r="H149" s="1857"/>
      <c r="I149" s="1857"/>
      <c r="J149" s="1857"/>
      <c r="K149" s="1857"/>
      <c r="L149" s="1857"/>
      <c r="M149" s="1857"/>
      <c r="N149" s="1857"/>
      <c r="O149" s="1857"/>
      <c r="P149" s="1857"/>
      <c r="Q149" s="1857"/>
      <c r="R149" s="1857"/>
      <c r="S149" s="1857"/>
      <c r="T149" s="1857"/>
      <c r="U149" s="1857"/>
      <c r="V149" s="1857"/>
      <c r="W149" s="1857"/>
      <c r="X149" s="1858"/>
      <c r="Y149" s="1858"/>
      <c r="Z149" s="1858"/>
    </row>
    <row r="150" spans="3:26" s="1207" customFormat="1" x14ac:dyDescent="0.45">
      <c r="G150" s="1859"/>
      <c r="H150" s="1856"/>
      <c r="I150" s="1856"/>
      <c r="J150" s="1856"/>
      <c r="K150" s="1856"/>
      <c r="L150" s="1856"/>
      <c r="M150" s="1856"/>
      <c r="N150" s="1856"/>
      <c r="O150" s="1856"/>
      <c r="P150" s="1856"/>
      <c r="Q150" s="1856"/>
      <c r="R150" s="1856"/>
      <c r="S150" s="1856"/>
      <c r="T150" s="1856"/>
      <c r="U150" s="1856"/>
      <c r="V150" s="1856"/>
      <c r="W150" s="1856"/>
      <c r="X150" s="1858"/>
      <c r="Y150" s="1858"/>
      <c r="Z150" s="1858"/>
    </row>
    <row r="151" spans="3:26" s="1207" customFormat="1" x14ac:dyDescent="0.45">
      <c r="G151" s="1859"/>
      <c r="H151" s="1858"/>
      <c r="I151" s="1858"/>
      <c r="J151" s="1858"/>
      <c r="K151" s="1858"/>
      <c r="L151" s="1858"/>
      <c r="M151" s="1858"/>
      <c r="N151" s="1859"/>
      <c r="O151" s="1859"/>
      <c r="P151" s="1859"/>
      <c r="Q151" s="1859"/>
      <c r="R151" s="1859"/>
      <c r="S151" s="1859"/>
      <c r="T151" s="1859"/>
      <c r="U151" s="1859"/>
      <c r="V151" s="1859"/>
      <c r="W151" s="1859"/>
      <c r="X151" s="1857"/>
      <c r="Y151" s="1857"/>
      <c r="Z151" s="1857"/>
    </row>
    <row r="152" spans="3:26" s="1207" customFormat="1" x14ac:dyDescent="0.45">
      <c r="G152" s="1858"/>
      <c r="H152" s="1858"/>
      <c r="I152" s="1858"/>
      <c r="J152" s="1858"/>
      <c r="K152" s="1858"/>
      <c r="L152" s="1858"/>
      <c r="M152" s="1859"/>
      <c r="N152" s="1859"/>
      <c r="O152" s="1859"/>
      <c r="P152" s="1859"/>
      <c r="Q152" s="1859"/>
      <c r="R152" s="1859"/>
      <c r="S152" s="1859"/>
      <c r="T152" s="1859"/>
      <c r="U152" s="1859"/>
      <c r="V152" s="1859"/>
      <c r="W152" s="1859"/>
      <c r="X152" s="1856"/>
      <c r="Y152" s="1856"/>
      <c r="Z152" s="1856"/>
    </row>
    <row r="153" spans="3:26" s="1207" customFormat="1" x14ac:dyDescent="0.45">
      <c r="G153" s="1859"/>
      <c r="H153" s="1858"/>
      <c r="I153" s="1858"/>
      <c r="J153" s="1858"/>
      <c r="K153" s="1858"/>
      <c r="L153" s="1858"/>
      <c r="M153" s="1858"/>
      <c r="N153" s="1858"/>
      <c r="O153" s="1858"/>
      <c r="P153" s="1858"/>
      <c r="Q153" s="1858"/>
      <c r="R153" s="1858"/>
      <c r="S153" s="1858"/>
      <c r="T153" s="1858"/>
      <c r="U153" s="1858"/>
      <c r="V153" s="1858"/>
      <c r="W153" s="1858"/>
      <c r="X153" s="1859"/>
      <c r="Y153" s="1859"/>
      <c r="Z153" s="1859"/>
    </row>
    <row r="154" spans="3:26" s="1207" customFormat="1" x14ac:dyDescent="0.45">
      <c r="D154" s="1850"/>
      <c r="F154" s="1850"/>
      <c r="G154" s="1857"/>
      <c r="H154" s="1857"/>
      <c r="I154" s="1857"/>
      <c r="J154" s="1857"/>
      <c r="K154" s="1857"/>
      <c r="L154" s="1857"/>
      <c r="M154" s="1857"/>
      <c r="N154" s="1857"/>
      <c r="O154" s="1857"/>
      <c r="P154" s="1857"/>
      <c r="Q154" s="1857"/>
      <c r="R154" s="1857"/>
      <c r="S154" s="1857"/>
      <c r="T154" s="1857"/>
      <c r="U154" s="1857"/>
      <c r="V154" s="1857"/>
      <c r="W154" s="1857"/>
      <c r="X154" s="1859"/>
      <c r="Y154" s="1859"/>
      <c r="Z154" s="1859"/>
    </row>
    <row r="155" spans="3:26" s="1207" customFormat="1" x14ac:dyDescent="0.45">
      <c r="H155" s="1858"/>
      <c r="I155" s="1858"/>
      <c r="J155" s="1858"/>
      <c r="K155" s="1858"/>
      <c r="L155" s="1858"/>
      <c r="M155" s="1858"/>
      <c r="N155" s="1858"/>
      <c r="O155" s="1858"/>
      <c r="P155" s="1858"/>
      <c r="Q155" s="1858"/>
      <c r="R155" s="1858"/>
      <c r="S155" s="1858"/>
      <c r="T155" s="1858"/>
      <c r="U155" s="1858"/>
      <c r="V155" s="1858"/>
      <c r="W155" s="1858"/>
      <c r="X155" s="1858"/>
      <c r="Y155" s="1858"/>
      <c r="Z155" s="1858"/>
    </row>
    <row r="156" spans="3:26" s="1207" customFormat="1" x14ac:dyDescent="0.45">
      <c r="H156" s="1858"/>
      <c r="I156" s="1858"/>
      <c r="J156" s="1858"/>
      <c r="K156" s="1858"/>
      <c r="L156" s="1858"/>
      <c r="M156" s="1858"/>
      <c r="N156" s="1858"/>
      <c r="O156" s="1858"/>
      <c r="P156" s="1858"/>
      <c r="Q156" s="1858"/>
      <c r="R156" s="1858"/>
      <c r="S156" s="1858"/>
      <c r="T156" s="1858"/>
      <c r="U156" s="1858"/>
      <c r="V156" s="1858"/>
      <c r="W156" s="1858"/>
      <c r="X156" s="1857"/>
      <c r="Y156" s="1857"/>
      <c r="Z156" s="1857"/>
    </row>
    <row r="157" spans="3:26" s="1207" customFormat="1" x14ac:dyDescent="0.45">
      <c r="H157" s="1858"/>
      <c r="I157" s="1858"/>
      <c r="J157" s="1858"/>
      <c r="K157" s="1858"/>
      <c r="L157" s="1858"/>
      <c r="M157" s="1858"/>
      <c r="N157" s="1859"/>
      <c r="O157" s="1859"/>
      <c r="P157" s="1859"/>
      <c r="Q157" s="1859"/>
      <c r="R157" s="1859"/>
      <c r="S157" s="1859"/>
      <c r="T157" s="1858"/>
      <c r="U157" s="1858"/>
      <c r="V157" s="1858"/>
      <c r="W157" s="1858"/>
      <c r="X157" s="1858"/>
      <c r="Y157" s="1858"/>
      <c r="Z157" s="1858"/>
    </row>
    <row r="158" spans="3:26" s="1207" customFormat="1" x14ac:dyDescent="0.45">
      <c r="G158" s="1857"/>
      <c r="H158" s="1858"/>
      <c r="I158" s="1858"/>
      <c r="J158" s="1858"/>
      <c r="K158" s="1858"/>
      <c r="L158" s="1858"/>
      <c r="M158" s="1858"/>
      <c r="N158" s="1858"/>
      <c r="O158" s="1858"/>
      <c r="P158" s="1858"/>
      <c r="Q158" s="1858"/>
      <c r="R158" s="1858"/>
      <c r="S158" s="1858"/>
      <c r="T158" s="1858"/>
      <c r="U158" s="1858"/>
      <c r="V158" s="1858"/>
      <c r="W158" s="1858"/>
      <c r="X158" s="1858"/>
      <c r="Y158" s="1858"/>
      <c r="Z158" s="1858"/>
    </row>
    <row r="159" spans="3:26" s="1207" customFormat="1" x14ac:dyDescent="0.45">
      <c r="D159" s="1850"/>
      <c r="F159" s="1850"/>
      <c r="G159" s="1857"/>
      <c r="H159" s="1857"/>
      <c r="I159" s="1857"/>
      <c r="J159" s="1857"/>
      <c r="K159" s="1857"/>
      <c r="L159" s="1857"/>
      <c r="M159" s="1857"/>
      <c r="N159" s="1857"/>
      <c r="O159" s="1857"/>
      <c r="P159" s="1857"/>
      <c r="Q159" s="1857"/>
      <c r="R159" s="1857"/>
      <c r="S159" s="1857"/>
      <c r="T159" s="1857"/>
      <c r="U159" s="1857"/>
      <c r="V159" s="1857"/>
      <c r="W159" s="1857"/>
      <c r="X159" s="1858"/>
      <c r="Y159" s="1858"/>
      <c r="Z159" s="1858"/>
    </row>
    <row r="160" spans="3:26" s="1207" customFormat="1" x14ac:dyDescent="0.45">
      <c r="C160" s="1860"/>
      <c r="G160" s="1858"/>
      <c r="H160" s="1858"/>
      <c r="I160" s="1858"/>
      <c r="J160" s="1858"/>
      <c r="K160" s="1858"/>
      <c r="L160" s="1858"/>
      <c r="M160" s="1858"/>
      <c r="N160" s="1858"/>
      <c r="O160" s="1858"/>
      <c r="P160" s="1858"/>
      <c r="Q160" s="1858"/>
      <c r="R160" s="1858"/>
      <c r="S160" s="1858"/>
      <c r="T160" s="1858"/>
      <c r="U160" s="1858"/>
      <c r="V160" s="1858"/>
      <c r="W160" s="1858"/>
      <c r="X160" s="1858"/>
      <c r="Y160" s="1858"/>
      <c r="Z160" s="1858"/>
    </row>
    <row r="161" spans="3:26" s="1207" customFormat="1" x14ac:dyDescent="0.45">
      <c r="C161" s="1860"/>
      <c r="G161" s="1858"/>
      <c r="H161" s="1858"/>
      <c r="I161" s="1858"/>
      <c r="J161" s="1858"/>
      <c r="K161" s="1858"/>
      <c r="L161" s="1858"/>
      <c r="M161" s="1858"/>
      <c r="N161" s="1858"/>
      <c r="O161" s="1858"/>
      <c r="P161" s="1858"/>
      <c r="Q161" s="1858"/>
      <c r="R161" s="1858"/>
      <c r="S161" s="1858"/>
      <c r="T161" s="1858"/>
      <c r="U161" s="1858"/>
      <c r="V161" s="1858"/>
      <c r="W161" s="1858"/>
      <c r="X161" s="1857"/>
      <c r="Y161" s="1857"/>
      <c r="Z161" s="1857"/>
    </row>
    <row r="162" spans="3:26" s="1207" customFormat="1" x14ac:dyDescent="0.45">
      <c r="D162" s="1850"/>
      <c r="F162" s="1850"/>
      <c r="G162" s="1857"/>
      <c r="H162" s="1857"/>
      <c r="I162" s="1857"/>
      <c r="J162" s="1857"/>
      <c r="K162" s="1857"/>
      <c r="L162" s="1857"/>
      <c r="M162" s="1857"/>
      <c r="N162" s="1857"/>
      <c r="O162" s="1857"/>
      <c r="P162" s="1857"/>
      <c r="Q162" s="1857"/>
      <c r="R162" s="1857"/>
      <c r="S162" s="1857"/>
      <c r="T162" s="1857"/>
      <c r="U162" s="1857"/>
      <c r="V162" s="1857"/>
      <c r="W162" s="1857"/>
      <c r="X162" s="1858"/>
      <c r="Y162" s="1858"/>
      <c r="Z162" s="1858"/>
    </row>
    <row r="163" spans="3:26" s="1207" customFormat="1" x14ac:dyDescent="0.45">
      <c r="G163" s="1857"/>
      <c r="H163" s="1858"/>
      <c r="I163" s="1858"/>
      <c r="J163" s="1858"/>
      <c r="K163" s="1858"/>
      <c r="L163" s="1858"/>
      <c r="M163" s="1858"/>
      <c r="N163" s="1858"/>
      <c r="O163" s="1858"/>
      <c r="P163" s="1858"/>
      <c r="Q163" s="1858"/>
      <c r="R163" s="1858"/>
      <c r="S163" s="1858"/>
      <c r="T163" s="1858"/>
      <c r="U163" s="1858"/>
      <c r="V163" s="1858"/>
      <c r="W163" s="1858"/>
      <c r="X163" s="1857"/>
      <c r="Y163" s="1857"/>
      <c r="Z163" s="1857"/>
    </row>
    <row r="164" spans="3:26" s="1207" customFormat="1" x14ac:dyDescent="0.45">
      <c r="D164" s="1850"/>
      <c r="F164" s="1850"/>
      <c r="G164" s="1857"/>
      <c r="H164" s="1857"/>
      <c r="I164" s="1857"/>
      <c r="J164" s="1857"/>
      <c r="K164" s="1857"/>
      <c r="L164" s="1857"/>
      <c r="M164" s="1857"/>
      <c r="N164" s="1857"/>
      <c r="O164" s="1857"/>
      <c r="P164" s="1857"/>
      <c r="Q164" s="1857"/>
      <c r="R164" s="1857"/>
      <c r="S164" s="1857"/>
      <c r="T164" s="1857"/>
      <c r="U164" s="1857"/>
      <c r="V164" s="1857"/>
      <c r="W164" s="1857"/>
      <c r="X164" s="1858"/>
      <c r="Y164" s="1858"/>
      <c r="Z164" s="1858"/>
    </row>
    <row r="165" spans="3:26" s="1207" customFormat="1" x14ac:dyDescent="0.45">
      <c r="G165" s="1859"/>
      <c r="H165" s="1858"/>
      <c r="I165" s="1858"/>
      <c r="J165" s="1858"/>
      <c r="K165" s="1858"/>
      <c r="L165" s="1858"/>
      <c r="M165" s="1858"/>
      <c r="N165" s="1858"/>
      <c r="O165" s="1858"/>
      <c r="P165" s="1858"/>
      <c r="Q165" s="1858"/>
      <c r="R165" s="1858"/>
      <c r="S165" s="1858"/>
      <c r="T165" s="1858"/>
      <c r="U165" s="1858"/>
      <c r="V165" s="1858"/>
      <c r="W165" s="1858"/>
      <c r="X165" s="1857"/>
      <c r="Y165" s="1857"/>
      <c r="Z165" s="1857"/>
    </row>
    <row r="166" spans="3:26" s="1207" customFormat="1" x14ac:dyDescent="0.45">
      <c r="G166" s="1859"/>
      <c r="H166" s="1858"/>
      <c r="I166" s="1858"/>
      <c r="J166" s="1858"/>
      <c r="K166" s="1858"/>
      <c r="L166" s="1858"/>
      <c r="M166" s="1858"/>
      <c r="N166" s="1858"/>
      <c r="O166" s="1858"/>
      <c r="P166" s="1858"/>
      <c r="Q166" s="1858"/>
      <c r="R166" s="1858"/>
      <c r="S166" s="1858"/>
      <c r="T166" s="1858"/>
      <c r="U166" s="1858"/>
      <c r="V166" s="1858"/>
      <c r="W166" s="1858"/>
      <c r="X166" s="1858"/>
      <c r="Y166" s="1858"/>
      <c r="Z166" s="1858"/>
    </row>
    <row r="167" spans="3:26" s="1207" customFormat="1" x14ac:dyDescent="0.45">
      <c r="G167" s="1859"/>
      <c r="H167" s="1858"/>
      <c r="I167" s="1858"/>
      <c r="J167" s="1858"/>
      <c r="K167" s="1858"/>
      <c r="L167" s="1858"/>
      <c r="M167" s="1858"/>
      <c r="N167" s="1858"/>
      <c r="O167" s="1858"/>
      <c r="P167" s="1858"/>
      <c r="Q167" s="1858"/>
      <c r="R167" s="1858"/>
      <c r="S167" s="1858"/>
      <c r="T167" s="1858"/>
      <c r="U167" s="1858"/>
      <c r="V167" s="1858"/>
      <c r="W167" s="1858"/>
      <c r="X167" s="1858"/>
      <c r="Y167" s="1858"/>
      <c r="Z167" s="1858"/>
    </row>
    <row r="168" spans="3:26" s="1207" customFormat="1" x14ac:dyDescent="0.45">
      <c r="G168" s="1859"/>
      <c r="H168" s="1858"/>
      <c r="I168" s="1858"/>
      <c r="J168" s="1858"/>
      <c r="K168" s="1858"/>
      <c r="L168" s="1858"/>
      <c r="M168" s="1858"/>
      <c r="N168" s="1858"/>
      <c r="O168" s="1858"/>
      <c r="P168" s="1858"/>
      <c r="Q168" s="1858"/>
      <c r="R168" s="1858"/>
      <c r="S168" s="1858"/>
      <c r="T168" s="1858"/>
      <c r="U168" s="1858"/>
      <c r="V168" s="1858"/>
      <c r="W168" s="1858"/>
      <c r="X168" s="1858"/>
      <c r="Y168" s="1858"/>
      <c r="Z168" s="1858"/>
    </row>
    <row r="169" spans="3:26" s="1207" customFormat="1" x14ac:dyDescent="0.45">
      <c r="G169" s="1859"/>
      <c r="H169" s="1858"/>
      <c r="I169" s="1858"/>
      <c r="J169" s="1858"/>
      <c r="K169" s="1858"/>
      <c r="L169" s="1858"/>
      <c r="M169" s="1858"/>
      <c r="N169" s="1858"/>
      <c r="O169" s="1858"/>
      <c r="P169" s="1858"/>
      <c r="Q169" s="1858"/>
      <c r="R169" s="1858"/>
      <c r="S169" s="1858"/>
      <c r="T169" s="1858"/>
      <c r="U169" s="1858"/>
      <c r="V169" s="1858"/>
      <c r="W169" s="1858"/>
      <c r="X169" s="1858"/>
      <c r="Y169" s="1858"/>
      <c r="Z169" s="1858"/>
    </row>
    <row r="170" spans="3:26" s="1207" customFormat="1" x14ac:dyDescent="0.45">
      <c r="G170" s="1859"/>
      <c r="H170" s="1858"/>
      <c r="I170" s="1858"/>
      <c r="J170" s="1858"/>
      <c r="K170" s="1858"/>
      <c r="L170" s="1858"/>
      <c r="M170" s="1858"/>
      <c r="N170" s="1858"/>
      <c r="O170" s="1858"/>
      <c r="P170" s="1858"/>
      <c r="Q170" s="1858"/>
      <c r="R170" s="1858"/>
      <c r="S170" s="1858"/>
      <c r="T170" s="1858"/>
      <c r="U170" s="1858"/>
      <c r="V170" s="1858"/>
      <c r="W170" s="1858"/>
      <c r="X170" s="1858"/>
      <c r="Y170" s="1858"/>
      <c r="Z170" s="1858"/>
    </row>
    <row r="171" spans="3:26" s="1207" customFormat="1" x14ac:dyDescent="0.45">
      <c r="G171" s="1858"/>
      <c r="H171" s="1858"/>
      <c r="I171" s="1858"/>
      <c r="J171" s="1858"/>
      <c r="K171" s="1858"/>
      <c r="L171" s="1858"/>
      <c r="M171" s="1858"/>
      <c r="N171" s="1858"/>
      <c r="O171" s="1858"/>
      <c r="P171" s="1858"/>
      <c r="Q171" s="1858"/>
      <c r="R171" s="1858"/>
      <c r="S171" s="1858"/>
      <c r="T171" s="1858"/>
      <c r="U171" s="1858"/>
      <c r="V171" s="1858"/>
      <c r="W171" s="1858"/>
      <c r="X171" s="1858"/>
      <c r="Y171" s="1858"/>
      <c r="Z171" s="1858"/>
    </row>
    <row r="172" spans="3:26" s="1207" customFormat="1" x14ac:dyDescent="0.45">
      <c r="D172" s="1850"/>
      <c r="F172" s="1850"/>
      <c r="G172" s="1857"/>
      <c r="H172" s="1857"/>
      <c r="I172" s="1857"/>
      <c r="J172" s="1857"/>
      <c r="K172" s="1857"/>
      <c r="L172" s="1857"/>
      <c r="M172" s="1857"/>
      <c r="N172" s="1857"/>
      <c r="O172" s="1857"/>
      <c r="P172" s="1857"/>
      <c r="Q172" s="1857"/>
      <c r="R172" s="1857"/>
      <c r="S172" s="1857"/>
      <c r="T172" s="1857"/>
      <c r="U172" s="1857"/>
      <c r="V172" s="1857"/>
      <c r="W172" s="1857"/>
      <c r="X172" s="1858"/>
      <c r="Y172" s="1858"/>
      <c r="Z172" s="1858"/>
    </row>
    <row r="173" spans="3:26" s="1207" customFormat="1" x14ac:dyDescent="0.45">
      <c r="G173" s="1857"/>
      <c r="H173" s="1858"/>
      <c r="I173" s="1858"/>
      <c r="J173" s="1858"/>
      <c r="K173" s="1858"/>
      <c r="L173" s="1858"/>
      <c r="M173" s="1858"/>
      <c r="N173" s="1858"/>
      <c r="O173" s="1858"/>
      <c r="P173" s="1858"/>
      <c r="Q173" s="1858"/>
      <c r="R173" s="1858"/>
      <c r="S173" s="1858"/>
      <c r="T173" s="1858"/>
      <c r="U173" s="1858"/>
      <c r="V173" s="1858"/>
      <c r="W173" s="1858"/>
      <c r="X173" s="1857"/>
      <c r="Y173" s="1857"/>
      <c r="Z173" s="1857"/>
    </row>
    <row r="174" spans="3:26" s="1207" customFormat="1" x14ac:dyDescent="0.45">
      <c r="D174" s="1850"/>
      <c r="F174" s="1850"/>
      <c r="G174" s="1857"/>
      <c r="H174" s="1857"/>
      <c r="I174" s="1857"/>
      <c r="J174" s="1857"/>
      <c r="K174" s="1857"/>
      <c r="L174" s="1857"/>
      <c r="M174" s="1857"/>
      <c r="N174" s="1857"/>
      <c r="O174" s="1857"/>
      <c r="P174" s="1857"/>
      <c r="Q174" s="1857"/>
      <c r="R174" s="1857"/>
      <c r="S174" s="1857"/>
      <c r="T174" s="1857"/>
      <c r="U174" s="1857"/>
      <c r="V174" s="1857"/>
      <c r="W174" s="1857"/>
      <c r="X174" s="1858"/>
      <c r="Y174" s="1858"/>
      <c r="Z174" s="1858"/>
    </row>
    <row r="175" spans="3:26" s="1207" customFormat="1" x14ac:dyDescent="0.45">
      <c r="G175" s="1857"/>
      <c r="H175" s="1858"/>
      <c r="I175" s="1858"/>
      <c r="J175" s="1858"/>
      <c r="K175" s="1858"/>
      <c r="L175" s="1858"/>
      <c r="M175" s="1858"/>
      <c r="N175" s="1858"/>
      <c r="O175" s="1858"/>
      <c r="P175" s="1858"/>
      <c r="Q175" s="1858"/>
      <c r="R175" s="1858"/>
      <c r="S175" s="1858"/>
      <c r="T175" s="1858"/>
      <c r="U175" s="1858"/>
      <c r="V175" s="1858"/>
      <c r="W175" s="1858"/>
      <c r="X175" s="1857"/>
      <c r="Y175" s="1857"/>
      <c r="Z175" s="1857"/>
    </row>
    <row r="176" spans="3:26" s="1207" customFormat="1" x14ac:dyDescent="0.45">
      <c r="D176" s="1850"/>
      <c r="F176" s="1850"/>
      <c r="G176" s="1857"/>
      <c r="H176" s="1857"/>
      <c r="I176" s="1857"/>
      <c r="J176" s="1857"/>
      <c r="K176" s="1857"/>
      <c r="L176" s="1857"/>
      <c r="M176" s="1857"/>
      <c r="N176" s="1857"/>
      <c r="O176" s="1857"/>
      <c r="P176" s="1857"/>
      <c r="Q176" s="1857"/>
      <c r="R176" s="1857"/>
      <c r="S176" s="1857"/>
      <c r="T176" s="1857"/>
      <c r="U176" s="1857"/>
      <c r="V176" s="1857"/>
      <c r="W176" s="1857"/>
      <c r="X176" s="1858"/>
      <c r="Y176" s="1858"/>
      <c r="Z176" s="1858"/>
    </row>
    <row r="177" spans="3:26" s="1207" customFormat="1" x14ac:dyDescent="0.45">
      <c r="C177" s="1860"/>
      <c r="G177" s="1861"/>
      <c r="H177" s="1861"/>
      <c r="I177" s="1861"/>
      <c r="J177" s="1861"/>
      <c r="K177" s="1861"/>
      <c r="L177" s="1861"/>
      <c r="M177" s="1861"/>
      <c r="N177" s="1861"/>
      <c r="O177" s="1861"/>
      <c r="P177" s="1861"/>
      <c r="Q177" s="1861"/>
      <c r="R177" s="1861"/>
      <c r="S177" s="1861"/>
      <c r="T177" s="1861"/>
      <c r="U177" s="1861"/>
      <c r="V177" s="1861"/>
      <c r="W177" s="1861"/>
      <c r="X177" s="1857"/>
      <c r="Y177" s="1857"/>
      <c r="Z177" s="1857"/>
    </row>
    <row r="178" spans="3:26" s="1207" customFormat="1" x14ac:dyDescent="0.45">
      <c r="D178" s="1850"/>
      <c r="F178" s="1850"/>
      <c r="G178" s="1862"/>
      <c r="H178" s="1862"/>
      <c r="I178" s="1862"/>
      <c r="J178" s="1862"/>
      <c r="K178" s="1862"/>
      <c r="L178" s="1862"/>
      <c r="M178" s="1862"/>
      <c r="N178" s="1862"/>
      <c r="O178" s="1862"/>
      <c r="P178" s="1862"/>
      <c r="Q178" s="1862"/>
      <c r="R178" s="1862"/>
      <c r="S178" s="1862"/>
      <c r="T178" s="1862"/>
      <c r="U178" s="1862"/>
      <c r="V178" s="1862"/>
      <c r="W178" s="1862"/>
      <c r="X178" s="1861"/>
      <c r="Y178" s="1861"/>
      <c r="Z178" s="1861"/>
    </row>
    <row r="179" spans="3:26" s="1207" customFormat="1" x14ac:dyDescent="0.45">
      <c r="G179" s="1856"/>
      <c r="H179" s="1856"/>
      <c r="I179" s="1856"/>
      <c r="J179" s="1856"/>
      <c r="K179" s="1856"/>
      <c r="L179" s="1856"/>
      <c r="M179" s="1856"/>
      <c r="N179" s="1856"/>
      <c r="O179" s="1856"/>
      <c r="P179" s="1856"/>
      <c r="Q179" s="1856"/>
      <c r="R179" s="1856"/>
      <c r="S179" s="1856"/>
      <c r="T179" s="1856"/>
      <c r="U179" s="1856"/>
      <c r="V179" s="1856"/>
      <c r="W179" s="1856"/>
      <c r="X179" s="1862"/>
      <c r="Y179" s="1862"/>
      <c r="Z179" s="1862"/>
    </row>
    <row r="180" spans="3:26" s="1207" customFormat="1" x14ac:dyDescent="0.45">
      <c r="G180" s="1856"/>
      <c r="H180" s="1856"/>
      <c r="I180" s="1856"/>
      <c r="J180" s="1856"/>
      <c r="K180" s="1856"/>
      <c r="L180" s="1856"/>
      <c r="M180" s="1856"/>
      <c r="N180" s="1856"/>
      <c r="O180" s="1856"/>
      <c r="P180" s="1856"/>
      <c r="Q180" s="1856"/>
      <c r="R180" s="1856"/>
      <c r="S180" s="1856"/>
      <c r="T180" s="1856"/>
      <c r="U180" s="1856"/>
      <c r="V180" s="1856"/>
      <c r="W180" s="1856"/>
      <c r="X180" s="1856"/>
      <c r="Y180" s="1856"/>
      <c r="Z180" s="1856"/>
    </row>
    <row r="181" spans="3:26" s="1207" customFormat="1" x14ac:dyDescent="0.45">
      <c r="G181" s="1856"/>
      <c r="H181" s="1856"/>
      <c r="I181" s="1856"/>
      <c r="J181" s="1856"/>
      <c r="K181" s="1856"/>
      <c r="L181" s="1856"/>
      <c r="M181" s="1856"/>
      <c r="N181" s="1856"/>
      <c r="O181" s="1856"/>
      <c r="P181" s="1856"/>
      <c r="Q181" s="1856"/>
      <c r="R181" s="1856"/>
      <c r="S181" s="1856"/>
      <c r="T181" s="1856"/>
      <c r="U181" s="1856"/>
      <c r="V181" s="1856"/>
      <c r="W181" s="1856"/>
      <c r="X181" s="1856"/>
      <c r="Y181" s="1856"/>
      <c r="Z181" s="1856"/>
    </row>
    <row r="182" spans="3:26" s="1207" customFormat="1" x14ac:dyDescent="0.45">
      <c r="G182" s="1856"/>
      <c r="H182" s="1856"/>
      <c r="I182" s="1856"/>
      <c r="J182" s="1856"/>
      <c r="K182" s="1856"/>
      <c r="L182" s="1856"/>
      <c r="M182" s="1856"/>
      <c r="N182" s="1856"/>
      <c r="O182" s="1856"/>
      <c r="P182" s="1856"/>
      <c r="Q182" s="1856"/>
      <c r="R182" s="1856"/>
      <c r="S182" s="1856"/>
      <c r="T182" s="1856"/>
      <c r="U182" s="1856"/>
      <c r="V182" s="1856"/>
      <c r="W182" s="1856"/>
      <c r="X182" s="1856"/>
      <c r="Y182" s="1856"/>
      <c r="Z182" s="1856"/>
    </row>
    <row r="183" spans="3:26" s="1207" customFormat="1" x14ac:dyDescent="0.45">
      <c r="G183" s="1856"/>
      <c r="H183" s="1856"/>
      <c r="I183" s="1856"/>
      <c r="J183" s="1856"/>
      <c r="K183" s="1856"/>
      <c r="L183" s="1856"/>
      <c r="M183" s="1856"/>
      <c r="N183" s="1856"/>
      <c r="O183" s="1856"/>
      <c r="P183" s="1856"/>
      <c r="Q183" s="1856"/>
      <c r="R183" s="1856"/>
      <c r="S183" s="1856"/>
      <c r="T183" s="1856"/>
      <c r="U183" s="1856"/>
      <c r="V183" s="1856"/>
      <c r="W183" s="1856"/>
      <c r="X183" s="1856"/>
      <c r="Y183" s="1856"/>
      <c r="Z183" s="1856"/>
    </row>
    <row r="184" spans="3:26" s="1207" customFormat="1" x14ac:dyDescent="0.45">
      <c r="D184" s="1850"/>
      <c r="F184" s="1850"/>
      <c r="G184" s="1863"/>
      <c r="H184" s="1863"/>
      <c r="I184" s="1863"/>
      <c r="J184" s="1863"/>
      <c r="K184" s="1863"/>
      <c r="L184" s="1863"/>
      <c r="M184" s="1863"/>
      <c r="N184" s="1863"/>
      <c r="O184" s="1863"/>
      <c r="P184" s="1863"/>
      <c r="Q184" s="1863"/>
      <c r="R184" s="1863"/>
      <c r="S184" s="1863"/>
      <c r="T184" s="1863"/>
      <c r="U184" s="1863"/>
      <c r="V184" s="1863"/>
      <c r="W184" s="1863"/>
      <c r="X184" s="1856"/>
      <c r="Y184" s="1856"/>
      <c r="Z184" s="1856"/>
    </row>
    <row r="185" spans="3:26" s="1207" customFormat="1" x14ac:dyDescent="0.45">
      <c r="X185" s="1863"/>
      <c r="Y185" s="1863"/>
      <c r="Z185" s="1863"/>
    </row>
    <row r="186" spans="3:26" s="1207" customFormat="1" x14ac:dyDescent="0.45">
      <c r="G186" s="1864"/>
      <c r="H186" s="1864"/>
      <c r="I186" s="1864"/>
      <c r="J186" s="1864"/>
      <c r="K186" s="1864"/>
      <c r="L186" s="1864"/>
      <c r="M186" s="1864"/>
      <c r="N186" s="1864"/>
      <c r="O186" s="1864"/>
      <c r="P186" s="1864"/>
      <c r="Q186" s="1864"/>
      <c r="R186" s="1864"/>
      <c r="S186" s="1864"/>
      <c r="T186" s="1864"/>
      <c r="U186" s="1864"/>
      <c r="V186" s="1864"/>
      <c r="W186" s="1864"/>
    </row>
    <row r="187" spans="3:26" s="1207" customFormat="1" x14ac:dyDescent="0.45">
      <c r="X187" s="1864"/>
      <c r="Y187" s="1864"/>
      <c r="Z187" s="1864"/>
    </row>
    <row r="188" spans="3:26" s="1207" customFormat="1" x14ac:dyDescent="0.45"/>
    <row r="189" spans="3:26" s="1207" customFormat="1" x14ac:dyDescent="0.45"/>
    <row r="190" spans="3:26" s="1207" customFormat="1" x14ac:dyDescent="0.45">
      <c r="G190" s="1865"/>
      <c r="H190" s="1865"/>
      <c r="I190" s="1865"/>
      <c r="J190" s="1865"/>
      <c r="K190" s="1865"/>
      <c r="L190" s="1865"/>
      <c r="M190" s="1865"/>
      <c r="N190" s="1865"/>
      <c r="O190" s="1865"/>
      <c r="P190" s="1865"/>
      <c r="Q190" s="1865"/>
      <c r="R190" s="1865"/>
      <c r="S190" s="1865"/>
      <c r="T190" s="1865"/>
      <c r="U190" s="1865"/>
      <c r="V190" s="1865"/>
      <c r="W190" s="1865"/>
      <c r="X190" s="1865"/>
      <c r="Y190" s="1865"/>
      <c r="Z190" s="1865"/>
    </row>
    <row r="191" spans="3:26" s="1207" customFormat="1" x14ac:dyDescent="0.45">
      <c r="G191" s="1856"/>
      <c r="H191" s="1856"/>
      <c r="I191" s="1856"/>
      <c r="J191" s="1856"/>
      <c r="K191" s="1856"/>
      <c r="L191" s="1856"/>
      <c r="M191" s="1856"/>
      <c r="N191" s="1856"/>
      <c r="O191" s="1856"/>
      <c r="P191" s="1856"/>
      <c r="Q191" s="1856"/>
      <c r="R191" s="1856"/>
      <c r="S191" s="1856"/>
      <c r="T191" s="1856"/>
      <c r="U191" s="1856"/>
      <c r="V191" s="1856"/>
      <c r="W191" s="1856"/>
      <c r="X191" s="1856"/>
      <c r="Y191" s="1856"/>
      <c r="Z191" s="1856"/>
    </row>
    <row r="192" spans="3:26" s="1207" customFormat="1" x14ac:dyDescent="0.45">
      <c r="G192" s="1865"/>
      <c r="H192" s="1865"/>
      <c r="I192" s="1865"/>
      <c r="J192" s="1865"/>
      <c r="K192" s="1865"/>
      <c r="L192" s="1865"/>
      <c r="M192" s="1865"/>
      <c r="N192" s="1865"/>
      <c r="O192" s="1865"/>
      <c r="P192" s="1865"/>
      <c r="Q192" s="1865"/>
      <c r="R192" s="1865"/>
      <c r="S192" s="1865"/>
      <c r="T192" s="1865"/>
      <c r="U192" s="1865"/>
      <c r="V192" s="1865"/>
      <c r="W192" s="1865"/>
      <c r="X192" s="1865"/>
      <c r="Y192" s="1865"/>
      <c r="Z192" s="1865"/>
    </row>
    <row r="193" spans="7:26" s="1207" customFormat="1" x14ac:dyDescent="0.45">
      <c r="G193" s="1865"/>
      <c r="H193" s="1865"/>
      <c r="I193" s="1865"/>
      <c r="J193" s="1865"/>
      <c r="K193" s="1865"/>
      <c r="L193" s="1865"/>
      <c r="M193" s="1865"/>
      <c r="N193" s="1865"/>
      <c r="O193" s="1865"/>
      <c r="P193" s="1865"/>
      <c r="Q193" s="1865"/>
      <c r="R193" s="1865"/>
      <c r="S193" s="1865"/>
      <c r="T193" s="1865"/>
      <c r="U193" s="1865"/>
      <c r="V193" s="1865"/>
      <c r="W193" s="1865"/>
      <c r="X193" s="1865"/>
      <c r="Y193" s="1865"/>
      <c r="Z193" s="1865"/>
    </row>
    <row r="194" spans="7:26" x14ac:dyDescent="0.45">
      <c r="G194" s="1866"/>
      <c r="H194" s="1866"/>
      <c r="I194" s="1866"/>
      <c r="J194" s="1866"/>
      <c r="K194" s="1866"/>
      <c r="L194" s="1866"/>
      <c r="M194" s="1866"/>
      <c r="N194" s="1866"/>
      <c r="O194" s="1866"/>
      <c r="P194" s="1866"/>
      <c r="Q194" s="1866"/>
      <c r="R194" s="1866"/>
      <c r="S194" s="1866"/>
      <c r="T194" s="1866"/>
      <c r="U194" s="1866"/>
      <c r="V194" s="1866"/>
      <c r="W194" s="1866"/>
      <c r="X194" s="1866"/>
      <c r="Y194" s="1866"/>
      <c r="Z194" s="1866"/>
    </row>
    <row r="195" spans="7:26" x14ac:dyDescent="0.45">
      <c r="G195" s="1866"/>
      <c r="H195" s="1866"/>
      <c r="I195" s="1866"/>
      <c r="J195" s="1866"/>
      <c r="K195" s="1866"/>
      <c r="L195" s="1866"/>
      <c r="M195" s="1866"/>
      <c r="N195" s="1866"/>
      <c r="O195" s="1866"/>
      <c r="P195" s="1866"/>
      <c r="Q195" s="1866"/>
      <c r="R195" s="1866"/>
      <c r="S195" s="1866"/>
      <c r="T195" s="1866"/>
      <c r="U195" s="1866"/>
      <c r="V195" s="1866"/>
      <c r="W195" s="1866"/>
      <c r="X195" s="1866"/>
      <c r="Y195" s="1866"/>
      <c r="Z195" s="1866"/>
    </row>
    <row r="196" spans="7:26" x14ac:dyDescent="0.45">
      <c r="G196" s="1866"/>
      <c r="H196" s="1866"/>
      <c r="I196" s="1866"/>
      <c r="J196" s="1866"/>
      <c r="K196" s="1866"/>
      <c r="L196" s="1866"/>
      <c r="M196" s="1866"/>
      <c r="N196" s="1866"/>
      <c r="O196" s="1866"/>
      <c r="P196" s="1866"/>
      <c r="Q196" s="1866"/>
      <c r="R196" s="1866"/>
      <c r="S196" s="1866"/>
      <c r="T196" s="1866"/>
      <c r="U196" s="1866"/>
      <c r="V196" s="1866"/>
      <c r="W196" s="1866"/>
      <c r="X196" s="1866"/>
      <c r="Y196" s="1866"/>
      <c r="Z196" s="1866"/>
    </row>
  </sheetData>
  <sheetProtection algorithmName="SHA-512" hashValue="5wRD95SpChmgMGH1Y7/G7lX9EBwG4DGfgjLSe62W6zPWtoSVb10muNQf0AlBDo5wmsyAMTj8aCRbZcn933HAig==" saltValue="M84k5e9wr74El4MuhI9xzw==" spinCount="100000" sheet="1" objects="1" scenarios="1"/>
  <mergeCells count="2">
    <mergeCell ref="L20:AG20"/>
    <mergeCell ref="L10:AG10"/>
  </mergeCells>
  <dataValidations count="1">
    <dataValidation type="list" allowBlank="1" showInputMessage="1" showErrorMessage="1" sqref="P6 E6:M6" xr:uid="{00000000-0002-0000-0900-000000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900-000002000000}">
          <x14:formula1>
            <xm:f>Lookups!$A$4:$A$8</xm:f>
          </x14:formula1>
          <xm:sqref>J12:J15 J22:J41</xm:sqref>
        </x14:dataValidation>
        <x14:dataValidation type="list" allowBlank="1" showInputMessage="1" showErrorMessage="1" xr:uid="{00000000-0002-0000-0900-000003000000}">
          <x14:formula1>
            <xm:f>Lookups!$C$4:$C$7</xm:f>
          </x14:formula1>
          <xm:sqref>I12:I15 I22:I41</xm:sqref>
        </x14:dataValidation>
        <x14:dataValidation type="list" allowBlank="1" showInputMessage="1" showErrorMessage="1" xr:uid="{00000000-0002-0000-0900-000004000000}">
          <x14:formula1>
            <xm:f>Lookups!$P$21</xm:f>
          </x14:formula1>
          <xm:sqref>E12:E15</xm:sqref>
        </x14:dataValidation>
        <x14:dataValidation type="list" allowBlank="1" showInputMessage="1" showErrorMessage="1" xr:uid="{00000000-0002-0000-0900-000005000000}">
          <x14:formula1>
            <xm:f>Lookups!$K$21</xm:f>
          </x14:formula1>
          <xm:sqref>B12:B15</xm:sqref>
        </x14:dataValidation>
        <x14:dataValidation type="list" allowBlank="1" showInputMessage="1" showErrorMessage="1" xr:uid="{00000000-0002-0000-0900-000006000000}">
          <x14:formula1>
            <xm:f>Lookups!$K$32</xm:f>
          </x14:formula1>
          <xm:sqref>H12:H15</xm:sqref>
        </x14:dataValidation>
        <x14:dataValidation type="list" allowBlank="1" showInputMessage="1" showErrorMessage="1" xr:uid="{00000000-0002-0000-0900-000007000000}">
          <x14:formula1>
            <xm:f>Lookups!$M$21:$M$26</xm:f>
          </x14:formula1>
          <xm:sqref>D12:D15</xm:sqref>
        </x14:dataValidation>
        <x14:dataValidation type="list" allowBlank="1" showInputMessage="1" showErrorMessage="1" xr:uid="{00000000-0002-0000-0900-000008000000}">
          <x14:formula1>
            <xm:f>Lookups!$L$21:$L$26</xm:f>
          </x14:formula1>
          <xm:sqref>C12:C15</xm:sqref>
        </x14:dataValidation>
        <x14:dataValidation type="list" allowBlank="1" showInputMessage="1" showErrorMessage="1" xr:uid="{00000000-0002-0000-0900-000009000000}">
          <x14:formula1>
            <xm:f>Lookups!$BK$4:$BK$10</xm:f>
          </x14:formula1>
          <xm:sqref>F22</xm:sqref>
        </x14:dataValidation>
        <x14:dataValidation type="list" allowBlank="1" showInputMessage="1" showErrorMessage="1" xr:uid="{00000000-0002-0000-0900-00000A000000}">
          <x14:formula1>
            <xm:f>Lookups!$BL$4:$BL$9</xm:f>
          </x14:formula1>
          <xm:sqref>G22</xm:sqref>
        </x14:dataValidation>
        <x14:dataValidation type="list" allowBlank="1" showInputMessage="1" showErrorMessage="1" xr:uid="{00000000-0002-0000-0900-00000B000000}">
          <x14:formula1>
            <xm:f>Lookups!$BM$4:$BM$20</xm:f>
          </x14:formula1>
          <xm:sqref>F23:F36</xm:sqref>
        </x14:dataValidation>
        <x14:dataValidation type="list" allowBlank="1" showInputMessage="1" showErrorMessage="1" xr:uid="{00000000-0002-0000-0900-00000C000000}">
          <x14:formula1>
            <xm:f>Lookups!$BN$4:$BN$20</xm:f>
          </x14:formula1>
          <xm:sqref>G23:G36</xm:sqref>
        </x14:dataValidation>
        <x14:dataValidation type="list" allowBlank="1" showInputMessage="1" showErrorMessage="1" xr:uid="{00000000-0002-0000-0900-00000D000000}">
          <x14:formula1>
            <xm:f>Lookups!$K$26</xm:f>
          </x14:formula1>
          <xm:sqref>B22:B41</xm:sqref>
        </x14:dataValidation>
        <x14:dataValidation type="list" allowBlank="1" showInputMessage="1" showErrorMessage="1" xr:uid="{00000000-0002-0000-0900-00000E000000}">
          <x14:formula1>
            <xm:f>Lookups!$P$26</xm:f>
          </x14:formula1>
          <xm:sqref>E22:E41</xm:sqref>
        </x14:dataValidation>
        <x14:dataValidation type="list" allowBlank="1" showInputMessage="1" showErrorMessage="1" xr:uid="{00000000-0002-0000-0900-00000F000000}">
          <x14:formula1>
            <xm:f>Lookups!$L$26:$L$29</xm:f>
          </x14:formula1>
          <xm:sqref>C22:C41</xm:sqref>
        </x14:dataValidation>
        <x14:dataValidation type="list" allowBlank="1" showInputMessage="1" showErrorMessage="1" xr:uid="{00000000-0002-0000-0900-000010000000}">
          <x14:formula1>
            <xm:f>Lookups!$M$24:$M$29</xm:f>
          </x14:formula1>
          <xm:sqref>D22:D41</xm:sqref>
        </x14:dataValidation>
        <x14:dataValidation type="list" allowBlank="1" showInputMessage="1" showErrorMessage="1" xr:uid="{00000000-0002-0000-0900-000011000000}">
          <x14:formula1>
            <xm:f>Lookups!$BO$4:$BO$9</xm:f>
          </x14:formula1>
          <xm:sqref>F37:F41</xm:sqref>
        </x14:dataValidation>
        <x14:dataValidation type="list" allowBlank="1" showInputMessage="1" showErrorMessage="1" xr:uid="{00000000-0002-0000-0900-000012000000}">
          <x14:formula1>
            <xm:f>Lookups!$BP$4:$BP$9</xm:f>
          </x14:formula1>
          <xm:sqref>G37:G41</xm:sqref>
        </x14:dataValidation>
        <x14:dataValidation type="list" allowBlank="1" showInputMessage="1" showErrorMessage="1" xr:uid="{00000000-0002-0000-0900-000013000000}">
          <x14:formula1>
            <xm:f>Lookups!$BS$4:$BS$18</xm:f>
          </x14:formula1>
          <xm:sqref>F12:F15</xm:sqref>
        </x14:dataValidation>
        <x14:dataValidation type="list" allowBlank="1" showInputMessage="1" showErrorMessage="1" xr:uid="{00000000-0002-0000-0900-000014000000}">
          <x14:formula1>
            <xm:f>Lookups!$BT$4:$BT$18</xm:f>
          </x14:formula1>
          <xm:sqref>G12:G15</xm:sqref>
        </x14:dataValidation>
        <x14:dataValidation type="list" allowBlank="1" showInputMessage="1" showErrorMessage="1" xr:uid="{00000000-0002-0000-0900-000015000000}">
          <x14:formula1>
            <xm:f>Lookups!$B$4:$B$8</xm:f>
          </x14:formula1>
          <xm:sqref>B4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CCFFFF"/>
  </sheetPr>
  <dimension ref="A1:AM155"/>
  <sheetViews>
    <sheetView topLeftCell="D40" workbookViewId="0">
      <selection activeCell="D49" sqref="D49"/>
    </sheetView>
  </sheetViews>
  <sheetFormatPr defaultColWidth="9.1328125" defaultRowHeight="14.25" x14ac:dyDescent="0.45"/>
  <cols>
    <col min="1" max="1" width="9.1328125" style="888"/>
    <col min="2" max="2" width="15.1328125" style="888" customWidth="1"/>
    <col min="3" max="3" width="9.1328125" style="888"/>
    <col min="4" max="4" width="19.59765625" style="888" customWidth="1"/>
    <col min="5" max="5" width="14.3984375" style="888" bestFit="1" customWidth="1"/>
    <col min="6" max="6" width="21.3984375" style="888" customWidth="1"/>
    <col min="7" max="7" width="21" style="888" customWidth="1"/>
    <col min="8" max="8" width="26.3984375" style="888" customWidth="1"/>
    <col min="9" max="9" width="10.59765625" style="888" bestFit="1" customWidth="1"/>
    <col min="10" max="10" width="10.73046875" style="888" bestFit="1" customWidth="1"/>
    <col min="11" max="11" width="9.59765625" style="888" bestFit="1" customWidth="1"/>
    <col min="12" max="12" width="12.86328125" style="888" customWidth="1"/>
    <col min="13" max="13" width="9.59765625" style="888" bestFit="1" customWidth="1"/>
    <col min="14" max="14" width="10.73046875" style="888" bestFit="1" customWidth="1"/>
    <col min="15" max="15" width="11.73046875" style="888" customWidth="1"/>
    <col min="16" max="16" width="15" style="888" customWidth="1"/>
    <col min="17" max="17" width="44.1328125" style="888" customWidth="1"/>
    <col min="18" max="18" width="18.86328125" style="888" customWidth="1"/>
    <col min="19" max="19" width="21" style="888" customWidth="1"/>
    <col min="20" max="22" width="9.59765625" style="888" bestFit="1" customWidth="1"/>
    <col min="23" max="23" width="13.265625" style="888" bestFit="1" customWidth="1"/>
    <col min="24" max="24" width="14.59765625" style="888" customWidth="1"/>
    <col min="25" max="16384" width="9.1328125" style="888"/>
  </cols>
  <sheetData>
    <row r="1" spans="1:39" customFormat="1" ht="14.65" thickTop="1" x14ac:dyDescent="0.45">
      <c r="A1" s="999"/>
      <c r="B1" s="1000"/>
      <c r="C1" s="1000"/>
      <c r="D1" s="1001"/>
      <c r="E1" s="1207"/>
      <c r="F1" s="1736"/>
      <c r="G1" s="1736"/>
      <c r="H1" s="1736"/>
      <c r="I1" s="1736"/>
      <c r="J1" s="1736"/>
      <c r="K1" s="1736"/>
      <c r="L1" s="1736"/>
      <c r="M1" s="1736"/>
      <c r="N1" s="1736"/>
      <c r="O1" s="1736"/>
      <c r="P1" s="1736"/>
      <c r="Q1" s="1736"/>
      <c r="R1" s="1736"/>
      <c r="S1" s="1736"/>
      <c r="T1" s="1736"/>
      <c r="U1" s="1207"/>
      <c r="V1" s="1207"/>
      <c r="W1" s="1207"/>
      <c r="X1" s="1207"/>
      <c r="Y1" s="1207"/>
      <c r="Z1" s="1207"/>
      <c r="AA1" s="1207"/>
      <c r="AB1" s="1207"/>
      <c r="AC1" s="1207"/>
      <c r="AD1" s="1207"/>
      <c r="AE1" s="1207"/>
      <c r="AF1" s="1207"/>
      <c r="AG1" s="1207"/>
      <c r="AH1" s="1207"/>
      <c r="AI1" s="1207"/>
      <c r="AJ1" s="1207"/>
      <c r="AK1" s="1207"/>
      <c r="AL1" s="1207" t="s">
        <v>112</v>
      </c>
    </row>
    <row r="2" spans="1:39" customFormat="1" x14ac:dyDescent="0.45">
      <c r="A2" s="1002" t="s">
        <v>380</v>
      </c>
      <c r="B2" s="1024" t="s">
        <v>1046</v>
      </c>
      <c r="C2" s="887"/>
      <c r="D2" s="1004"/>
      <c r="E2" s="1207"/>
      <c r="F2" s="1736"/>
      <c r="G2" s="1736"/>
      <c r="H2" s="1736"/>
      <c r="I2" s="1736"/>
      <c r="J2" s="1736"/>
      <c r="K2" s="1736"/>
      <c r="L2" s="1736"/>
      <c r="M2" s="1736"/>
      <c r="N2" s="1736"/>
      <c r="O2" s="1736"/>
      <c r="P2" s="1736"/>
      <c r="Q2" s="1736"/>
      <c r="R2" s="1736"/>
      <c r="S2" s="1736"/>
      <c r="T2" s="1736"/>
      <c r="U2" s="1737"/>
      <c r="V2" s="1737"/>
      <c r="W2" s="1737"/>
      <c r="X2" s="1737"/>
      <c r="Y2" s="1737"/>
      <c r="Z2" s="1737"/>
      <c r="AA2" s="1737"/>
      <c r="AB2" s="1737"/>
      <c r="AC2" s="1737"/>
      <c r="AD2" s="1737"/>
      <c r="AE2" s="1737"/>
      <c r="AF2" s="1737"/>
      <c r="AG2" s="1737"/>
      <c r="AH2" s="1737"/>
      <c r="AI2" s="1737"/>
      <c r="AJ2" s="1737"/>
      <c r="AK2" s="1737"/>
      <c r="AL2" s="1736"/>
    </row>
    <row r="3" spans="1:39" customFormat="1" x14ac:dyDescent="0.45">
      <c r="A3" s="1025" t="s">
        <v>568</v>
      </c>
      <c r="B3" s="1003">
        <v>2018</v>
      </c>
      <c r="C3" s="887"/>
      <c r="D3" s="1004"/>
      <c r="E3" s="1207"/>
      <c r="F3" s="1742"/>
      <c r="G3" s="1736"/>
      <c r="H3" s="1736"/>
      <c r="I3" s="1736"/>
      <c r="J3" s="1736"/>
      <c r="K3" s="1736"/>
      <c r="L3" s="1736"/>
      <c r="M3" s="1736"/>
      <c r="N3" s="1736"/>
      <c r="O3" s="1736"/>
      <c r="P3" s="1736"/>
      <c r="Q3" s="1736"/>
      <c r="R3" s="1736"/>
      <c r="S3" s="1736"/>
      <c r="T3" s="1736"/>
      <c r="U3" s="1737"/>
      <c r="V3" s="1737"/>
      <c r="W3" s="1737"/>
      <c r="X3" s="1737"/>
      <c r="Y3" s="1737"/>
      <c r="Z3" s="1737"/>
      <c r="AA3" s="1737"/>
      <c r="AB3" s="1737"/>
      <c r="AC3" s="1737"/>
      <c r="AD3" s="1737"/>
      <c r="AE3" s="1737"/>
      <c r="AF3" s="1737"/>
      <c r="AG3" s="1737"/>
      <c r="AH3" s="1737"/>
      <c r="AI3" s="1737"/>
      <c r="AJ3" s="1737"/>
      <c r="AK3" s="1737"/>
      <c r="AL3" s="1736"/>
    </row>
    <row r="4" spans="1:39" customFormat="1" x14ac:dyDescent="0.45">
      <c r="A4" s="1005" t="s">
        <v>397</v>
      </c>
      <c r="B4" s="1006" t="s">
        <v>309</v>
      </c>
      <c r="C4" s="259"/>
      <c r="D4" s="1007"/>
      <c r="E4" s="1737"/>
      <c r="F4" s="1736"/>
      <c r="G4" s="1736"/>
      <c r="H4" s="1736"/>
      <c r="I4" s="1736"/>
      <c r="J4" s="1736"/>
      <c r="K4" s="1736"/>
      <c r="L4" s="1736"/>
      <c r="M4" s="1736"/>
      <c r="N4" s="1736"/>
      <c r="O4" s="1736"/>
      <c r="P4" s="1736"/>
      <c r="Q4" s="1736"/>
      <c r="R4" s="1736"/>
      <c r="S4" s="1736"/>
      <c r="T4" s="1736"/>
      <c r="U4" s="1737"/>
      <c r="V4" s="1737"/>
      <c r="W4" s="1737"/>
      <c r="X4" s="1737"/>
      <c r="Y4" s="1737"/>
      <c r="Z4" s="1737"/>
      <c r="AA4" s="1737"/>
      <c r="AB4" s="1737"/>
      <c r="AC4" s="1737"/>
      <c r="AD4" s="1737"/>
      <c r="AE4" s="1737"/>
      <c r="AF4" s="1737"/>
      <c r="AG4" s="1737"/>
      <c r="AH4" s="1737"/>
      <c r="AI4" s="1737"/>
      <c r="AJ4" s="1737"/>
      <c r="AK4" s="1737"/>
      <c r="AL4" s="1736"/>
    </row>
    <row r="5" spans="1:39" customFormat="1" x14ac:dyDescent="0.45">
      <c r="A5" s="2044" t="s">
        <v>2319</v>
      </c>
      <c r="B5" s="259"/>
      <c r="C5" s="259"/>
      <c r="D5" s="1007"/>
      <c r="E5" s="1737"/>
      <c r="F5" s="1752"/>
      <c r="G5" s="1752"/>
      <c r="H5" s="1752"/>
      <c r="I5" s="1752"/>
      <c r="J5" s="1752"/>
      <c r="K5" s="1752"/>
      <c r="L5" s="1736"/>
      <c r="M5" s="1736"/>
      <c r="N5" s="1736"/>
      <c r="O5" s="1736"/>
      <c r="P5" s="1736"/>
      <c r="Q5" s="1736"/>
      <c r="R5" s="1736"/>
      <c r="S5" s="1736"/>
      <c r="T5" s="1736"/>
      <c r="U5" s="1737"/>
      <c r="V5" s="1737"/>
      <c r="W5" s="1737"/>
      <c r="X5" s="1737"/>
      <c r="Y5" s="1737"/>
      <c r="Z5" s="1737"/>
      <c r="AA5" s="1737"/>
      <c r="AB5" s="1737"/>
      <c r="AC5" s="1737"/>
      <c r="AD5" s="1737"/>
      <c r="AE5" s="1737"/>
      <c r="AF5" s="1737"/>
      <c r="AG5" s="1737"/>
      <c r="AH5" s="1737"/>
      <c r="AI5" s="1737"/>
      <c r="AJ5" s="1737"/>
      <c r="AK5" s="1737"/>
      <c r="AL5" s="1736"/>
    </row>
    <row r="6" spans="1:39" customFormat="1" ht="14.65" thickBot="1" x14ac:dyDescent="0.5">
      <c r="A6" s="2045" t="s">
        <v>2320</v>
      </c>
      <c r="B6" s="1008"/>
      <c r="C6" s="1009"/>
      <c r="D6" s="1010"/>
      <c r="E6" s="1738"/>
      <c r="F6" s="1746"/>
      <c r="G6" s="1746"/>
      <c r="H6" s="1746"/>
      <c r="I6" s="1746"/>
      <c r="J6" s="1789"/>
      <c r="K6" s="1794"/>
      <c r="L6" s="1747"/>
      <c r="M6" s="1736"/>
      <c r="N6" s="1795"/>
      <c r="O6" s="1736"/>
      <c r="P6" s="1736"/>
      <c r="Q6" s="1736"/>
      <c r="R6" s="1736"/>
      <c r="S6" s="1736"/>
      <c r="T6" s="1736"/>
      <c r="U6" s="1737"/>
      <c r="V6" s="1737"/>
      <c r="W6" s="1737"/>
      <c r="X6" s="1737"/>
      <c r="Y6" s="1737"/>
      <c r="Z6" s="1737"/>
      <c r="AA6" s="1737"/>
      <c r="AB6" s="1737"/>
      <c r="AC6" s="1737"/>
      <c r="AD6" s="1737"/>
      <c r="AE6" s="1737"/>
      <c r="AF6" s="1737"/>
      <c r="AG6" s="1737"/>
      <c r="AH6" s="1737"/>
      <c r="AI6" s="1737"/>
      <c r="AJ6" s="1737"/>
      <c r="AK6" s="1737"/>
      <c r="AL6" s="1736"/>
    </row>
    <row r="7" spans="1:39" ht="14.65" thickTop="1" x14ac:dyDescent="0.45">
      <c r="U7" s="1207"/>
      <c r="V7" s="1207"/>
      <c r="W7" s="1207"/>
      <c r="X7" s="1207"/>
      <c r="Y7" s="1207"/>
      <c r="Z7" s="1207"/>
      <c r="AA7" s="1207"/>
      <c r="AB7" s="1207"/>
      <c r="AC7" s="1207"/>
      <c r="AD7" s="1207"/>
      <c r="AE7" s="1207"/>
      <c r="AF7" s="1207"/>
      <c r="AG7" s="1207"/>
      <c r="AH7" s="1207"/>
      <c r="AI7" s="1207"/>
      <c r="AJ7" s="1207"/>
      <c r="AK7" s="1207"/>
    </row>
    <row r="8" spans="1:39" x14ac:dyDescent="0.45">
      <c r="U8" s="1207"/>
      <c r="V8" s="1207"/>
      <c r="W8" s="1207"/>
      <c r="X8" s="1207"/>
      <c r="Y8" s="1207"/>
      <c r="Z8" s="1207"/>
      <c r="AA8" s="1207"/>
      <c r="AB8" s="1207"/>
      <c r="AC8" s="1207"/>
      <c r="AD8" s="1207"/>
      <c r="AE8" s="1207"/>
      <c r="AF8" s="1207"/>
      <c r="AG8" s="1207"/>
      <c r="AH8" s="1207"/>
      <c r="AI8" s="1207"/>
      <c r="AJ8" s="1207"/>
      <c r="AK8" s="1207"/>
    </row>
    <row r="9" spans="1:39" ht="14.65" thickBot="1" x14ac:dyDescent="0.5">
      <c r="W9" s="1207"/>
      <c r="X9" s="1207"/>
      <c r="Y9" s="1207"/>
      <c r="Z9" s="1207"/>
      <c r="AA9" s="1207"/>
      <c r="AB9" s="1207"/>
      <c r="AC9" s="1207"/>
      <c r="AD9" s="1207"/>
      <c r="AE9" s="1207"/>
      <c r="AF9" s="1207"/>
      <c r="AG9" s="1207"/>
      <c r="AH9" s="1207"/>
      <c r="AI9" s="1207"/>
      <c r="AJ9" s="1207"/>
      <c r="AK9" s="1207"/>
      <c r="AL9" s="1207"/>
      <c r="AM9" s="1207"/>
    </row>
    <row r="10" spans="1:39" customFormat="1" ht="15" thickBot="1" x14ac:dyDescent="0.55000000000000004">
      <c r="A10" s="888"/>
      <c r="B10" s="702" t="s">
        <v>1475</v>
      </c>
      <c r="C10" s="703"/>
      <c r="D10" s="262"/>
      <c r="E10" s="245"/>
      <c r="F10" s="245"/>
      <c r="G10" s="245"/>
      <c r="H10" s="245"/>
      <c r="I10" s="246"/>
      <c r="J10" s="246"/>
      <c r="K10" s="245"/>
      <c r="L10" s="2397" t="s">
        <v>881</v>
      </c>
      <c r="M10" s="2399"/>
      <c r="N10" s="2399"/>
      <c r="O10" s="252"/>
      <c r="P10" s="253"/>
      <c r="Q10" s="888"/>
      <c r="R10" s="888"/>
      <c r="S10" s="888"/>
      <c r="T10" s="888"/>
      <c r="U10" s="888"/>
      <c r="V10" s="888"/>
      <c r="W10" s="888"/>
      <c r="X10" s="888"/>
      <c r="Y10" s="888"/>
      <c r="Z10" s="888"/>
      <c r="AA10" s="888"/>
      <c r="AB10" s="888"/>
      <c r="AC10" s="888"/>
      <c r="AD10" s="888"/>
      <c r="AE10" s="888"/>
      <c r="AF10" s="888"/>
      <c r="AG10" s="888"/>
      <c r="AH10" s="888"/>
      <c r="AI10" s="888"/>
      <c r="AJ10" s="888"/>
      <c r="AK10" s="888"/>
      <c r="AL10" s="888"/>
    </row>
    <row r="11" spans="1:39" customFormat="1" ht="40.15" thickBot="1" x14ac:dyDescent="0.5">
      <c r="A11" s="888"/>
      <c r="B11" s="676" t="s">
        <v>1271</v>
      </c>
      <c r="C11" s="241" t="s">
        <v>1270</v>
      </c>
      <c r="D11" s="247" t="s">
        <v>521</v>
      </c>
      <c r="E11" s="242" t="s">
        <v>522</v>
      </c>
      <c r="F11" s="242" t="s">
        <v>1280</v>
      </c>
      <c r="G11" s="242" t="s">
        <v>1278</v>
      </c>
      <c r="H11" s="242" t="s">
        <v>882</v>
      </c>
      <c r="I11" s="247" t="s">
        <v>574</v>
      </c>
      <c r="J11" s="247" t="s">
        <v>584</v>
      </c>
      <c r="K11" s="247" t="s">
        <v>1663</v>
      </c>
      <c r="L11" s="260" t="s">
        <v>798</v>
      </c>
      <c r="M11" s="260" t="s">
        <v>799</v>
      </c>
      <c r="N11" s="260" t="s">
        <v>800</v>
      </c>
      <c r="O11" s="260" t="s">
        <v>801</v>
      </c>
      <c r="P11" s="250" t="s">
        <v>802</v>
      </c>
      <c r="Q11" s="888"/>
      <c r="R11" s="888"/>
      <c r="S11" s="888"/>
      <c r="T11" s="888"/>
      <c r="U11" s="888"/>
      <c r="V11" s="888"/>
      <c r="W11" s="888"/>
      <c r="X11" s="888"/>
      <c r="Y11" s="888"/>
      <c r="Z11" s="888"/>
      <c r="AA11" s="888"/>
      <c r="AB11" s="888"/>
      <c r="AC11" s="888"/>
      <c r="AD11" s="888"/>
      <c r="AE11" s="888"/>
      <c r="AF11" s="888"/>
      <c r="AG11" s="888"/>
      <c r="AH11" s="888"/>
      <c r="AI11" s="888"/>
      <c r="AJ11" s="888"/>
      <c r="AK11" s="888"/>
      <c r="AL11" s="888"/>
    </row>
    <row r="12" spans="1:39" customFormat="1" ht="45" customHeight="1" x14ac:dyDescent="0.45">
      <c r="A12" s="888"/>
      <c r="B12" s="1141" t="s">
        <v>571</v>
      </c>
      <c r="C12" s="1040" t="s">
        <v>1204</v>
      </c>
      <c r="D12" s="1038" t="s">
        <v>1075</v>
      </c>
      <c r="E12" s="1038" t="s">
        <v>1047</v>
      </c>
      <c r="F12" s="1038" t="s">
        <v>1717</v>
      </c>
      <c r="G12" s="1038" t="s">
        <v>1721</v>
      </c>
      <c r="H12" s="1038" t="s">
        <v>1476</v>
      </c>
      <c r="I12" s="1041" t="s">
        <v>321</v>
      </c>
      <c r="J12" s="1042"/>
      <c r="K12" s="1124"/>
      <c r="L12" s="1127"/>
      <c r="M12" s="1145">
        <f>77.9944439007097*GWP_CH4</f>
        <v>1949.8610975177423</v>
      </c>
      <c r="N12" s="1097"/>
      <c r="O12" s="1134"/>
      <c r="P12" s="1163">
        <f>SUM(L12:N12)</f>
        <v>1949.8610975177423</v>
      </c>
      <c r="Q12" s="888"/>
      <c r="R12" s="888"/>
      <c r="S12" s="888"/>
      <c r="T12" s="888"/>
      <c r="U12" s="888"/>
      <c r="V12" s="888"/>
      <c r="W12" s="888"/>
      <c r="X12" s="888"/>
      <c r="Y12" s="888"/>
      <c r="Z12" s="888"/>
      <c r="AA12" s="888"/>
      <c r="AB12" s="888"/>
      <c r="AC12" s="888"/>
      <c r="AD12" s="888"/>
      <c r="AE12" s="888"/>
      <c r="AF12" s="888"/>
      <c r="AG12" s="888"/>
      <c r="AH12" s="888"/>
      <c r="AI12" s="888"/>
      <c r="AJ12" s="888"/>
      <c r="AK12" s="888"/>
      <c r="AL12" s="888"/>
    </row>
    <row r="13" spans="1:39" customFormat="1" ht="42.75" x14ac:dyDescent="0.45">
      <c r="A13" s="888"/>
      <c r="B13" s="1142" t="s">
        <v>571</v>
      </c>
      <c r="C13" s="1047" t="s">
        <v>1204</v>
      </c>
      <c r="D13" s="1045" t="s">
        <v>1075</v>
      </c>
      <c r="E13" s="1045" t="s">
        <v>1047</v>
      </c>
      <c r="F13" s="1045" t="s">
        <v>1719</v>
      </c>
      <c r="G13" s="1045" t="s">
        <v>1722</v>
      </c>
      <c r="H13" s="1045" t="s">
        <v>1476</v>
      </c>
      <c r="I13" s="1048" t="s">
        <v>321</v>
      </c>
      <c r="J13" s="1049"/>
      <c r="K13" s="1125"/>
      <c r="L13" s="1135"/>
      <c r="M13" s="1146">
        <f>76.8892213608421*GWP_CH4</f>
        <v>1922.2305340210526</v>
      </c>
      <c r="N13" s="1098"/>
      <c r="O13" s="1136"/>
      <c r="P13" s="1121">
        <f>SUM(L13:N13)</f>
        <v>1922.2305340210526</v>
      </c>
      <c r="Q13" s="888"/>
      <c r="R13" s="888"/>
      <c r="S13" s="888"/>
      <c r="T13" s="888"/>
      <c r="U13" s="888"/>
      <c r="V13" s="888"/>
      <c r="W13" s="888"/>
      <c r="X13" s="888"/>
      <c r="Y13" s="888"/>
      <c r="Z13" s="888"/>
      <c r="AA13" s="888"/>
      <c r="AB13" s="888"/>
      <c r="AC13" s="888"/>
      <c r="AD13" s="888"/>
      <c r="AE13" s="888"/>
      <c r="AF13" s="888"/>
      <c r="AG13" s="888"/>
      <c r="AH13" s="888"/>
      <c r="AI13" s="888"/>
      <c r="AJ13" s="888"/>
      <c r="AK13" s="888"/>
      <c r="AL13" s="888"/>
    </row>
    <row r="14" spans="1:39" customFormat="1" ht="42.75" x14ac:dyDescent="0.45">
      <c r="A14" s="888"/>
      <c r="B14" s="1142" t="s">
        <v>571</v>
      </c>
      <c r="C14" s="1047" t="s">
        <v>1204</v>
      </c>
      <c r="D14" s="1045" t="s">
        <v>1075</v>
      </c>
      <c r="E14" s="1045" t="s">
        <v>1047</v>
      </c>
      <c r="F14" s="1045" t="s">
        <v>1725</v>
      </c>
      <c r="G14" s="1045" t="s">
        <v>1714</v>
      </c>
      <c r="H14" s="1045" t="s">
        <v>1476</v>
      </c>
      <c r="I14" s="1048" t="s">
        <v>321</v>
      </c>
      <c r="J14" s="1049"/>
      <c r="K14" s="1125"/>
      <c r="L14" s="1135"/>
      <c r="M14" s="1146">
        <f>42.3038120522802*GWP_CH4</f>
        <v>1057.595301307005</v>
      </c>
      <c r="N14" s="1098"/>
      <c r="O14" s="1136"/>
      <c r="P14" s="1121">
        <f t="shared" ref="P14:P22" si="0">SUM(L14:N14)</f>
        <v>1057.595301307005</v>
      </c>
      <c r="Q14" s="888"/>
      <c r="R14" s="888"/>
      <c r="S14" s="888"/>
      <c r="T14" s="888"/>
      <c r="U14" s="888"/>
      <c r="V14" s="888"/>
      <c r="W14" s="888"/>
      <c r="X14" s="888"/>
      <c r="Y14" s="888"/>
      <c r="Z14" s="888"/>
      <c r="AA14" s="888"/>
      <c r="AB14" s="888"/>
      <c r="AC14" s="888"/>
      <c r="AD14" s="888"/>
      <c r="AE14" s="888"/>
      <c r="AF14" s="888"/>
      <c r="AG14" s="888"/>
      <c r="AH14" s="888"/>
      <c r="AI14" s="888"/>
      <c r="AJ14" s="888"/>
      <c r="AK14" s="888"/>
      <c r="AL14" s="888"/>
    </row>
    <row r="15" spans="1:39" customFormat="1" ht="42.75" x14ac:dyDescent="0.45">
      <c r="A15" s="888"/>
      <c r="B15" s="1142" t="s">
        <v>571</v>
      </c>
      <c r="C15" s="1047" t="s">
        <v>1204</v>
      </c>
      <c r="D15" s="1045" t="s">
        <v>1075</v>
      </c>
      <c r="E15" s="1045" t="s">
        <v>1047</v>
      </c>
      <c r="F15" s="1045" t="s">
        <v>1734</v>
      </c>
      <c r="G15" s="1045" t="s">
        <v>1735</v>
      </c>
      <c r="H15" s="1045" t="s">
        <v>1476</v>
      </c>
      <c r="I15" s="1048" t="s">
        <v>321</v>
      </c>
      <c r="J15" s="1049"/>
      <c r="K15" s="1125"/>
      <c r="L15" s="1135"/>
      <c r="M15" s="1146">
        <f>5.57370198213425*GWP_CH4</f>
        <v>139.34254955335626</v>
      </c>
      <c r="N15" s="1098"/>
      <c r="O15" s="1136"/>
      <c r="P15" s="1121">
        <f t="shared" si="0"/>
        <v>139.34254955335626</v>
      </c>
      <c r="Q15" s="888"/>
      <c r="R15" s="888"/>
      <c r="S15" s="888"/>
      <c r="T15" s="888"/>
      <c r="U15" s="1867"/>
      <c r="V15" s="888"/>
      <c r="W15" s="888"/>
      <c r="X15" s="888"/>
      <c r="Y15" s="888"/>
      <c r="Z15" s="888"/>
      <c r="AA15" s="888"/>
      <c r="AB15" s="888"/>
      <c r="AC15" s="888"/>
      <c r="AD15" s="888"/>
      <c r="AE15" s="888"/>
      <c r="AF15" s="888"/>
      <c r="AG15" s="888"/>
      <c r="AH15" s="888"/>
      <c r="AI15" s="888"/>
      <c r="AJ15" s="888"/>
      <c r="AK15" s="888"/>
      <c r="AL15" s="888"/>
    </row>
    <row r="16" spans="1:39" customFormat="1" ht="42.75" x14ac:dyDescent="0.45">
      <c r="A16" s="888"/>
      <c r="B16" s="1142" t="s">
        <v>571</v>
      </c>
      <c r="C16" s="1047" t="s">
        <v>1204</v>
      </c>
      <c r="D16" s="1045" t="s">
        <v>1075</v>
      </c>
      <c r="E16" s="1045" t="s">
        <v>1047</v>
      </c>
      <c r="F16" s="1045" t="s">
        <v>1736</v>
      </c>
      <c r="G16" s="1045" t="s">
        <v>1749</v>
      </c>
      <c r="H16" s="1045" t="s">
        <v>1476</v>
      </c>
      <c r="I16" s="1048" t="s">
        <v>321</v>
      </c>
      <c r="J16" s="1049"/>
      <c r="K16" s="1125"/>
      <c r="L16" s="1135"/>
      <c r="M16" s="1146">
        <f>92.0916218773348*GWP_CH4</f>
        <v>2302.29054693337</v>
      </c>
      <c r="N16" s="1098"/>
      <c r="O16" s="1136"/>
      <c r="P16" s="1121">
        <f t="shared" si="0"/>
        <v>2302.29054693337</v>
      </c>
      <c r="Q16" s="888"/>
      <c r="R16" s="888"/>
      <c r="S16" s="888"/>
      <c r="T16" s="888"/>
      <c r="U16" s="888"/>
      <c r="V16" s="888"/>
      <c r="W16" s="888"/>
      <c r="X16" s="888"/>
      <c r="Y16" s="888"/>
      <c r="Z16" s="888"/>
      <c r="AA16" s="888"/>
      <c r="AB16" s="888"/>
      <c r="AC16" s="888"/>
      <c r="AD16" s="888"/>
      <c r="AE16" s="888"/>
      <c r="AF16" s="888"/>
      <c r="AG16" s="888"/>
      <c r="AH16" s="888"/>
      <c r="AI16" s="888"/>
      <c r="AJ16" s="888"/>
      <c r="AK16" s="888"/>
      <c r="AL16" s="888"/>
    </row>
    <row r="17" spans="1:38" customFormat="1" ht="42.75" x14ac:dyDescent="0.45">
      <c r="A17" s="888"/>
      <c r="B17" s="1142" t="s">
        <v>571</v>
      </c>
      <c r="C17" s="1047" t="s">
        <v>1204</v>
      </c>
      <c r="D17" s="1045" t="s">
        <v>1075</v>
      </c>
      <c r="E17" s="1045" t="s">
        <v>1047</v>
      </c>
      <c r="F17" s="1045" t="s">
        <v>1739</v>
      </c>
      <c r="G17" s="1045" t="s">
        <v>1721</v>
      </c>
      <c r="H17" s="1045" t="s">
        <v>1705</v>
      </c>
      <c r="I17" s="1048" t="s">
        <v>321</v>
      </c>
      <c r="J17" s="1049"/>
      <c r="K17" s="1125"/>
      <c r="L17" s="1135"/>
      <c r="M17" s="1146">
        <f>18.0084882956678*GWP_CH4</f>
        <v>450.21220739169496</v>
      </c>
      <c r="N17" s="1146">
        <f>0.454153868518972*GWP_N2O</f>
        <v>135.33785281865366</v>
      </c>
      <c r="O17" s="1136"/>
      <c r="P17" s="1121">
        <f t="shared" si="0"/>
        <v>585.55006021034865</v>
      </c>
      <c r="Q17" s="888"/>
      <c r="R17" s="888"/>
      <c r="S17" s="888"/>
      <c r="T17" s="888"/>
      <c r="U17" s="888"/>
      <c r="V17" s="888"/>
      <c r="W17" s="888"/>
      <c r="X17" s="888"/>
      <c r="Y17" s="888"/>
      <c r="Z17" s="888"/>
      <c r="AA17" s="888"/>
      <c r="AB17" s="888"/>
      <c r="AC17" s="888"/>
      <c r="AD17" s="888"/>
      <c r="AE17" s="888"/>
      <c r="AF17" s="888"/>
      <c r="AG17" s="888"/>
      <c r="AH17" s="888"/>
      <c r="AI17" s="888"/>
      <c r="AJ17" s="888"/>
      <c r="AK17" s="888"/>
      <c r="AL17" s="888"/>
    </row>
    <row r="18" spans="1:38" customFormat="1" ht="42.75" x14ac:dyDescent="0.45">
      <c r="A18" s="888"/>
      <c r="B18" s="1142" t="s">
        <v>571</v>
      </c>
      <c r="C18" s="1047" t="s">
        <v>1204</v>
      </c>
      <c r="D18" s="1045" t="s">
        <v>1075</v>
      </c>
      <c r="E18" s="1045" t="s">
        <v>1047</v>
      </c>
      <c r="F18" s="1045" t="s">
        <v>1740</v>
      </c>
      <c r="G18" s="1045" t="s">
        <v>1722</v>
      </c>
      <c r="H18" s="1045" t="s">
        <v>1705</v>
      </c>
      <c r="I18" s="1048" t="s">
        <v>321</v>
      </c>
      <c r="J18" s="1049"/>
      <c r="K18" s="1125"/>
      <c r="L18" s="1135"/>
      <c r="M18" s="1146">
        <f>9.0375237603894*GWP_CH4</f>
        <v>225.93809400973498</v>
      </c>
      <c r="N18" s="1146">
        <f>0.847171270566129*GWP_N2O</f>
        <v>252.45703862870641</v>
      </c>
      <c r="O18" s="1136"/>
      <c r="P18" s="1121">
        <f t="shared" si="0"/>
        <v>478.3951326384414</v>
      </c>
      <c r="Q18" s="888"/>
      <c r="R18" s="888"/>
      <c r="S18" s="888"/>
      <c r="T18" s="888"/>
      <c r="U18" s="888"/>
      <c r="V18" s="888"/>
      <c r="W18" s="888"/>
      <c r="X18" s="888"/>
      <c r="Y18" s="888"/>
      <c r="Z18" s="888"/>
      <c r="AA18" s="888"/>
      <c r="AB18" s="888"/>
      <c r="AC18" s="888"/>
      <c r="AD18" s="888"/>
      <c r="AE18" s="888"/>
      <c r="AF18" s="888"/>
      <c r="AG18" s="888"/>
      <c r="AH18" s="888"/>
      <c r="AI18" s="888"/>
      <c r="AJ18" s="888"/>
      <c r="AK18" s="888"/>
      <c r="AL18" s="888"/>
    </row>
    <row r="19" spans="1:38" customFormat="1" ht="42.75" x14ac:dyDescent="0.45">
      <c r="A19" s="888"/>
      <c r="B19" s="1142" t="s">
        <v>571</v>
      </c>
      <c r="C19" s="1047" t="s">
        <v>1204</v>
      </c>
      <c r="D19" s="1045" t="s">
        <v>1075</v>
      </c>
      <c r="E19" s="1045" t="s">
        <v>1047</v>
      </c>
      <c r="F19" s="1045" t="s">
        <v>1742</v>
      </c>
      <c r="G19" s="1045" t="s">
        <v>1714</v>
      </c>
      <c r="H19" s="1045" t="s">
        <v>1705</v>
      </c>
      <c r="I19" s="1048" t="s">
        <v>321</v>
      </c>
      <c r="J19" s="1049"/>
      <c r="K19" s="1125"/>
      <c r="L19" s="1135"/>
      <c r="M19" s="1146">
        <f>1.18228110700223*GWP_CH4</f>
        <v>29.557027675055753</v>
      </c>
      <c r="N19" s="1146">
        <f>0*GWP_N2O</f>
        <v>0</v>
      </c>
      <c r="O19" s="1136"/>
      <c r="P19" s="1121">
        <f t="shared" si="0"/>
        <v>29.557027675055753</v>
      </c>
      <c r="Q19" s="888"/>
      <c r="R19" s="888"/>
      <c r="S19" s="888"/>
      <c r="T19" s="888"/>
      <c r="U19" s="888"/>
      <c r="V19" s="888"/>
      <c r="W19" s="888"/>
      <c r="X19" s="888"/>
      <c r="Y19" s="888"/>
      <c r="Z19" s="888"/>
      <c r="AA19" s="888"/>
      <c r="AB19" s="888"/>
      <c r="AC19" s="888"/>
      <c r="AD19" s="888"/>
      <c r="AE19" s="888"/>
      <c r="AF19" s="888"/>
      <c r="AG19" s="888"/>
      <c r="AH19" s="888"/>
      <c r="AI19" s="888"/>
      <c r="AJ19" s="888"/>
      <c r="AK19" s="888"/>
      <c r="AL19" s="888"/>
    </row>
    <row r="20" spans="1:38" customFormat="1" ht="42.75" x14ac:dyDescent="0.45">
      <c r="A20" s="888"/>
      <c r="B20" s="1142" t="s">
        <v>571</v>
      </c>
      <c r="C20" s="1047" t="s">
        <v>1204</v>
      </c>
      <c r="D20" s="1045" t="s">
        <v>1075</v>
      </c>
      <c r="E20" s="1045" t="s">
        <v>1047</v>
      </c>
      <c r="F20" s="1045" t="s">
        <v>1747</v>
      </c>
      <c r="G20" s="1045" t="s">
        <v>1735</v>
      </c>
      <c r="H20" s="1045" t="s">
        <v>1705</v>
      </c>
      <c r="I20" s="1048" t="s">
        <v>321</v>
      </c>
      <c r="J20" s="1049"/>
      <c r="K20" s="1125"/>
      <c r="L20" s="1135"/>
      <c r="M20" s="1146">
        <f>18.7773865945459*GWP_CH4</f>
        <v>469.43466486364747</v>
      </c>
      <c r="N20" s="1146">
        <f>0.716109605548478*GWP_N2O</f>
        <v>213.40066245344644</v>
      </c>
      <c r="O20" s="1136"/>
      <c r="P20" s="1121">
        <f t="shared" si="0"/>
        <v>682.83532731709397</v>
      </c>
      <c r="Q20" s="888"/>
      <c r="R20" s="888"/>
      <c r="S20" s="888"/>
      <c r="T20" s="888"/>
      <c r="U20" s="888"/>
      <c r="V20" s="888"/>
      <c r="W20" s="888"/>
      <c r="X20" s="888"/>
      <c r="Y20" s="888"/>
      <c r="Z20" s="888"/>
      <c r="AA20" s="888"/>
      <c r="AB20" s="888"/>
      <c r="AC20" s="888"/>
      <c r="AD20" s="888"/>
      <c r="AE20" s="888"/>
      <c r="AF20" s="888"/>
      <c r="AG20" s="888"/>
      <c r="AH20" s="888"/>
      <c r="AI20" s="888"/>
      <c r="AJ20" s="888"/>
      <c r="AK20" s="888"/>
      <c r="AL20" s="888"/>
    </row>
    <row r="21" spans="1:38" customFormat="1" ht="42.75" x14ac:dyDescent="0.45">
      <c r="A21" s="888"/>
      <c r="B21" s="1142" t="s">
        <v>571</v>
      </c>
      <c r="C21" s="1047" t="s">
        <v>1204</v>
      </c>
      <c r="D21" s="1045" t="s">
        <v>1075</v>
      </c>
      <c r="E21" s="1045" t="s">
        <v>1047</v>
      </c>
      <c r="F21" s="1045" t="s">
        <v>109</v>
      </c>
      <c r="G21" s="1045" t="s">
        <v>1716</v>
      </c>
      <c r="H21" s="1045" t="s">
        <v>1705</v>
      </c>
      <c r="I21" s="1048" t="s">
        <v>321</v>
      </c>
      <c r="J21" s="1049"/>
      <c r="K21" s="1125"/>
      <c r="L21" s="1135"/>
      <c r="M21" s="1146">
        <f>2.03949087782931*GWP_CH4</f>
        <v>50.987271945732751</v>
      </c>
      <c r="N21" s="1146">
        <f>0.172785636018421*GWP_N2O</f>
        <v>51.490119533489462</v>
      </c>
      <c r="O21" s="1136"/>
      <c r="P21" s="1121">
        <f t="shared" si="0"/>
        <v>102.47739147922221</v>
      </c>
      <c r="Q21" s="888"/>
      <c r="R21" s="888"/>
      <c r="S21" s="888"/>
      <c r="T21" s="888"/>
      <c r="U21" s="888"/>
      <c r="V21" s="888"/>
      <c r="W21" s="888"/>
      <c r="X21" s="888"/>
      <c r="Y21" s="888"/>
      <c r="Z21" s="888"/>
      <c r="AA21" s="888"/>
      <c r="AB21" s="888"/>
      <c r="AC21" s="888"/>
      <c r="AD21" s="888"/>
      <c r="AE21" s="888"/>
      <c r="AF21" s="888"/>
      <c r="AG21" s="888"/>
      <c r="AH21" s="888"/>
      <c r="AI21" s="888"/>
      <c r="AJ21" s="888"/>
      <c r="AK21" s="888"/>
      <c r="AL21" s="888"/>
    </row>
    <row r="22" spans="1:38" customFormat="1" ht="43.15" thickBot="1" x14ac:dyDescent="0.5">
      <c r="A22" s="888"/>
      <c r="B22" s="1143" t="s">
        <v>571</v>
      </c>
      <c r="C22" s="1082" t="s">
        <v>1204</v>
      </c>
      <c r="D22" s="1081" t="s">
        <v>1075</v>
      </c>
      <c r="E22" s="1081" t="s">
        <v>1047</v>
      </c>
      <c r="F22" s="1081" t="s">
        <v>1748</v>
      </c>
      <c r="G22" s="1081" t="s">
        <v>1749</v>
      </c>
      <c r="H22" s="1081" t="s">
        <v>1705</v>
      </c>
      <c r="I22" s="1144" t="s">
        <v>321</v>
      </c>
      <c r="J22" s="1084"/>
      <c r="K22" s="1133"/>
      <c r="L22" s="1137"/>
      <c r="M22" s="1091">
        <f>7.50685402421373*GWP_CH4</f>
        <v>187.67135060534326</v>
      </c>
      <c r="N22" s="1091">
        <f>3.08293676467105*GWP_N2O</f>
        <v>918.71515587197291</v>
      </c>
      <c r="O22" s="1138"/>
      <c r="P22" s="1123">
        <f t="shared" si="0"/>
        <v>1106.3865064773163</v>
      </c>
      <c r="Q22" s="888"/>
      <c r="R22" s="888"/>
      <c r="S22" s="888"/>
      <c r="T22" s="888"/>
      <c r="U22" s="888"/>
      <c r="V22" s="888"/>
      <c r="W22" s="888"/>
      <c r="X22" s="888"/>
      <c r="Y22" s="888"/>
      <c r="Z22" s="888"/>
      <c r="AA22" s="888"/>
      <c r="AB22" s="888"/>
      <c r="AC22" s="888"/>
      <c r="AD22" s="888"/>
      <c r="AE22" s="888"/>
      <c r="AF22" s="888"/>
      <c r="AG22" s="888"/>
      <c r="AH22" s="888"/>
      <c r="AI22" s="888"/>
      <c r="AJ22" s="888"/>
      <c r="AK22" s="888"/>
      <c r="AL22" s="888"/>
    </row>
    <row r="23" spans="1:38" x14ac:dyDescent="0.45">
      <c r="U23" s="1743"/>
      <c r="V23" s="1743"/>
      <c r="W23" s="1743"/>
    </row>
    <row r="24" spans="1:38" x14ac:dyDescent="0.45">
      <c r="P24" s="1743"/>
    </row>
    <row r="26" spans="1:38" ht="14.65" thickBot="1" x14ac:dyDescent="0.5"/>
    <row r="27" spans="1:38" customFormat="1" ht="15" thickBot="1" x14ac:dyDescent="0.55000000000000004">
      <c r="A27" s="888"/>
      <c r="B27" s="702" t="s">
        <v>1477</v>
      </c>
      <c r="C27" s="707"/>
      <c r="D27" s="262"/>
      <c r="E27" s="708"/>
      <c r="F27" s="709"/>
      <c r="G27" s="245"/>
      <c r="H27" s="245"/>
      <c r="I27" s="246"/>
      <c r="J27" s="245"/>
      <c r="K27" s="245"/>
      <c r="L27" s="2397" t="s">
        <v>1782</v>
      </c>
      <c r="M27" s="2398"/>
      <c r="N27" s="2398"/>
      <c r="O27" s="252"/>
      <c r="P27" s="253"/>
      <c r="Q27" s="888"/>
      <c r="R27" s="888"/>
      <c r="S27" s="888"/>
      <c r="T27" s="888"/>
      <c r="U27" s="888"/>
      <c r="V27" s="888"/>
      <c r="W27" s="888"/>
      <c r="X27" s="888"/>
      <c r="Y27" s="888"/>
      <c r="Z27" s="888"/>
      <c r="AA27" s="888"/>
      <c r="AB27" s="888"/>
      <c r="AC27" s="888"/>
      <c r="AD27" s="888"/>
      <c r="AE27" s="888"/>
      <c r="AF27" s="888"/>
      <c r="AG27" s="888"/>
      <c r="AH27" s="888"/>
      <c r="AI27" s="888"/>
      <c r="AJ27" s="888"/>
      <c r="AK27" s="888"/>
      <c r="AL27" s="888"/>
    </row>
    <row r="28" spans="1:38" customFormat="1" ht="40.15" thickBot="1" x14ac:dyDescent="0.5">
      <c r="A28" s="888"/>
      <c r="B28" s="678" t="s">
        <v>1271</v>
      </c>
      <c r="C28" s="617" t="s">
        <v>1270</v>
      </c>
      <c r="D28" s="268" t="s">
        <v>521</v>
      </c>
      <c r="E28" s="618" t="s">
        <v>522</v>
      </c>
      <c r="F28" s="618" t="s">
        <v>1280</v>
      </c>
      <c r="G28" s="618" t="s">
        <v>1278</v>
      </c>
      <c r="H28" s="618" t="s">
        <v>882</v>
      </c>
      <c r="I28" s="268" t="s">
        <v>574</v>
      </c>
      <c r="J28" s="242" t="s">
        <v>584</v>
      </c>
      <c r="K28" s="257" t="s">
        <v>1079</v>
      </c>
      <c r="L28" s="1148" t="s">
        <v>798</v>
      </c>
      <c r="M28" s="249" t="s">
        <v>799</v>
      </c>
      <c r="N28" s="249" t="s">
        <v>800</v>
      </c>
      <c r="O28" s="1148" t="s">
        <v>1829</v>
      </c>
      <c r="P28" s="261" t="s">
        <v>802</v>
      </c>
      <c r="Q28" s="888"/>
      <c r="R28" s="888"/>
      <c r="S28" s="888"/>
      <c r="T28" s="888"/>
      <c r="U28" s="888"/>
      <c r="V28" s="888"/>
      <c r="W28" s="888"/>
      <c r="X28" s="888"/>
      <c r="Y28" s="888"/>
      <c r="Z28" s="888"/>
      <c r="AA28" s="888"/>
      <c r="AB28" s="888"/>
      <c r="AC28" s="888"/>
      <c r="AD28" s="888"/>
      <c r="AE28" s="888"/>
      <c r="AF28" s="888"/>
      <c r="AG28" s="888"/>
      <c r="AH28" s="888"/>
      <c r="AI28" s="888"/>
      <c r="AJ28" s="888"/>
      <c r="AK28" s="888"/>
      <c r="AL28" s="888"/>
    </row>
    <row r="29" spans="1:38" customFormat="1" ht="39" customHeight="1" x14ac:dyDescent="0.45">
      <c r="A29" s="888"/>
      <c r="B29" s="1036" t="s">
        <v>571</v>
      </c>
      <c r="C29" s="1038" t="s">
        <v>1205</v>
      </c>
      <c r="D29" s="1038" t="s">
        <v>1229</v>
      </c>
      <c r="E29" s="1038" t="s">
        <v>381</v>
      </c>
      <c r="F29" s="1038" t="s">
        <v>1397</v>
      </c>
      <c r="G29" s="1038" t="s">
        <v>1396</v>
      </c>
      <c r="H29" s="1074" t="s">
        <v>1048</v>
      </c>
      <c r="I29" s="1041" t="s">
        <v>321</v>
      </c>
      <c r="J29" s="1041"/>
      <c r="K29" s="1124"/>
      <c r="L29" s="1127"/>
      <c r="M29" s="1097"/>
      <c r="N29" s="1097"/>
      <c r="O29" s="1147">
        <v>-79142.323447462099</v>
      </c>
      <c r="P29" s="1094">
        <f>SUM(L29:N29)</f>
        <v>0</v>
      </c>
      <c r="Q29" s="888"/>
      <c r="R29" s="888"/>
      <c r="S29" s="888"/>
      <c r="T29" s="888"/>
      <c r="U29" s="888"/>
      <c r="V29" s="888"/>
      <c r="W29" s="888"/>
      <c r="X29" s="888"/>
      <c r="Y29" s="888"/>
      <c r="Z29" s="888"/>
      <c r="AA29" s="888"/>
      <c r="AB29" s="888"/>
      <c r="AC29" s="888"/>
      <c r="AD29" s="888"/>
      <c r="AE29" s="888"/>
      <c r="AF29" s="888"/>
      <c r="AG29" s="888"/>
      <c r="AH29" s="888"/>
      <c r="AI29" s="888"/>
      <c r="AJ29" s="888"/>
      <c r="AK29" s="888"/>
      <c r="AL29" s="888"/>
    </row>
    <row r="30" spans="1:38" customFormat="1" ht="39" customHeight="1" x14ac:dyDescent="0.45">
      <c r="A30" s="888"/>
      <c r="B30" s="1043" t="s">
        <v>571</v>
      </c>
      <c r="C30" s="1045" t="s">
        <v>1205</v>
      </c>
      <c r="D30" s="1045" t="s">
        <v>1229</v>
      </c>
      <c r="E30" s="1045" t="s">
        <v>381</v>
      </c>
      <c r="F30" s="1045" t="s">
        <v>1412</v>
      </c>
      <c r="G30" s="1045" t="s">
        <v>1478</v>
      </c>
      <c r="H30" s="1077" t="s">
        <v>1480</v>
      </c>
      <c r="I30" s="1048" t="s">
        <v>321</v>
      </c>
      <c r="J30" s="1048"/>
      <c r="K30" s="1125"/>
      <c r="L30" s="1149">
        <v>36.68</v>
      </c>
      <c r="M30" s="1098"/>
      <c r="N30" s="1098"/>
      <c r="O30" s="1098"/>
      <c r="P30" s="1095">
        <f>SUM(L30:N30)</f>
        <v>36.68</v>
      </c>
      <c r="Q30" s="888"/>
      <c r="R30" s="888"/>
      <c r="S30" s="888"/>
      <c r="T30" s="888"/>
      <c r="U30" s="888"/>
      <c r="V30" s="888"/>
      <c r="W30" s="888"/>
      <c r="X30" s="888"/>
      <c r="Y30" s="888"/>
      <c r="Z30" s="888"/>
      <c r="AA30" s="888"/>
      <c r="AB30" s="888"/>
      <c r="AC30" s="888"/>
      <c r="AD30" s="888"/>
      <c r="AE30" s="888"/>
      <c r="AF30" s="888"/>
      <c r="AG30" s="888"/>
      <c r="AH30" s="888"/>
      <c r="AI30" s="888"/>
      <c r="AJ30" s="888"/>
      <c r="AK30" s="888"/>
      <c r="AL30" s="888"/>
    </row>
    <row r="31" spans="1:38" customFormat="1" ht="39" x14ac:dyDescent="0.45">
      <c r="A31" s="888"/>
      <c r="B31" s="1043" t="s">
        <v>571</v>
      </c>
      <c r="C31" s="1045" t="s">
        <v>1205</v>
      </c>
      <c r="D31" s="1045" t="s">
        <v>1229</v>
      </c>
      <c r="E31" s="1045" t="s">
        <v>381</v>
      </c>
      <c r="F31" s="1045" t="s">
        <v>1412</v>
      </c>
      <c r="G31" s="1045" t="s">
        <v>1411</v>
      </c>
      <c r="H31" s="1077" t="s">
        <v>1481</v>
      </c>
      <c r="I31" s="1048" t="s">
        <v>321</v>
      </c>
      <c r="J31" s="1048"/>
      <c r="K31" s="1125"/>
      <c r="L31" s="1135"/>
      <c r="M31" s="1098"/>
      <c r="N31" s="1098"/>
      <c r="O31" s="1146">
        <v>-364.07</v>
      </c>
      <c r="P31" s="1095">
        <f t="shared" ref="P31:P44" si="1">SUM(L31:N31)</f>
        <v>0</v>
      </c>
      <c r="Q31" s="888"/>
      <c r="R31" s="888"/>
      <c r="S31" s="888"/>
      <c r="T31" s="888"/>
      <c r="U31" s="888"/>
      <c r="V31" s="888"/>
      <c r="W31" s="888"/>
      <c r="X31" s="888"/>
      <c r="Y31" s="888"/>
      <c r="Z31" s="888"/>
      <c r="AA31" s="888"/>
      <c r="AB31" s="888"/>
      <c r="AC31" s="888"/>
      <c r="AD31" s="888"/>
      <c r="AE31" s="888"/>
      <c r="AF31" s="888"/>
      <c r="AG31" s="888"/>
      <c r="AH31" s="888"/>
      <c r="AI31" s="888"/>
      <c r="AJ31" s="888"/>
      <c r="AK31" s="888"/>
      <c r="AL31" s="888"/>
    </row>
    <row r="32" spans="1:38" customFormat="1" ht="45" customHeight="1" x14ac:dyDescent="0.45">
      <c r="A32" s="888"/>
      <c r="B32" s="1043" t="s">
        <v>571</v>
      </c>
      <c r="C32" s="1045" t="s">
        <v>1205</v>
      </c>
      <c r="D32" s="1045" t="s">
        <v>1229</v>
      </c>
      <c r="E32" s="1045" t="s">
        <v>381</v>
      </c>
      <c r="F32" s="1045" t="s">
        <v>1412</v>
      </c>
      <c r="G32" s="1045" t="s">
        <v>1411</v>
      </c>
      <c r="H32" s="1077" t="s">
        <v>1482</v>
      </c>
      <c r="I32" s="1048" t="s">
        <v>321</v>
      </c>
      <c r="J32" s="1048"/>
      <c r="K32" s="1125"/>
      <c r="L32" s="1149">
        <v>3.23</v>
      </c>
      <c r="M32" s="1098"/>
      <c r="N32" s="1098"/>
      <c r="O32" s="1098"/>
      <c r="P32" s="1095">
        <f t="shared" si="1"/>
        <v>3.23</v>
      </c>
      <c r="Q32" s="888"/>
      <c r="R32" s="888"/>
      <c r="S32" s="888"/>
      <c r="T32" s="888"/>
      <c r="U32" s="888"/>
      <c r="V32" s="888"/>
      <c r="W32" s="888"/>
      <c r="X32" s="888"/>
      <c r="Y32" s="888"/>
      <c r="Z32" s="888"/>
      <c r="AA32" s="888"/>
      <c r="AB32" s="888"/>
      <c r="AC32" s="888"/>
      <c r="AD32" s="888"/>
      <c r="AE32" s="888"/>
      <c r="AF32" s="888"/>
      <c r="AG32" s="888"/>
      <c r="AH32" s="888"/>
      <c r="AI32" s="888"/>
      <c r="AJ32" s="888"/>
      <c r="AK32" s="888"/>
      <c r="AL32" s="888"/>
    </row>
    <row r="33" spans="1:38" customFormat="1" ht="39" customHeight="1" x14ac:dyDescent="0.45">
      <c r="A33" s="888"/>
      <c r="B33" s="1043" t="s">
        <v>571</v>
      </c>
      <c r="C33" s="1045" t="s">
        <v>1205</v>
      </c>
      <c r="D33" s="1045" t="s">
        <v>1229</v>
      </c>
      <c r="E33" s="1045" t="s">
        <v>381</v>
      </c>
      <c r="F33" s="1045" t="s">
        <v>1771</v>
      </c>
      <c r="G33" s="1045" t="s">
        <v>1772</v>
      </c>
      <c r="H33" s="1077" t="s">
        <v>1483</v>
      </c>
      <c r="I33" s="1048" t="s">
        <v>321</v>
      </c>
      <c r="J33" s="1048"/>
      <c r="K33" s="1125"/>
      <c r="L33" s="1135"/>
      <c r="M33" s="1098"/>
      <c r="N33" s="1098"/>
      <c r="O33" s="1146">
        <v>-3808.78</v>
      </c>
      <c r="P33" s="1095">
        <f t="shared" si="1"/>
        <v>0</v>
      </c>
      <c r="Q33" s="888"/>
      <c r="R33" s="888"/>
      <c r="S33" s="888"/>
      <c r="T33" s="888"/>
      <c r="U33" s="888"/>
      <c r="V33" s="888"/>
      <c r="W33" s="888"/>
      <c r="X33" s="888"/>
      <c r="Y33" s="888"/>
      <c r="Z33" s="888"/>
      <c r="AA33" s="888"/>
      <c r="AB33" s="888"/>
      <c r="AC33" s="888"/>
      <c r="AD33" s="888"/>
      <c r="AE33" s="888"/>
      <c r="AF33" s="888"/>
      <c r="AG33" s="888"/>
      <c r="AH33" s="888"/>
      <c r="AI33" s="888"/>
      <c r="AJ33" s="888"/>
      <c r="AK33" s="888"/>
      <c r="AL33" s="888"/>
    </row>
    <row r="34" spans="1:38" customFormat="1" ht="39" x14ac:dyDescent="0.45">
      <c r="A34" s="888"/>
      <c r="B34" s="1043" t="s">
        <v>571</v>
      </c>
      <c r="C34" s="1045" t="s">
        <v>1205</v>
      </c>
      <c r="D34" s="1045" t="s">
        <v>1229</v>
      </c>
      <c r="E34" s="1045" t="s">
        <v>381</v>
      </c>
      <c r="F34" s="1045" t="s">
        <v>1428</v>
      </c>
      <c r="G34" s="1045" t="s">
        <v>1413</v>
      </c>
      <c r="H34" s="1077" t="s">
        <v>1484</v>
      </c>
      <c r="I34" s="1048" t="s">
        <v>321</v>
      </c>
      <c r="J34" s="1048"/>
      <c r="K34" s="1125"/>
      <c r="L34" s="1149">
        <v>0</v>
      </c>
      <c r="M34" s="1098"/>
      <c r="N34" s="1098"/>
      <c r="O34" s="1098"/>
      <c r="P34" s="1095">
        <f t="shared" si="1"/>
        <v>0</v>
      </c>
      <c r="Q34" s="888"/>
      <c r="R34" s="888"/>
      <c r="S34" s="888"/>
      <c r="T34" s="888"/>
      <c r="U34" s="888"/>
      <c r="V34" s="888"/>
      <c r="W34" s="888"/>
      <c r="X34" s="888"/>
      <c r="Y34" s="888"/>
      <c r="Z34" s="888"/>
      <c r="AA34" s="888"/>
      <c r="AB34" s="888"/>
      <c r="AC34" s="888"/>
      <c r="AD34" s="888"/>
      <c r="AE34" s="888"/>
      <c r="AF34" s="888"/>
      <c r="AG34" s="888"/>
      <c r="AH34" s="888"/>
      <c r="AI34" s="888"/>
      <c r="AJ34" s="888"/>
      <c r="AK34" s="888"/>
      <c r="AL34" s="888"/>
    </row>
    <row r="35" spans="1:38" customFormat="1" ht="39" x14ac:dyDescent="0.45">
      <c r="A35" s="888"/>
      <c r="B35" s="1043" t="s">
        <v>571</v>
      </c>
      <c r="C35" s="1045" t="s">
        <v>1205</v>
      </c>
      <c r="D35" s="1045" t="s">
        <v>1229</v>
      </c>
      <c r="E35" s="1045" t="s">
        <v>381</v>
      </c>
      <c r="F35" s="1045" t="s">
        <v>1410</v>
      </c>
      <c r="G35" s="1045" t="s">
        <v>1409</v>
      </c>
      <c r="H35" s="1077" t="s">
        <v>1488</v>
      </c>
      <c r="I35" s="1048" t="s">
        <v>321</v>
      </c>
      <c r="J35" s="1048"/>
      <c r="K35" s="1125"/>
      <c r="L35" s="1149">
        <v>51377.440000000002</v>
      </c>
      <c r="M35" s="1098"/>
      <c r="N35" s="1098"/>
      <c r="O35" s="1098"/>
      <c r="P35" s="1095">
        <f t="shared" si="1"/>
        <v>51377.440000000002</v>
      </c>
      <c r="Q35" s="888"/>
      <c r="R35" s="888"/>
      <c r="S35" s="888"/>
      <c r="T35" s="888"/>
      <c r="U35" s="888"/>
      <c r="V35" s="888"/>
      <c r="W35" s="888"/>
      <c r="X35" s="888"/>
      <c r="Y35" s="888"/>
      <c r="Z35" s="888"/>
      <c r="AA35" s="888"/>
      <c r="AB35" s="888"/>
      <c r="AC35" s="888"/>
      <c r="AD35" s="888"/>
      <c r="AE35" s="888"/>
      <c r="AF35" s="888"/>
      <c r="AG35" s="888"/>
      <c r="AH35" s="888"/>
      <c r="AI35" s="888"/>
      <c r="AJ35" s="888"/>
      <c r="AK35" s="888"/>
      <c r="AL35" s="888"/>
    </row>
    <row r="36" spans="1:38" customFormat="1" ht="39" x14ac:dyDescent="0.45">
      <c r="A36" s="888"/>
      <c r="B36" s="1043" t="s">
        <v>571</v>
      </c>
      <c r="C36" s="1045" t="s">
        <v>1205</v>
      </c>
      <c r="D36" s="1045" t="s">
        <v>1229</v>
      </c>
      <c r="E36" s="1045" t="s">
        <v>381</v>
      </c>
      <c r="F36" s="1045" t="s">
        <v>1426</v>
      </c>
      <c r="G36" s="1045" t="s">
        <v>1425</v>
      </c>
      <c r="H36" s="1077" t="s">
        <v>1480</v>
      </c>
      <c r="I36" s="1048" t="s">
        <v>321</v>
      </c>
      <c r="J36" s="1048"/>
      <c r="K36" s="1125"/>
      <c r="L36" s="1149">
        <v>4.3</v>
      </c>
      <c r="M36" s="1098"/>
      <c r="N36" s="1098"/>
      <c r="O36" s="1098"/>
      <c r="P36" s="1095">
        <f t="shared" si="1"/>
        <v>4.3</v>
      </c>
      <c r="Q36" s="888"/>
      <c r="R36" s="888"/>
      <c r="S36" s="888"/>
      <c r="T36" s="888"/>
      <c r="U36" s="888"/>
      <c r="V36" s="888"/>
      <c r="W36" s="888"/>
      <c r="X36" s="888"/>
      <c r="Y36" s="888"/>
      <c r="Z36" s="888"/>
      <c r="AA36" s="888"/>
      <c r="AB36" s="888"/>
      <c r="AC36" s="888"/>
      <c r="AD36" s="888"/>
      <c r="AE36" s="888"/>
      <c r="AF36" s="888"/>
      <c r="AG36" s="888"/>
      <c r="AH36" s="888"/>
      <c r="AI36" s="888"/>
      <c r="AJ36" s="888"/>
      <c r="AK36" s="888"/>
      <c r="AL36" s="888"/>
    </row>
    <row r="37" spans="1:38" customFormat="1" ht="39" x14ac:dyDescent="0.45">
      <c r="A37" s="888"/>
      <c r="B37" s="1043" t="s">
        <v>571</v>
      </c>
      <c r="C37" s="1045" t="s">
        <v>1205</v>
      </c>
      <c r="D37" s="1045" t="s">
        <v>1229</v>
      </c>
      <c r="E37" s="1045" t="s">
        <v>381</v>
      </c>
      <c r="F37" s="1045" t="s">
        <v>1426</v>
      </c>
      <c r="G37" s="1045" t="s">
        <v>1425</v>
      </c>
      <c r="H37" s="1077" t="s">
        <v>1485</v>
      </c>
      <c r="I37" s="1048" t="s">
        <v>321</v>
      </c>
      <c r="J37" s="1048"/>
      <c r="K37" s="1125"/>
      <c r="L37" s="1135"/>
      <c r="M37" s="1098"/>
      <c r="N37" s="1098"/>
      <c r="O37" s="1146">
        <v>-445.38</v>
      </c>
      <c r="P37" s="1095">
        <f t="shared" si="1"/>
        <v>0</v>
      </c>
      <c r="Q37" s="888"/>
      <c r="R37" s="888"/>
      <c r="S37" s="888"/>
      <c r="T37" s="888"/>
      <c r="U37" s="888"/>
      <c r="V37" s="888"/>
      <c r="W37" s="888"/>
      <c r="X37" s="888"/>
      <c r="Y37" s="888"/>
      <c r="Z37" s="888"/>
      <c r="AA37" s="888"/>
      <c r="AB37" s="888"/>
      <c r="AC37" s="888"/>
      <c r="AD37" s="888"/>
      <c r="AE37" s="888"/>
      <c r="AF37" s="888"/>
      <c r="AG37" s="888"/>
      <c r="AH37" s="888"/>
      <c r="AI37" s="888"/>
      <c r="AJ37" s="888"/>
      <c r="AK37" s="888"/>
      <c r="AL37" s="888"/>
    </row>
    <row r="38" spans="1:38" customFormat="1" ht="39" x14ac:dyDescent="0.45">
      <c r="A38" s="888"/>
      <c r="B38" s="1043" t="s">
        <v>571</v>
      </c>
      <c r="C38" s="1045" t="s">
        <v>1205</v>
      </c>
      <c r="D38" s="1045" t="s">
        <v>1229</v>
      </c>
      <c r="E38" s="1045" t="s">
        <v>381</v>
      </c>
      <c r="F38" s="1045" t="s">
        <v>1774</v>
      </c>
      <c r="G38" s="1045" t="s">
        <v>1775</v>
      </c>
      <c r="H38" s="1077" t="s">
        <v>1483</v>
      </c>
      <c r="I38" s="1048" t="s">
        <v>321</v>
      </c>
      <c r="J38" s="1048"/>
      <c r="K38" s="1125"/>
      <c r="L38" s="1149">
        <v>6855.6</v>
      </c>
      <c r="M38" s="1098"/>
      <c r="N38" s="1098"/>
      <c r="O38" s="1098"/>
      <c r="P38" s="1095">
        <f t="shared" si="1"/>
        <v>6855.6</v>
      </c>
      <c r="Q38" s="888"/>
      <c r="R38" s="888"/>
      <c r="S38" s="888"/>
      <c r="T38" s="888"/>
      <c r="U38" s="888"/>
      <c r="V38" s="888"/>
      <c r="W38" s="888"/>
      <c r="X38" s="888"/>
      <c r="Y38" s="888"/>
      <c r="Z38" s="888"/>
      <c r="AA38" s="888"/>
      <c r="AB38" s="888"/>
      <c r="AC38" s="888"/>
      <c r="AD38" s="888"/>
      <c r="AE38" s="888"/>
      <c r="AF38" s="888"/>
      <c r="AG38" s="888"/>
      <c r="AH38" s="888"/>
      <c r="AI38" s="888"/>
      <c r="AJ38" s="888"/>
      <c r="AK38" s="888"/>
      <c r="AL38" s="888"/>
    </row>
    <row r="39" spans="1:38" customFormat="1" ht="39" x14ac:dyDescent="0.45">
      <c r="A39" s="888"/>
      <c r="B39" s="1043" t="s">
        <v>571</v>
      </c>
      <c r="C39" s="1045" t="s">
        <v>1205</v>
      </c>
      <c r="D39" s="1045" t="s">
        <v>1229</v>
      </c>
      <c r="E39" s="1045" t="s">
        <v>381</v>
      </c>
      <c r="F39" s="1045" t="s">
        <v>1428</v>
      </c>
      <c r="G39" s="1045" t="s">
        <v>1427</v>
      </c>
      <c r="H39" s="1077" t="s">
        <v>1486</v>
      </c>
      <c r="I39" s="1048" t="s">
        <v>321</v>
      </c>
      <c r="J39" s="1048"/>
      <c r="K39" s="1125"/>
      <c r="L39" s="1149">
        <v>823.31</v>
      </c>
      <c r="M39" s="1098"/>
      <c r="N39" s="1098"/>
      <c r="O39" s="1098"/>
      <c r="P39" s="1095">
        <f t="shared" si="1"/>
        <v>823.31</v>
      </c>
      <c r="Q39" s="888"/>
      <c r="R39" s="888"/>
      <c r="S39" s="888"/>
      <c r="T39" s="888"/>
      <c r="U39" s="888"/>
      <c r="V39" s="888"/>
      <c r="W39" s="888"/>
      <c r="X39" s="888"/>
      <c r="Y39" s="888"/>
      <c r="Z39" s="888"/>
      <c r="AA39" s="888"/>
      <c r="AB39" s="888"/>
      <c r="AC39" s="888"/>
      <c r="AD39" s="888"/>
      <c r="AE39" s="888"/>
      <c r="AF39" s="888"/>
      <c r="AG39" s="888"/>
      <c r="AH39" s="888"/>
      <c r="AI39" s="888"/>
      <c r="AJ39" s="888"/>
      <c r="AK39" s="888"/>
      <c r="AL39" s="888"/>
    </row>
    <row r="40" spans="1:38" customFormat="1" ht="39" x14ac:dyDescent="0.45">
      <c r="A40" s="888"/>
      <c r="B40" s="1043" t="s">
        <v>571</v>
      </c>
      <c r="C40" s="1045" t="s">
        <v>1205</v>
      </c>
      <c r="D40" s="1045" t="s">
        <v>1229</v>
      </c>
      <c r="E40" s="1045" t="s">
        <v>381</v>
      </c>
      <c r="F40" s="1045" t="s">
        <v>1424</v>
      </c>
      <c r="G40" s="1045" t="s">
        <v>1423</v>
      </c>
      <c r="H40" s="1077" t="s">
        <v>1488</v>
      </c>
      <c r="I40" s="1048" t="s">
        <v>321</v>
      </c>
      <c r="J40" s="1048"/>
      <c r="K40" s="1125"/>
      <c r="L40" s="1149"/>
      <c r="M40" s="1098"/>
      <c r="N40" s="1098"/>
      <c r="O40" s="1146">
        <v>-70918.47</v>
      </c>
      <c r="P40" s="1095">
        <f t="shared" si="1"/>
        <v>0</v>
      </c>
      <c r="Q40" s="888"/>
      <c r="R40" s="888"/>
      <c r="S40" s="888"/>
      <c r="T40" s="888"/>
      <c r="U40" s="888"/>
      <c r="V40" s="888"/>
      <c r="W40" s="888"/>
      <c r="X40" s="888"/>
      <c r="Y40" s="888"/>
      <c r="Z40" s="888"/>
      <c r="AA40" s="888"/>
      <c r="AB40" s="888"/>
      <c r="AC40" s="888"/>
      <c r="AD40" s="888"/>
      <c r="AE40" s="888"/>
      <c r="AF40" s="888"/>
      <c r="AG40" s="888"/>
      <c r="AH40" s="888"/>
      <c r="AI40" s="888"/>
      <c r="AJ40" s="888"/>
      <c r="AK40" s="888"/>
      <c r="AL40" s="888"/>
    </row>
    <row r="41" spans="1:38" customFormat="1" ht="39" x14ac:dyDescent="0.45">
      <c r="A41" s="888"/>
      <c r="B41" s="1043" t="s">
        <v>571</v>
      </c>
      <c r="C41" s="1045" t="s">
        <v>1205</v>
      </c>
      <c r="D41" s="1045" t="s">
        <v>1229</v>
      </c>
      <c r="E41" s="1045" t="s">
        <v>381</v>
      </c>
      <c r="F41" s="1045" t="s">
        <v>1440</v>
      </c>
      <c r="G41" s="1045" t="s">
        <v>1439</v>
      </c>
      <c r="H41" s="1077" t="s">
        <v>1049</v>
      </c>
      <c r="I41" s="1048" t="s">
        <v>321</v>
      </c>
      <c r="J41" s="1048"/>
      <c r="K41" s="1125"/>
      <c r="L41" s="1149">
        <v>0</v>
      </c>
      <c r="M41" s="1098"/>
      <c r="N41" s="1098"/>
      <c r="O41" s="1098"/>
      <c r="P41" s="1095">
        <f t="shared" si="1"/>
        <v>0</v>
      </c>
      <c r="Q41" s="888"/>
      <c r="R41" s="888"/>
      <c r="S41" s="888"/>
      <c r="T41" s="888"/>
      <c r="U41" s="888"/>
      <c r="V41" s="888"/>
      <c r="W41" s="888"/>
      <c r="X41" s="888"/>
      <c r="Y41" s="888"/>
      <c r="Z41" s="888"/>
      <c r="AA41" s="888"/>
      <c r="AB41" s="888"/>
      <c r="AC41" s="888"/>
      <c r="AD41" s="888"/>
      <c r="AE41" s="888"/>
      <c r="AF41" s="888"/>
      <c r="AG41" s="888"/>
      <c r="AH41" s="888"/>
      <c r="AI41" s="888"/>
      <c r="AJ41" s="888"/>
      <c r="AK41" s="888"/>
      <c r="AL41" s="888"/>
    </row>
    <row r="42" spans="1:38" customFormat="1" ht="39" x14ac:dyDescent="0.45">
      <c r="A42" s="888"/>
      <c r="B42" s="1043" t="s">
        <v>571</v>
      </c>
      <c r="C42" s="1045" t="s">
        <v>1205</v>
      </c>
      <c r="D42" s="1045" t="s">
        <v>1229</v>
      </c>
      <c r="E42" s="1045" t="s">
        <v>381</v>
      </c>
      <c r="F42" s="1045" t="s">
        <v>1777</v>
      </c>
      <c r="G42" s="1045" t="s">
        <v>1778</v>
      </c>
      <c r="H42" s="1077" t="s">
        <v>1483</v>
      </c>
      <c r="I42" s="1048" t="s">
        <v>321</v>
      </c>
      <c r="J42" s="1048"/>
      <c r="K42" s="1125"/>
      <c r="L42" s="1149">
        <v>439.57</v>
      </c>
      <c r="M42" s="1098"/>
      <c r="N42" s="1098"/>
      <c r="O42" s="1098"/>
      <c r="P42" s="1095">
        <f t="shared" si="1"/>
        <v>439.57</v>
      </c>
      <c r="Q42" s="888"/>
      <c r="R42" s="888"/>
      <c r="S42" s="888"/>
      <c r="T42" s="888"/>
      <c r="U42" s="888"/>
      <c r="V42" s="888"/>
      <c r="W42" s="888"/>
      <c r="X42" s="888"/>
      <c r="Y42" s="888"/>
      <c r="Z42" s="888"/>
      <c r="AA42" s="888"/>
      <c r="AB42" s="888"/>
      <c r="AC42" s="888"/>
      <c r="AD42" s="888"/>
      <c r="AE42" s="888"/>
      <c r="AF42" s="888"/>
      <c r="AG42" s="888"/>
      <c r="AH42" s="888"/>
      <c r="AI42" s="888"/>
      <c r="AJ42" s="888"/>
      <c r="AK42" s="888"/>
      <c r="AL42" s="888"/>
    </row>
    <row r="43" spans="1:38" customFormat="1" ht="39" x14ac:dyDescent="0.45">
      <c r="A43" s="888"/>
      <c r="B43" s="1043" t="s">
        <v>571</v>
      </c>
      <c r="C43" s="1045" t="s">
        <v>1205</v>
      </c>
      <c r="D43" s="1045" t="s">
        <v>1229</v>
      </c>
      <c r="E43" s="1045" t="s">
        <v>381</v>
      </c>
      <c r="F43" s="1045" t="s">
        <v>1452</v>
      </c>
      <c r="G43" s="1045" t="s">
        <v>1451</v>
      </c>
      <c r="H43" s="1077" t="s">
        <v>1487</v>
      </c>
      <c r="I43" s="1048" t="s">
        <v>321</v>
      </c>
      <c r="J43" s="1048"/>
      <c r="K43" s="1125"/>
      <c r="L43" s="1149">
        <v>1551.3</v>
      </c>
      <c r="M43" s="1098"/>
      <c r="N43" s="1098"/>
      <c r="O43" s="1098"/>
      <c r="P43" s="1095">
        <f t="shared" si="1"/>
        <v>1551.3</v>
      </c>
      <c r="Q43" s="888"/>
      <c r="R43" s="888"/>
      <c r="S43" s="888"/>
      <c r="T43" s="888"/>
      <c r="U43" s="888"/>
      <c r="V43" s="888"/>
      <c r="W43" s="888"/>
      <c r="X43" s="888"/>
      <c r="Y43" s="888"/>
      <c r="Z43" s="888"/>
      <c r="AA43" s="888"/>
      <c r="AB43" s="888"/>
      <c r="AC43" s="888"/>
      <c r="AD43" s="888"/>
      <c r="AE43" s="888"/>
      <c r="AF43" s="888"/>
      <c r="AG43" s="888"/>
      <c r="AH43" s="888"/>
      <c r="AI43" s="888"/>
      <c r="AJ43" s="888"/>
      <c r="AK43" s="888"/>
      <c r="AL43" s="888"/>
    </row>
    <row r="44" spans="1:38" customFormat="1" ht="39.4" thickBot="1" x14ac:dyDescent="0.5">
      <c r="A44" s="888"/>
      <c r="B44" s="1079" t="s">
        <v>571</v>
      </c>
      <c r="C44" s="1081" t="s">
        <v>1205</v>
      </c>
      <c r="D44" s="1081" t="s">
        <v>1229</v>
      </c>
      <c r="E44" s="1081" t="s">
        <v>381</v>
      </c>
      <c r="F44" s="1081" t="s">
        <v>1448</v>
      </c>
      <c r="G44" s="1081" t="s">
        <v>1447</v>
      </c>
      <c r="H44" s="1083" t="s">
        <v>1488</v>
      </c>
      <c r="I44" s="1144" t="s">
        <v>321</v>
      </c>
      <c r="J44" s="1144"/>
      <c r="K44" s="1133"/>
      <c r="L44" s="1150">
        <v>41271.800000000003</v>
      </c>
      <c r="M44" s="1100"/>
      <c r="N44" s="1100"/>
      <c r="O44" s="1100"/>
      <c r="P44" s="1096">
        <f t="shared" si="1"/>
        <v>41271.800000000003</v>
      </c>
      <c r="Q44" s="888"/>
      <c r="R44" s="888"/>
      <c r="S44" s="888"/>
      <c r="T44" s="888"/>
      <c r="U44" s="888"/>
      <c r="V44" s="888"/>
      <c r="W44" s="888"/>
      <c r="X44" s="888"/>
      <c r="Y44" s="888"/>
      <c r="Z44" s="888"/>
      <c r="AA44" s="888"/>
      <c r="AB44" s="888"/>
      <c r="AC44" s="888"/>
      <c r="AD44" s="888"/>
      <c r="AE44" s="888"/>
      <c r="AF44" s="888"/>
      <c r="AG44" s="888"/>
      <c r="AH44" s="888"/>
      <c r="AI44" s="888"/>
      <c r="AJ44" s="888"/>
      <c r="AK44" s="888"/>
      <c r="AL44" s="888"/>
    </row>
    <row r="45" spans="1:38" x14ac:dyDescent="0.45">
      <c r="U45" s="1743"/>
      <c r="V45" s="1743"/>
      <c r="W45" s="1743"/>
    </row>
    <row r="46" spans="1:38" x14ac:dyDescent="0.45">
      <c r="L46" s="1743"/>
      <c r="P46" s="1743"/>
    </row>
    <row r="48" spans="1:38" ht="14.65" thickBot="1" x14ac:dyDescent="0.5"/>
    <row r="49" spans="1:38" customFormat="1" ht="15" thickBot="1" x14ac:dyDescent="0.55000000000000004">
      <c r="A49" s="888"/>
      <c r="B49" s="702" t="s">
        <v>1489</v>
      </c>
      <c r="C49" s="707"/>
      <c r="D49" s="262"/>
      <c r="E49" s="708"/>
      <c r="F49" s="709"/>
      <c r="G49" s="245"/>
      <c r="H49" s="245"/>
      <c r="I49" s="246"/>
      <c r="J49" s="245"/>
      <c r="K49" s="245"/>
      <c r="L49" s="252"/>
      <c r="M49" s="248" t="s">
        <v>881</v>
      </c>
      <c r="N49" s="252"/>
      <c r="O49" s="252"/>
      <c r="P49" s="253"/>
      <c r="Q49" s="888"/>
      <c r="R49" s="888"/>
      <c r="S49" s="888"/>
      <c r="T49" s="888"/>
      <c r="U49" s="888"/>
      <c r="V49" s="888"/>
      <c r="W49" s="888"/>
      <c r="X49" s="888"/>
      <c r="Y49" s="888"/>
      <c r="Z49" s="888"/>
      <c r="AA49" s="888"/>
      <c r="AB49" s="888"/>
      <c r="AC49" s="888"/>
      <c r="AD49" s="888"/>
      <c r="AE49" s="888"/>
      <c r="AF49" s="888"/>
      <c r="AG49" s="888"/>
      <c r="AH49" s="888"/>
      <c r="AI49" s="888"/>
      <c r="AJ49" s="888"/>
      <c r="AK49" s="888"/>
      <c r="AL49" s="888"/>
    </row>
    <row r="50" spans="1:38" customFormat="1" ht="40.15" thickBot="1" x14ac:dyDescent="0.5">
      <c r="A50" s="888"/>
      <c r="B50" s="678" t="s">
        <v>1271</v>
      </c>
      <c r="C50" s="617" t="s">
        <v>1270</v>
      </c>
      <c r="D50" s="268" t="s">
        <v>521</v>
      </c>
      <c r="E50" s="618" t="s">
        <v>522</v>
      </c>
      <c r="F50" s="618" t="s">
        <v>1280</v>
      </c>
      <c r="G50" s="618" t="s">
        <v>1278</v>
      </c>
      <c r="H50" s="618" t="s">
        <v>882</v>
      </c>
      <c r="I50" s="268" t="s">
        <v>574</v>
      </c>
      <c r="J50" s="242" t="s">
        <v>584</v>
      </c>
      <c r="K50" s="257" t="s">
        <v>1079</v>
      </c>
      <c r="L50" s="260" t="s">
        <v>798</v>
      </c>
      <c r="M50" s="260" t="s">
        <v>799</v>
      </c>
      <c r="N50" s="260" t="s">
        <v>800</v>
      </c>
      <c r="O50" s="260" t="s">
        <v>801</v>
      </c>
      <c r="P50" s="250" t="s">
        <v>802</v>
      </c>
      <c r="Q50" s="888"/>
      <c r="R50" s="888"/>
      <c r="S50" s="888"/>
      <c r="T50" s="888"/>
      <c r="U50" s="888"/>
      <c r="V50" s="888"/>
      <c r="W50" s="888"/>
      <c r="X50" s="888"/>
      <c r="Y50" s="888"/>
      <c r="Z50" s="888"/>
      <c r="AA50" s="888"/>
      <c r="AB50" s="888"/>
      <c r="AC50" s="888"/>
      <c r="AD50" s="888"/>
      <c r="AE50" s="888"/>
      <c r="AF50" s="888"/>
      <c r="AG50" s="888"/>
      <c r="AH50" s="888"/>
      <c r="AI50" s="888"/>
      <c r="AJ50" s="888"/>
      <c r="AK50" s="888"/>
      <c r="AL50" s="888"/>
    </row>
    <row r="51" spans="1:38" customFormat="1" ht="65.25" customHeight="1" thickBot="1" x14ac:dyDescent="0.5">
      <c r="A51" s="888"/>
      <c r="B51" s="1196" t="s">
        <v>571</v>
      </c>
      <c r="C51" s="1197" t="s">
        <v>1206</v>
      </c>
      <c r="D51" s="1197" t="s">
        <v>1230</v>
      </c>
      <c r="E51" s="1197" t="s">
        <v>1230</v>
      </c>
      <c r="F51" s="1197" t="s">
        <v>322</v>
      </c>
      <c r="G51" s="1197" t="s">
        <v>323</v>
      </c>
      <c r="H51" s="1198" t="s">
        <v>1750</v>
      </c>
      <c r="I51" s="1199" t="s">
        <v>321</v>
      </c>
      <c r="J51" s="1199" t="s">
        <v>363</v>
      </c>
      <c r="K51" s="1156"/>
      <c r="L51" s="1153"/>
      <c r="M51" s="1151">
        <v>0</v>
      </c>
      <c r="N51" s="1154"/>
      <c r="O51" s="1155"/>
      <c r="P51" s="1152">
        <f>SUM(L51:N51)</f>
        <v>0</v>
      </c>
      <c r="Q51" s="888"/>
      <c r="R51" s="888"/>
      <c r="S51" s="888"/>
      <c r="T51" s="888"/>
      <c r="U51" s="888"/>
      <c r="V51" s="888"/>
      <c r="W51" s="888"/>
      <c r="X51" s="888"/>
      <c r="Y51" s="888"/>
      <c r="Z51" s="888"/>
      <c r="AA51" s="888"/>
      <c r="AB51" s="888"/>
      <c r="AC51" s="888"/>
      <c r="AD51" s="888"/>
      <c r="AE51" s="888"/>
      <c r="AF51" s="888"/>
      <c r="AG51" s="888"/>
      <c r="AH51" s="888"/>
      <c r="AI51" s="888"/>
      <c r="AJ51" s="888"/>
      <c r="AK51" s="888"/>
      <c r="AL51" s="888"/>
    </row>
    <row r="55" spans="1:38" ht="14.65" thickBot="1" x14ac:dyDescent="0.5"/>
    <row r="56" spans="1:38" customFormat="1" ht="15" thickBot="1" x14ac:dyDescent="0.55000000000000004">
      <c r="A56" s="888"/>
      <c r="B56" s="702" t="s">
        <v>1758</v>
      </c>
      <c r="C56" s="707"/>
      <c r="D56" s="262"/>
      <c r="E56" s="708"/>
      <c r="F56" s="709"/>
      <c r="G56" s="245"/>
      <c r="H56" s="245"/>
      <c r="I56" s="246"/>
      <c r="J56" s="245"/>
      <c r="K56" s="245"/>
      <c r="L56" s="252"/>
      <c r="M56" s="248" t="s">
        <v>881</v>
      </c>
      <c r="N56" s="252"/>
      <c r="O56" s="252"/>
      <c r="P56" s="253"/>
      <c r="Q56" s="888"/>
      <c r="R56" s="888"/>
      <c r="S56" s="888"/>
      <c r="T56" s="888"/>
      <c r="U56" s="888"/>
      <c r="V56" s="888"/>
      <c r="W56" s="888"/>
      <c r="X56" s="888"/>
      <c r="Y56" s="888"/>
      <c r="Z56" s="888"/>
      <c r="AA56" s="888"/>
      <c r="AB56" s="888"/>
      <c r="AC56" s="888"/>
      <c r="AD56" s="888"/>
      <c r="AE56" s="888"/>
      <c r="AF56" s="888"/>
      <c r="AG56" s="888"/>
      <c r="AH56" s="888"/>
      <c r="AI56" s="888"/>
      <c r="AJ56" s="888"/>
      <c r="AK56" s="888"/>
      <c r="AL56" s="888"/>
    </row>
    <row r="57" spans="1:38" customFormat="1" ht="40.15" thickBot="1" x14ac:dyDescent="0.5">
      <c r="A57" s="888"/>
      <c r="B57" s="678" t="s">
        <v>1271</v>
      </c>
      <c r="C57" s="617" t="s">
        <v>1270</v>
      </c>
      <c r="D57" s="268" t="s">
        <v>521</v>
      </c>
      <c r="E57" s="618" t="s">
        <v>522</v>
      </c>
      <c r="F57" s="618" t="s">
        <v>1280</v>
      </c>
      <c r="G57" s="618" t="s">
        <v>1278</v>
      </c>
      <c r="H57" s="618" t="s">
        <v>882</v>
      </c>
      <c r="I57" s="268" t="s">
        <v>574</v>
      </c>
      <c r="J57" s="618" t="s">
        <v>584</v>
      </c>
      <c r="K57" s="269" t="s">
        <v>1079</v>
      </c>
      <c r="L57" s="260" t="s">
        <v>798</v>
      </c>
      <c r="M57" s="260" t="s">
        <v>799</v>
      </c>
      <c r="N57" s="260" t="s">
        <v>800</v>
      </c>
      <c r="O57" s="260" t="s">
        <v>801</v>
      </c>
      <c r="P57" s="261" t="s">
        <v>802</v>
      </c>
      <c r="Q57" s="888"/>
      <c r="R57" s="888"/>
      <c r="S57" s="888"/>
      <c r="T57" s="888"/>
      <c r="U57" s="888"/>
      <c r="V57" s="888"/>
      <c r="W57" s="888"/>
      <c r="X57" s="888"/>
      <c r="Y57" s="888"/>
      <c r="Z57" s="888"/>
      <c r="AA57" s="888"/>
      <c r="AB57" s="888"/>
      <c r="AC57" s="888"/>
      <c r="AD57" s="888"/>
      <c r="AE57" s="888"/>
      <c r="AF57" s="888"/>
      <c r="AG57" s="888"/>
      <c r="AH57" s="888"/>
      <c r="AI57" s="888"/>
      <c r="AJ57" s="888"/>
      <c r="AK57" s="888"/>
      <c r="AL57" s="888"/>
    </row>
    <row r="58" spans="1:38" customFormat="1" ht="45" customHeight="1" x14ac:dyDescent="0.45">
      <c r="A58" s="888"/>
      <c r="B58" s="1141" t="s">
        <v>571</v>
      </c>
      <c r="C58" s="1040" t="s">
        <v>1207</v>
      </c>
      <c r="D58" s="1038" t="s">
        <v>1228</v>
      </c>
      <c r="E58" s="1038"/>
      <c r="F58" s="1038" t="s">
        <v>1761</v>
      </c>
      <c r="G58" s="1038" t="s">
        <v>1721</v>
      </c>
      <c r="H58" s="1074" t="s">
        <v>1706</v>
      </c>
      <c r="I58" s="1041" t="s">
        <v>321</v>
      </c>
      <c r="J58" s="1157"/>
      <c r="K58" s="1127"/>
      <c r="L58" s="1127"/>
      <c r="M58" s="1097"/>
      <c r="N58" s="1160">
        <f>0.398922176189231*GWP_N2O</f>
        <v>118.87880850439083</v>
      </c>
      <c r="O58" s="1127"/>
      <c r="P58" s="1094">
        <f>SUM(L58:N58)</f>
        <v>118.87880850439083</v>
      </c>
      <c r="Q58" s="888"/>
      <c r="R58" s="888"/>
      <c r="S58" s="888"/>
      <c r="T58" s="888"/>
      <c r="U58" s="888"/>
      <c r="V58" s="888"/>
      <c r="W58" s="888"/>
      <c r="X58" s="888"/>
      <c r="Y58" s="888"/>
      <c r="Z58" s="888"/>
      <c r="AA58" s="888"/>
      <c r="AB58" s="888"/>
      <c r="AC58" s="888"/>
      <c r="AD58" s="888"/>
      <c r="AE58" s="888"/>
      <c r="AF58" s="888"/>
      <c r="AG58" s="888"/>
      <c r="AH58" s="888"/>
      <c r="AI58" s="888"/>
      <c r="AJ58" s="888"/>
      <c r="AK58" s="888"/>
      <c r="AL58" s="888"/>
    </row>
    <row r="59" spans="1:38" customFormat="1" ht="42.75" x14ac:dyDescent="0.45">
      <c r="A59" s="888"/>
      <c r="B59" s="1142" t="s">
        <v>571</v>
      </c>
      <c r="C59" s="1047" t="s">
        <v>1207</v>
      </c>
      <c r="D59" s="1045" t="s">
        <v>1228</v>
      </c>
      <c r="E59" s="1045"/>
      <c r="F59" s="1045" t="s">
        <v>1762</v>
      </c>
      <c r="G59" s="1045" t="s">
        <v>1722</v>
      </c>
      <c r="H59" s="1077" t="s">
        <v>1706</v>
      </c>
      <c r="I59" s="1048" t="s">
        <v>321</v>
      </c>
      <c r="J59" s="1158"/>
      <c r="K59" s="1135"/>
      <c r="L59" s="1135"/>
      <c r="M59" s="1098"/>
      <c r="N59" s="1161">
        <f>0.89219239379729*GWP_N2O</f>
        <v>265.87333335159241</v>
      </c>
      <c r="O59" s="1135"/>
      <c r="P59" s="1095">
        <f>SUM(L59:N59)</f>
        <v>265.87333335159241</v>
      </c>
      <c r="Q59" s="888"/>
      <c r="R59" s="888"/>
      <c r="S59" s="888"/>
      <c r="T59" s="888"/>
      <c r="U59" s="888"/>
      <c r="V59" s="888"/>
      <c r="W59" s="888"/>
      <c r="X59" s="888"/>
      <c r="Y59" s="888"/>
      <c r="Z59" s="888"/>
      <c r="AA59" s="888"/>
      <c r="AB59" s="888"/>
      <c r="AC59" s="888"/>
      <c r="AD59" s="888"/>
      <c r="AE59" s="888"/>
      <c r="AF59" s="888"/>
      <c r="AG59" s="888"/>
      <c r="AH59" s="888"/>
      <c r="AI59" s="888"/>
      <c r="AJ59" s="888"/>
      <c r="AK59" s="888"/>
      <c r="AL59" s="888"/>
    </row>
    <row r="60" spans="1:38" customFormat="1" ht="45" customHeight="1" x14ac:dyDescent="0.45">
      <c r="A60" s="888"/>
      <c r="B60" s="1142" t="s">
        <v>571</v>
      </c>
      <c r="C60" s="1047" t="s">
        <v>1207</v>
      </c>
      <c r="D60" s="1045" t="s">
        <v>1228</v>
      </c>
      <c r="E60" s="1045"/>
      <c r="F60" s="1045" t="s">
        <v>1763</v>
      </c>
      <c r="G60" s="1045" t="s">
        <v>1714</v>
      </c>
      <c r="H60" s="1077" t="s">
        <v>1706</v>
      </c>
      <c r="I60" s="1048" t="s">
        <v>321</v>
      </c>
      <c r="J60" s="1158"/>
      <c r="K60" s="1135"/>
      <c r="L60" s="1135"/>
      <c r="M60" s="1098"/>
      <c r="N60" s="1161">
        <f>0.377187516718796*GWP_N2O</f>
        <v>112.40187998220121</v>
      </c>
      <c r="O60" s="1135"/>
      <c r="P60" s="1095">
        <f t="shared" ref="P60:P64" si="2">SUM(L60:N60)</f>
        <v>112.40187998220121</v>
      </c>
      <c r="Q60" s="888"/>
      <c r="R60" s="888"/>
      <c r="S60" s="888"/>
      <c r="T60" s="888"/>
      <c r="U60" s="888"/>
      <c r="V60" s="888"/>
      <c r="W60" s="888"/>
      <c r="X60" s="888"/>
      <c r="Y60" s="888"/>
      <c r="Z60" s="888"/>
      <c r="AA60" s="888"/>
      <c r="AB60" s="888"/>
      <c r="AC60" s="888"/>
      <c r="AD60" s="888"/>
      <c r="AE60" s="888"/>
      <c r="AF60" s="888"/>
      <c r="AG60" s="888"/>
      <c r="AH60" s="888"/>
      <c r="AI60" s="888"/>
      <c r="AJ60" s="888"/>
      <c r="AK60" s="888"/>
      <c r="AL60" s="888"/>
    </row>
    <row r="61" spans="1:38" customFormat="1" ht="30" customHeight="1" x14ac:dyDescent="0.45">
      <c r="A61" s="888"/>
      <c r="B61" s="1142" t="s">
        <v>571</v>
      </c>
      <c r="C61" s="1047" t="s">
        <v>1207</v>
      </c>
      <c r="D61" s="1045" t="s">
        <v>1228</v>
      </c>
      <c r="E61" s="1045"/>
      <c r="F61" s="1045" t="s">
        <v>1764</v>
      </c>
      <c r="G61" s="1045" t="s">
        <v>1715</v>
      </c>
      <c r="H61" s="1077" t="s">
        <v>1706</v>
      </c>
      <c r="I61" s="1048" t="s">
        <v>321</v>
      </c>
      <c r="J61" s="1158"/>
      <c r="K61" s="1135"/>
      <c r="L61" s="1135"/>
      <c r="M61" s="1098"/>
      <c r="N61" s="1161">
        <f>0.588947988429019*GWP_N2O</f>
        <v>175.50650055184767</v>
      </c>
      <c r="O61" s="1135"/>
      <c r="P61" s="1095">
        <f t="shared" si="2"/>
        <v>175.50650055184767</v>
      </c>
      <c r="Q61" s="888"/>
      <c r="R61" s="888"/>
      <c r="S61" s="888"/>
      <c r="T61" s="888"/>
      <c r="U61" s="888"/>
      <c r="V61" s="888"/>
      <c r="W61" s="888"/>
      <c r="X61" s="888"/>
      <c r="Y61" s="888"/>
      <c r="Z61" s="888"/>
      <c r="AA61" s="888"/>
      <c r="AB61" s="888"/>
      <c r="AC61" s="888"/>
      <c r="AD61" s="888"/>
      <c r="AE61" s="888"/>
      <c r="AF61" s="888"/>
      <c r="AG61" s="888"/>
      <c r="AH61" s="888"/>
      <c r="AI61" s="888"/>
      <c r="AJ61" s="888"/>
      <c r="AK61" s="888"/>
      <c r="AL61" s="888"/>
    </row>
    <row r="62" spans="1:38" customFormat="1" ht="42.75" x14ac:dyDescent="0.45">
      <c r="A62" s="888"/>
      <c r="B62" s="1142" t="s">
        <v>571</v>
      </c>
      <c r="C62" s="1047" t="s">
        <v>1207</v>
      </c>
      <c r="D62" s="1045" t="s">
        <v>1228</v>
      </c>
      <c r="E62" s="1045"/>
      <c r="F62" s="1045" t="s">
        <v>1765</v>
      </c>
      <c r="G62" s="1045" t="s">
        <v>1716</v>
      </c>
      <c r="H62" s="1077" t="s">
        <v>1706</v>
      </c>
      <c r="I62" s="1048" t="s">
        <v>321</v>
      </c>
      <c r="J62" s="1158"/>
      <c r="K62" s="1135"/>
      <c r="L62" s="1135"/>
      <c r="M62" s="1098"/>
      <c r="N62" s="1161">
        <f>0.441929397904145*GWP_N2O</f>
        <v>131.6949605754352</v>
      </c>
      <c r="O62" s="1135"/>
      <c r="P62" s="1095">
        <f t="shared" si="2"/>
        <v>131.6949605754352</v>
      </c>
      <c r="Q62" s="888"/>
      <c r="R62" s="888"/>
      <c r="S62" s="888"/>
      <c r="T62" s="888"/>
      <c r="U62" s="888"/>
      <c r="V62" s="888"/>
      <c r="W62" s="888"/>
      <c r="X62" s="888"/>
      <c r="Y62" s="888"/>
      <c r="Z62" s="888"/>
      <c r="AA62" s="888"/>
      <c r="AB62" s="888"/>
      <c r="AC62" s="888"/>
      <c r="AD62" s="888"/>
      <c r="AE62" s="888"/>
      <c r="AF62" s="888"/>
      <c r="AG62" s="888"/>
      <c r="AH62" s="888"/>
      <c r="AI62" s="888"/>
      <c r="AJ62" s="888"/>
      <c r="AK62" s="888"/>
      <c r="AL62" s="888"/>
    </row>
    <row r="63" spans="1:38" customFormat="1" ht="42.75" x14ac:dyDescent="0.45">
      <c r="A63" s="888"/>
      <c r="B63" s="1142" t="s">
        <v>571</v>
      </c>
      <c r="C63" s="1047" t="s">
        <v>1207</v>
      </c>
      <c r="D63" s="1045" t="s">
        <v>1228</v>
      </c>
      <c r="E63" s="1045"/>
      <c r="F63" s="1045" t="s">
        <v>1766</v>
      </c>
      <c r="G63" s="1045" t="s">
        <v>1767</v>
      </c>
      <c r="H63" s="1077" t="s">
        <v>1706</v>
      </c>
      <c r="I63" s="1048" t="s">
        <v>321</v>
      </c>
      <c r="J63" s="1158"/>
      <c r="K63" s="1135"/>
      <c r="L63" s="1135"/>
      <c r="M63" s="1098"/>
      <c r="N63" s="1161">
        <f>2.55411788064005*GWP_N2O</f>
        <v>761.12712843073484</v>
      </c>
      <c r="O63" s="1135"/>
      <c r="P63" s="1095">
        <f t="shared" si="2"/>
        <v>761.12712843073484</v>
      </c>
      <c r="Q63" s="888"/>
      <c r="R63" s="888"/>
      <c r="S63" s="888"/>
      <c r="T63" s="888"/>
      <c r="U63" s="888"/>
      <c r="V63" s="888"/>
      <c r="W63" s="888"/>
      <c r="X63" s="888"/>
      <c r="Y63" s="888"/>
      <c r="Z63" s="888"/>
      <c r="AA63" s="888"/>
      <c r="AB63" s="888"/>
      <c r="AC63" s="888"/>
      <c r="AD63" s="888"/>
      <c r="AE63" s="888"/>
      <c r="AF63" s="888"/>
      <c r="AG63" s="888"/>
      <c r="AH63" s="888"/>
      <c r="AI63" s="888"/>
      <c r="AJ63" s="888"/>
      <c r="AK63" s="888"/>
      <c r="AL63" s="888"/>
    </row>
    <row r="64" spans="1:38" customFormat="1" ht="43.15" thickBot="1" x14ac:dyDescent="0.5">
      <c r="A64" s="888"/>
      <c r="B64" s="1143" t="s">
        <v>571</v>
      </c>
      <c r="C64" s="1082" t="s">
        <v>1207</v>
      </c>
      <c r="D64" s="1081" t="s">
        <v>1228</v>
      </c>
      <c r="E64" s="1081"/>
      <c r="F64" s="1081" t="s">
        <v>1768</v>
      </c>
      <c r="G64" s="1081" t="s">
        <v>1769</v>
      </c>
      <c r="H64" s="1083" t="s">
        <v>1706</v>
      </c>
      <c r="I64" s="1144" t="s">
        <v>321</v>
      </c>
      <c r="J64" s="1159"/>
      <c r="K64" s="1137"/>
      <c r="L64" s="1137"/>
      <c r="M64" s="1100"/>
      <c r="N64" s="1162">
        <f>16.3448835688084*GWP_N2O</f>
        <v>4870.7753035049027</v>
      </c>
      <c r="O64" s="1137"/>
      <c r="P64" s="1096">
        <f t="shared" si="2"/>
        <v>4870.7753035049027</v>
      </c>
      <c r="Q64" s="888"/>
      <c r="R64" s="888"/>
      <c r="S64" s="888"/>
      <c r="T64" s="888"/>
      <c r="U64" s="1743"/>
      <c r="V64" s="1743"/>
      <c r="W64" s="1743"/>
      <c r="X64" s="888"/>
      <c r="Y64" s="888"/>
      <c r="Z64" s="888"/>
      <c r="AA64" s="888"/>
      <c r="AB64" s="888"/>
      <c r="AC64" s="888"/>
      <c r="AD64" s="888"/>
      <c r="AE64" s="888"/>
      <c r="AF64" s="888"/>
      <c r="AG64" s="888"/>
      <c r="AH64" s="888"/>
      <c r="AI64" s="888"/>
      <c r="AJ64" s="888"/>
      <c r="AK64" s="888"/>
      <c r="AL64" s="888"/>
    </row>
    <row r="66" spans="16:16" x14ac:dyDescent="0.45">
      <c r="P66" s="1743"/>
    </row>
    <row r="67" spans="16:16" x14ac:dyDescent="0.45">
      <c r="P67" s="1743"/>
    </row>
    <row r="68" spans="16:16" x14ac:dyDescent="0.45">
      <c r="P68" s="1743"/>
    </row>
    <row r="69" spans="16:16" x14ac:dyDescent="0.45">
      <c r="P69" s="1743"/>
    </row>
    <row r="70" spans="16:16" x14ac:dyDescent="0.45">
      <c r="P70" s="1743"/>
    </row>
    <row r="107" spans="3:24" x14ac:dyDescent="0.45">
      <c r="E107" s="1209"/>
      <c r="F107" s="1209"/>
      <c r="G107" s="1209"/>
      <c r="H107" s="1209"/>
      <c r="I107" s="1209"/>
      <c r="J107" s="1209"/>
      <c r="K107" s="1209"/>
      <c r="L107" s="1209"/>
      <c r="M107" s="1209"/>
      <c r="N107" s="1209"/>
      <c r="O107" s="1209"/>
      <c r="P107" s="1209"/>
      <c r="Q107" s="1209"/>
      <c r="R107" s="1209"/>
      <c r="S107" s="1209"/>
      <c r="T107" s="1209"/>
      <c r="U107" s="1209"/>
      <c r="V107" s="1209"/>
      <c r="W107" s="1209"/>
      <c r="X107" s="1209"/>
    </row>
    <row r="108" spans="3:24" x14ac:dyDescent="0.45">
      <c r="E108" s="1209"/>
      <c r="F108" s="1209"/>
      <c r="G108" s="1209"/>
      <c r="H108" s="1209"/>
      <c r="I108" s="1209"/>
      <c r="J108" s="1209"/>
      <c r="K108" s="1209"/>
      <c r="L108" s="1209"/>
      <c r="M108" s="1209"/>
      <c r="N108" s="1209"/>
      <c r="O108" s="1209"/>
      <c r="P108" s="1209"/>
      <c r="Q108" s="1209"/>
      <c r="R108" s="1209"/>
      <c r="S108" s="1209"/>
      <c r="T108" s="1209"/>
      <c r="U108" s="1209"/>
      <c r="V108" s="1209"/>
      <c r="W108" s="1209"/>
      <c r="X108" s="1209"/>
    </row>
    <row r="109" spans="3:24" x14ac:dyDescent="0.45">
      <c r="C109" s="1740"/>
      <c r="D109" s="1740"/>
      <c r="E109" s="1869"/>
      <c r="F109" s="1869"/>
      <c r="G109" s="1869"/>
      <c r="H109" s="1869"/>
      <c r="I109" s="1869"/>
      <c r="J109" s="1869"/>
      <c r="K109" s="1869"/>
      <c r="L109" s="1869"/>
      <c r="M109" s="1869"/>
      <c r="N109" s="1869"/>
      <c r="O109" s="1869"/>
      <c r="P109" s="1869"/>
      <c r="Q109" s="1869"/>
      <c r="R109" s="1869"/>
      <c r="S109" s="1869"/>
      <c r="T109" s="1869"/>
      <c r="U109" s="1869"/>
      <c r="V109" s="1869"/>
      <c r="W109" s="1869"/>
      <c r="X109" s="1869"/>
    </row>
    <row r="110" spans="3:24" x14ac:dyDescent="0.45">
      <c r="C110" s="1740"/>
      <c r="D110" s="1740"/>
      <c r="E110" s="1869"/>
      <c r="F110" s="1869"/>
      <c r="G110" s="1869"/>
      <c r="H110" s="1869"/>
      <c r="I110" s="1869"/>
      <c r="J110" s="1869"/>
      <c r="K110" s="1869"/>
      <c r="L110" s="1869"/>
      <c r="M110" s="1869"/>
      <c r="N110" s="1869"/>
      <c r="O110" s="1869"/>
      <c r="P110" s="1869"/>
      <c r="Q110" s="1869"/>
      <c r="R110" s="1869"/>
      <c r="S110" s="1869"/>
      <c r="T110" s="1869"/>
      <c r="U110" s="1869"/>
      <c r="V110" s="1869"/>
      <c r="W110" s="1869"/>
      <c r="X110" s="1869"/>
    </row>
    <row r="112" spans="3:24" x14ac:dyDescent="0.45">
      <c r="E112" s="1209"/>
      <c r="F112" s="1209"/>
      <c r="G112" s="1209"/>
      <c r="H112" s="1209"/>
      <c r="I112" s="1209"/>
      <c r="J112" s="1209"/>
      <c r="K112" s="1209"/>
      <c r="L112" s="1209"/>
      <c r="M112" s="1209"/>
      <c r="N112" s="1209"/>
      <c r="O112" s="1209"/>
      <c r="P112" s="1209"/>
      <c r="Q112" s="1209"/>
      <c r="R112" s="1209"/>
      <c r="S112" s="1209"/>
      <c r="T112" s="1209"/>
      <c r="U112" s="1209"/>
      <c r="V112" s="1209"/>
      <c r="W112" s="1209"/>
      <c r="X112" s="1209"/>
    </row>
    <row r="113" spans="3:24" x14ac:dyDescent="0.45">
      <c r="E113" s="1209"/>
      <c r="F113" s="1209"/>
      <c r="G113" s="1209"/>
      <c r="H113" s="1209"/>
      <c r="I113" s="1209"/>
      <c r="J113" s="1209"/>
      <c r="K113" s="1209"/>
      <c r="L113" s="1209"/>
      <c r="M113" s="1209"/>
      <c r="N113" s="1209"/>
      <c r="O113" s="1209"/>
      <c r="P113" s="1209"/>
      <c r="Q113" s="1209"/>
      <c r="R113" s="1209"/>
      <c r="S113" s="1209"/>
      <c r="T113" s="1209"/>
      <c r="U113" s="1209"/>
      <c r="V113" s="1209"/>
      <c r="W113" s="1209"/>
      <c r="X113" s="1209"/>
    </row>
    <row r="114" spans="3:24" x14ac:dyDescent="0.45">
      <c r="C114" s="1740"/>
      <c r="D114" s="1740"/>
      <c r="E114" s="1869"/>
      <c r="F114" s="1869"/>
      <c r="G114" s="1869"/>
      <c r="H114" s="1869"/>
      <c r="I114" s="1869"/>
      <c r="J114" s="1869"/>
      <c r="K114" s="1869"/>
      <c r="L114" s="1869"/>
      <c r="M114" s="1869"/>
      <c r="N114" s="1869"/>
      <c r="O114" s="1869"/>
      <c r="P114" s="1869"/>
      <c r="Q114" s="1869"/>
      <c r="R114" s="1869"/>
      <c r="S114" s="1869"/>
      <c r="T114" s="1869"/>
      <c r="U114" s="1869"/>
      <c r="V114" s="1869"/>
      <c r="W114" s="1869"/>
      <c r="X114" s="1869"/>
    </row>
    <row r="115" spans="3:24" s="1207" customFormat="1" x14ac:dyDescent="0.45"/>
    <row r="116" spans="3:24" s="1207" customFormat="1" x14ac:dyDescent="0.45"/>
    <row r="117" spans="3:24" s="1207" customFormat="1" x14ac:dyDescent="0.45"/>
    <row r="118" spans="3:24" s="1207" customFormat="1" x14ac:dyDescent="0.45"/>
    <row r="119" spans="3:24" s="1207" customFormat="1" x14ac:dyDescent="0.45">
      <c r="E119" s="1847"/>
      <c r="F119" s="1847"/>
      <c r="G119" s="1847"/>
      <c r="H119" s="1847"/>
      <c r="I119" s="1847"/>
      <c r="J119" s="1847"/>
      <c r="K119" s="1847"/>
      <c r="L119" s="1847"/>
      <c r="M119" s="1847"/>
      <c r="N119" s="1847"/>
      <c r="O119" s="1847"/>
      <c r="P119" s="1847"/>
      <c r="Q119" s="1847"/>
      <c r="R119" s="1847"/>
      <c r="S119" s="1847"/>
      <c r="T119" s="1847"/>
      <c r="U119" s="1847"/>
      <c r="V119" s="1847"/>
      <c r="W119" s="1847"/>
      <c r="X119" s="1847"/>
    </row>
    <row r="120" spans="3:24" s="1207" customFormat="1" x14ac:dyDescent="0.45">
      <c r="E120" s="1847"/>
      <c r="F120" s="1847"/>
      <c r="G120" s="1847"/>
      <c r="H120" s="1847"/>
      <c r="I120" s="1847"/>
      <c r="J120" s="1847"/>
      <c r="K120" s="1847"/>
      <c r="L120" s="1847"/>
      <c r="M120" s="1847"/>
      <c r="N120" s="1847"/>
      <c r="O120" s="1847"/>
      <c r="P120" s="1847"/>
      <c r="Q120" s="1847"/>
      <c r="R120" s="1847"/>
      <c r="S120" s="1847"/>
      <c r="T120" s="1847"/>
      <c r="U120" s="1847"/>
      <c r="V120" s="1847"/>
      <c r="W120" s="1847"/>
      <c r="X120" s="1847"/>
    </row>
    <row r="121" spans="3:24" s="1207" customFormat="1" x14ac:dyDescent="0.45">
      <c r="C121" s="1832"/>
      <c r="D121" s="1832"/>
      <c r="E121" s="1847"/>
      <c r="F121" s="1847"/>
      <c r="G121" s="1847"/>
      <c r="H121" s="1847"/>
      <c r="I121" s="1847"/>
      <c r="J121" s="1847"/>
      <c r="K121" s="1847"/>
      <c r="L121" s="1847"/>
      <c r="M121" s="1847"/>
      <c r="N121" s="1847"/>
      <c r="O121" s="1847"/>
      <c r="P121" s="1847"/>
      <c r="Q121" s="1847"/>
      <c r="R121" s="1847"/>
      <c r="S121" s="1847"/>
      <c r="T121" s="1847"/>
      <c r="U121" s="1847"/>
      <c r="V121" s="1847"/>
      <c r="W121" s="1847"/>
      <c r="X121" s="1847"/>
    </row>
    <row r="122" spans="3:24" s="1207" customFormat="1" x14ac:dyDescent="0.45">
      <c r="C122" s="1832"/>
      <c r="D122" s="1832"/>
      <c r="E122" s="1870"/>
      <c r="F122" s="1870"/>
      <c r="G122" s="1870"/>
      <c r="H122" s="1870"/>
      <c r="I122" s="1870"/>
      <c r="J122" s="1870"/>
      <c r="K122" s="1870"/>
      <c r="L122" s="1870"/>
      <c r="M122" s="1870"/>
      <c r="N122" s="1870"/>
      <c r="O122" s="1870"/>
      <c r="P122" s="1870"/>
      <c r="Q122" s="1870"/>
      <c r="R122" s="1870"/>
      <c r="S122" s="1870"/>
      <c r="T122" s="1870"/>
      <c r="U122" s="1870"/>
      <c r="V122" s="1870"/>
      <c r="W122" s="1870"/>
      <c r="X122" s="1870"/>
    </row>
    <row r="123" spans="3:24" s="1207" customFormat="1" x14ac:dyDescent="0.45"/>
    <row r="124" spans="3:24" s="1207" customFormat="1" x14ac:dyDescent="0.45">
      <c r="E124" s="1847"/>
      <c r="F124" s="1847"/>
      <c r="G124" s="1847"/>
      <c r="H124" s="1847"/>
      <c r="I124" s="1847"/>
      <c r="J124" s="1847"/>
      <c r="K124" s="1847"/>
      <c r="L124" s="1847"/>
      <c r="M124" s="1847"/>
      <c r="N124" s="1847"/>
      <c r="O124" s="1847"/>
      <c r="P124" s="1847"/>
      <c r="Q124" s="1847"/>
      <c r="R124" s="1847"/>
      <c r="S124" s="1847"/>
      <c r="T124" s="1847"/>
      <c r="U124" s="1847"/>
      <c r="V124" s="1847"/>
      <c r="W124" s="1847"/>
      <c r="X124" s="1847"/>
    </row>
    <row r="125" spans="3:24" s="1207" customFormat="1" x14ac:dyDescent="0.45">
      <c r="E125" s="1847"/>
      <c r="F125" s="1847"/>
      <c r="G125" s="1847"/>
      <c r="H125" s="1847"/>
      <c r="I125" s="1847"/>
      <c r="J125" s="1847"/>
      <c r="K125" s="1847"/>
      <c r="L125" s="1847"/>
      <c r="M125" s="1847"/>
      <c r="N125" s="1847"/>
      <c r="O125" s="1847"/>
      <c r="P125" s="1847"/>
      <c r="Q125" s="1847"/>
      <c r="R125" s="1847"/>
      <c r="S125" s="1847"/>
      <c r="T125" s="1847"/>
      <c r="U125" s="1847"/>
      <c r="V125" s="1847"/>
      <c r="W125" s="1847"/>
      <c r="X125" s="1847"/>
    </row>
    <row r="126" spans="3:24" s="1207" customFormat="1" x14ac:dyDescent="0.45">
      <c r="C126" s="1832"/>
      <c r="D126" s="1832"/>
      <c r="E126" s="1847"/>
      <c r="F126" s="1847"/>
      <c r="G126" s="1847"/>
      <c r="H126" s="1847"/>
      <c r="I126" s="1847"/>
      <c r="J126" s="1847"/>
      <c r="K126" s="1847"/>
      <c r="L126" s="1847"/>
      <c r="M126" s="1847"/>
      <c r="N126" s="1847"/>
      <c r="O126" s="1847"/>
      <c r="P126" s="1847"/>
      <c r="Q126" s="1847"/>
      <c r="R126" s="1847"/>
      <c r="S126" s="1847"/>
      <c r="T126" s="1847"/>
      <c r="U126" s="1847"/>
      <c r="V126" s="1847"/>
      <c r="W126" s="1847"/>
      <c r="X126" s="1847"/>
    </row>
    <row r="127" spans="3:24" s="1207" customFormat="1" x14ac:dyDescent="0.45"/>
    <row r="128" spans="3:24" s="1207" customFormat="1" x14ac:dyDescent="0.45"/>
    <row r="129" spans="3:24" s="1207" customFormat="1" x14ac:dyDescent="0.45">
      <c r="C129" s="1832"/>
      <c r="D129" s="1832"/>
      <c r="E129" s="1832"/>
      <c r="F129" s="1832"/>
      <c r="G129" s="1832"/>
      <c r="H129" s="1832"/>
      <c r="I129" s="1832"/>
      <c r="J129" s="1832"/>
      <c r="K129" s="1832"/>
      <c r="L129" s="1832"/>
      <c r="M129" s="1832"/>
      <c r="N129" s="1832"/>
      <c r="O129" s="1832"/>
      <c r="P129" s="1832"/>
      <c r="Q129" s="1832"/>
      <c r="R129" s="1832"/>
      <c r="S129" s="1832"/>
      <c r="T129" s="1832"/>
      <c r="U129" s="1832"/>
      <c r="V129" s="1832"/>
      <c r="W129" s="1832"/>
      <c r="X129" s="1832"/>
    </row>
    <row r="130" spans="3:24" s="1207" customFormat="1" x14ac:dyDescent="0.45">
      <c r="E130" s="1871"/>
      <c r="F130" s="1871"/>
      <c r="G130" s="1871"/>
      <c r="H130" s="1871"/>
      <c r="I130" s="1871"/>
      <c r="J130" s="1871"/>
      <c r="K130" s="1871"/>
      <c r="L130" s="1871"/>
      <c r="M130" s="1871"/>
      <c r="N130" s="1871"/>
      <c r="O130" s="1871"/>
      <c r="P130" s="1871"/>
      <c r="Q130" s="1871"/>
      <c r="R130" s="1871"/>
      <c r="S130" s="1871"/>
      <c r="T130" s="1871"/>
      <c r="U130" s="1871"/>
      <c r="V130" s="1871"/>
      <c r="W130" s="1871"/>
      <c r="X130" s="1871"/>
    </row>
    <row r="131" spans="3:24" s="1207" customFormat="1" x14ac:dyDescent="0.45">
      <c r="E131" s="1871"/>
      <c r="F131" s="1871"/>
      <c r="G131" s="1871"/>
      <c r="H131" s="1871"/>
      <c r="I131" s="1871"/>
      <c r="J131" s="1871"/>
      <c r="K131" s="1871"/>
      <c r="L131" s="1871"/>
      <c r="M131" s="1871"/>
      <c r="N131" s="1871"/>
      <c r="O131" s="1871"/>
      <c r="P131" s="1871"/>
      <c r="Q131" s="1871"/>
      <c r="R131" s="1871"/>
      <c r="S131" s="1871"/>
      <c r="T131" s="1871"/>
      <c r="U131" s="1871"/>
      <c r="V131" s="1871"/>
      <c r="W131" s="1871"/>
      <c r="X131" s="1871"/>
    </row>
    <row r="132" spans="3:24" s="1207" customFormat="1" x14ac:dyDescent="0.45">
      <c r="E132" s="1871"/>
      <c r="F132" s="1871"/>
      <c r="G132" s="1871"/>
      <c r="H132" s="1871"/>
      <c r="I132" s="1871"/>
      <c r="J132" s="1871"/>
      <c r="K132" s="1871"/>
      <c r="L132" s="1871"/>
      <c r="M132" s="1871"/>
      <c r="N132" s="1871"/>
      <c r="O132" s="1871"/>
      <c r="P132" s="1871"/>
      <c r="Q132" s="1871"/>
      <c r="R132" s="1871"/>
      <c r="S132" s="1871"/>
      <c r="T132" s="1871"/>
      <c r="U132" s="1871"/>
      <c r="V132" s="1871"/>
      <c r="W132" s="1871"/>
      <c r="X132" s="1871"/>
    </row>
    <row r="133" spans="3:24" s="1207" customFormat="1" x14ac:dyDescent="0.45">
      <c r="E133" s="1871"/>
      <c r="F133" s="1871"/>
      <c r="G133" s="1871"/>
      <c r="H133" s="1871"/>
      <c r="I133" s="1871"/>
      <c r="J133" s="1871"/>
      <c r="K133" s="1871"/>
      <c r="L133" s="1871"/>
      <c r="M133" s="1871"/>
      <c r="N133" s="1871"/>
      <c r="O133" s="1871"/>
      <c r="P133" s="1871"/>
      <c r="Q133" s="1871"/>
      <c r="R133" s="1871"/>
      <c r="S133" s="1871"/>
      <c r="T133" s="1871"/>
      <c r="U133" s="1871"/>
      <c r="V133" s="1871"/>
      <c r="W133" s="1871"/>
      <c r="X133" s="1871"/>
    </row>
    <row r="134" spans="3:24" s="1207" customFormat="1" x14ac:dyDescent="0.45">
      <c r="C134" s="1832"/>
      <c r="D134" s="1832"/>
      <c r="E134" s="1870"/>
      <c r="F134" s="1870"/>
      <c r="G134" s="1870"/>
      <c r="H134" s="1870"/>
      <c r="I134" s="1870"/>
      <c r="J134" s="1870"/>
      <c r="K134" s="1870"/>
      <c r="L134" s="1870"/>
      <c r="M134" s="1870"/>
      <c r="N134" s="1870"/>
      <c r="O134" s="1870"/>
      <c r="P134" s="1870"/>
      <c r="Q134" s="1870"/>
      <c r="R134" s="1870"/>
      <c r="S134" s="1870"/>
      <c r="T134" s="1870"/>
      <c r="U134" s="1870"/>
      <c r="V134" s="1870"/>
      <c r="W134" s="1870"/>
      <c r="X134" s="1870"/>
    </row>
    <row r="135" spans="3:24" s="1207" customFormat="1" x14ac:dyDescent="0.45">
      <c r="E135" s="1871"/>
      <c r="F135" s="1871"/>
      <c r="G135" s="1871"/>
      <c r="H135" s="1871"/>
      <c r="I135" s="1871"/>
      <c r="J135" s="1871"/>
      <c r="K135" s="1871"/>
      <c r="L135" s="1871"/>
      <c r="M135" s="1871"/>
      <c r="N135" s="1871"/>
      <c r="O135" s="1871"/>
      <c r="P135" s="1871"/>
      <c r="Q135" s="1871"/>
      <c r="R135" s="1871"/>
      <c r="S135" s="1871"/>
      <c r="T135" s="1871"/>
      <c r="U135" s="1871"/>
      <c r="V135" s="1871"/>
      <c r="W135" s="1871"/>
      <c r="X135" s="1871"/>
    </row>
    <row r="136" spans="3:24" s="1207" customFormat="1" x14ac:dyDescent="0.45">
      <c r="E136" s="1871"/>
      <c r="F136" s="1871"/>
      <c r="G136" s="1871"/>
      <c r="H136" s="1871"/>
      <c r="I136" s="1871"/>
      <c r="J136" s="1871"/>
      <c r="K136" s="1871"/>
      <c r="L136" s="1871"/>
      <c r="M136" s="1871"/>
      <c r="N136" s="1871"/>
      <c r="O136" s="1871"/>
      <c r="P136" s="1871"/>
      <c r="Q136" s="1871"/>
      <c r="R136" s="1871"/>
      <c r="S136" s="1871"/>
      <c r="T136" s="1871"/>
      <c r="U136" s="1871"/>
      <c r="V136" s="1871"/>
      <c r="W136" s="1871"/>
      <c r="X136" s="1871"/>
    </row>
    <row r="137" spans="3:24" s="1207" customFormat="1" x14ac:dyDescent="0.45">
      <c r="E137" s="1871"/>
      <c r="F137" s="1871"/>
      <c r="G137" s="1871"/>
      <c r="H137" s="1871"/>
      <c r="I137" s="1871"/>
      <c r="J137" s="1871"/>
      <c r="K137" s="1871"/>
      <c r="L137" s="1871"/>
      <c r="M137" s="1871"/>
      <c r="N137" s="1871"/>
      <c r="O137" s="1871"/>
      <c r="P137" s="1871"/>
      <c r="Q137" s="1871"/>
      <c r="R137" s="1871"/>
      <c r="S137" s="1871"/>
      <c r="T137" s="1871"/>
      <c r="U137" s="1871"/>
      <c r="V137" s="1871"/>
      <c r="W137" s="1871"/>
      <c r="X137" s="1871"/>
    </row>
    <row r="138" spans="3:24" s="1207" customFormat="1" x14ac:dyDescent="0.45">
      <c r="C138" s="1832"/>
      <c r="D138" s="1832"/>
      <c r="E138" s="1870"/>
      <c r="F138" s="1870"/>
      <c r="G138" s="1870"/>
      <c r="H138" s="1870"/>
      <c r="I138" s="1870"/>
      <c r="J138" s="1870"/>
      <c r="K138" s="1870"/>
      <c r="L138" s="1870"/>
      <c r="M138" s="1870"/>
      <c r="N138" s="1870"/>
      <c r="O138" s="1870"/>
      <c r="P138" s="1870"/>
      <c r="Q138" s="1870"/>
      <c r="R138" s="1870"/>
      <c r="S138" s="1870"/>
      <c r="T138" s="1870"/>
      <c r="U138" s="1870"/>
      <c r="V138" s="1870"/>
      <c r="W138" s="1870"/>
      <c r="X138" s="1870"/>
    </row>
    <row r="139" spans="3:24" s="1207" customFormat="1" x14ac:dyDescent="0.45">
      <c r="E139" s="1871"/>
      <c r="F139" s="1871"/>
      <c r="G139" s="1871"/>
      <c r="H139" s="1871"/>
      <c r="I139" s="1871"/>
      <c r="J139" s="1871"/>
      <c r="K139" s="1871"/>
      <c r="L139" s="1871"/>
      <c r="M139" s="1871"/>
      <c r="N139" s="1871"/>
      <c r="O139" s="1871"/>
      <c r="P139" s="1871"/>
      <c r="Q139" s="1871"/>
      <c r="R139" s="1871"/>
      <c r="S139" s="1871"/>
      <c r="T139" s="1871"/>
      <c r="U139" s="1871"/>
      <c r="V139" s="1871"/>
      <c r="W139" s="1871"/>
      <c r="X139" s="1871"/>
    </row>
    <row r="140" spans="3:24" s="1207" customFormat="1" x14ac:dyDescent="0.45">
      <c r="E140" s="1871"/>
      <c r="F140" s="1871"/>
      <c r="G140" s="1871"/>
      <c r="H140" s="1871"/>
      <c r="I140" s="1871"/>
      <c r="J140" s="1871"/>
      <c r="K140" s="1871"/>
      <c r="L140" s="1871"/>
      <c r="M140" s="1871"/>
      <c r="N140" s="1871"/>
      <c r="O140" s="1871"/>
      <c r="P140" s="1871"/>
      <c r="Q140" s="1871"/>
      <c r="R140" s="1871"/>
      <c r="S140" s="1871"/>
      <c r="T140" s="1871"/>
      <c r="U140" s="1871"/>
      <c r="V140" s="1871"/>
      <c r="W140" s="1871"/>
      <c r="X140" s="1871"/>
    </row>
    <row r="141" spans="3:24" s="1207" customFormat="1" x14ac:dyDescent="0.45">
      <c r="E141" s="1871"/>
      <c r="F141" s="1871"/>
      <c r="G141" s="1871"/>
      <c r="H141" s="1871"/>
      <c r="I141" s="1871"/>
      <c r="J141" s="1871"/>
      <c r="K141" s="1871"/>
      <c r="L141" s="1871"/>
      <c r="M141" s="1871"/>
      <c r="N141" s="1871"/>
      <c r="O141" s="1871"/>
      <c r="P141" s="1871"/>
      <c r="Q141" s="1871"/>
      <c r="R141" s="1871"/>
      <c r="S141" s="1871"/>
      <c r="T141" s="1871"/>
      <c r="U141" s="1871"/>
      <c r="V141" s="1871"/>
      <c r="W141" s="1871"/>
      <c r="X141" s="1871"/>
    </row>
    <row r="142" spans="3:24" s="1207" customFormat="1" x14ac:dyDescent="0.45">
      <c r="E142" s="1871"/>
      <c r="F142" s="1871"/>
      <c r="G142" s="1871"/>
      <c r="H142" s="1871"/>
      <c r="I142" s="1871"/>
      <c r="J142" s="1871"/>
      <c r="K142" s="1871"/>
      <c r="L142" s="1871"/>
      <c r="M142" s="1871"/>
      <c r="N142" s="1871"/>
      <c r="O142" s="1871"/>
      <c r="P142" s="1871"/>
      <c r="Q142" s="1871"/>
      <c r="R142" s="1871"/>
      <c r="S142" s="1871"/>
      <c r="T142" s="1871"/>
      <c r="U142" s="1871"/>
      <c r="V142" s="1871"/>
      <c r="W142" s="1871"/>
      <c r="X142" s="1871"/>
    </row>
    <row r="143" spans="3:24" s="1207" customFormat="1" x14ac:dyDescent="0.45">
      <c r="E143" s="1871"/>
      <c r="F143" s="1871"/>
      <c r="G143" s="1871"/>
      <c r="H143" s="1871"/>
      <c r="I143" s="1871"/>
      <c r="J143" s="1871"/>
      <c r="K143" s="1871"/>
      <c r="L143" s="1871"/>
      <c r="M143" s="1871"/>
      <c r="N143" s="1871"/>
      <c r="O143" s="1871"/>
      <c r="P143" s="1871"/>
      <c r="Q143" s="1871"/>
      <c r="R143" s="1871"/>
      <c r="S143" s="1871"/>
      <c r="T143" s="1871"/>
      <c r="U143" s="1871"/>
      <c r="V143" s="1871"/>
      <c r="W143" s="1871"/>
      <c r="X143" s="1871"/>
    </row>
    <row r="144" spans="3:24" s="1207" customFormat="1" x14ac:dyDescent="0.45">
      <c r="E144" s="1871"/>
      <c r="F144" s="1871"/>
      <c r="G144" s="1871"/>
      <c r="H144" s="1871"/>
      <c r="I144" s="1871"/>
      <c r="J144" s="1871"/>
      <c r="K144" s="1871"/>
      <c r="L144" s="1871"/>
      <c r="M144" s="1871"/>
      <c r="N144" s="1871"/>
      <c r="O144" s="1871"/>
      <c r="P144" s="1871"/>
      <c r="Q144" s="1871"/>
      <c r="R144" s="1871"/>
      <c r="S144" s="1871"/>
      <c r="T144" s="1871"/>
      <c r="U144" s="1871"/>
      <c r="V144" s="1871"/>
      <c r="W144" s="1871"/>
      <c r="X144" s="1871"/>
    </row>
    <row r="145" spans="3:24" s="1207" customFormat="1" x14ac:dyDescent="0.45">
      <c r="E145" s="1871"/>
      <c r="F145" s="1871"/>
      <c r="G145" s="1871"/>
      <c r="H145" s="1871"/>
      <c r="I145" s="1871"/>
      <c r="J145" s="1871"/>
      <c r="K145" s="1871"/>
      <c r="L145" s="1871"/>
      <c r="M145" s="1871"/>
      <c r="N145" s="1871"/>
      <c r="O145" s="1871"/>
      <c r="P145" s="1871"/>
      <c r="Q145" s="1871"/>
      <c r="R145" s="1871"/>
      <c r="S145" s="1871"/>
      <c r="T145" s="1871"/>
      <c r="U145" s="1871"/>
      <c r="V145" s="1871"/>
      <c r="W145" s="1871"/>
      <c r="X145" s="1871"/>
    </row>
    <row r="146" spans="3:24" s="1207" customFormat="1" x14ac:dyDescent="0.45">
      <c r="E146" s="1871"/>
      <c r="F146" s="1871"/>
      <c r="G146" s="1871"/>
      <c r="H146" s="1871"/>
      <c r="I146" s="1871"/>
      <c r="J146" s="1871"/>
      <c r="K146" s="1871"/>
      <c r="L146" s="1871"/>
      <c r="M146" s="1871"/>
      <c r="N146" s="1871"/>
      <c r="O146" s="1871"/>
      <c r="P146" s="1871"/>
      <c r="Q146" s="1871"/>
      <c r="R146" s="1871"/>
      <c r="S146" s="1871"/>
      <c r="T146" s="1871"/>
      <c r="U146" s="1871"/>
      <c r="V146" s="1871"/>
      <c r="W146" s="1871"/>
      <c r="X146" s="1871"/>
    </row>
    <row r="147" spans="3:24" s="1207" customFormat="1" x14ac:dyDescent="0.45">
      <c r="E147" s="1871"/>
      <c r="F147" s="1871"/>
      <c r="G147" s="1871"/>
      <c r="H147" s="1871"/>
      <c r="I147" s="1871"/>
      <c r="J147" s="1871"/>
      <c r="K147" s="1871"/>
      <c r="L147" s="1871"/>
      <c r="M147" s="1871"/>
      <c r="N147" s="1871"/>
      <c r="O147" s="1871"/>
      <c r="P147" s="1871"/>
      <c r="Q147" s="1871"/>
      <c r="R147" s="1871"/>
      <c r="S147" s="1871"/>
      <c r="T147" s="1871"/>
      <c r="U147" s="1871"/>
      <c r="V147" s="1871"/>
      <c r="W147" s="1871"/>
      <c r="X147" s="1871"/>
    </row>
    <row r="148" spans="3:24" s="1207" customFormat="1" x14ac:dyDescent="0.45">
      <c r="E148" s="1871"/>
      <c r="F148" s="1871"/>
      <c r="G148" s="1871"/>
      <c r="H148" s="1871"/>
      <c r="I148" s="1871"/>
      <c r="J148" s="1871"/>
      <c r="K148" s="1871"/>
      <c r="L148" s="1871"/>
      <c r="M148" s="1871"/>
      <c r="N148" s="1871"/>
      <c r="O148" s="1871"/>
      <c r="P148" s="1871"/>
      <c r="Q148" s="1871"/>
      <c r="R148" s="1871"/>
      <c r="S148" s="1871"/>
      <c r="T148" s="1871"/>
      <c r="U148" s="1871"/>
      <c r="V148" s="1871"/>
      <c r="W148" s="1871"/>
      <c r="X148" s="1871"/>
    </row>
    <row r="149" spans="3:24" s="1207" customFormat="1" x14ac:dyDescent="0.45">
      <c r="E149" s="1871"/>
      <c r="F149" s="1871"/>
      <c r="G149" s="1871"/>
      <c r="H149" s="1871"/>
      <c r="I149" s="1871"/>
      <c r="J149" s="1871"/>
      <c r="K149" s="1871"/>
      <c r="L149" s="1871"/>
      <c r="M149" s="1871"/>
      <c r="N149" s="1871"/>
      <c r="O149" s="1871"/>
      <c r="P149" s="1871"/>
      <c r="Q149" s="1871"/>
      <c r="R149" s="1871"/>
      <c r="S149" s="1871"/>
      <c r="T149" s="1871"/>
      <c r="U149" s="1871"/>
      <c r="V149" s="1871"/>
      <c r="W149" s="1871"/>
      <c r="X149" s="1871"/>
    </row>
    <row r="150" spans="3:24" s="1207" customFormat="1" x14ac:dyDescent="0.45">
      <c r="C150" s="1832"/>
      <c r="D150" s="1832"/>
      <c r="E150" s="1870"/>
      <c r="F150" s="1870"/>
      <c r="G150" s="1870"/>
      <c r="H150" s="1870"/>
      <c r="I150" s="1870"/>
      <c r="J150" s="1870"/>
      <c r="K150" s="1870"/>
      <c r="L150" s="1870"/>
      <c r="M150" s="1870"/>
      <c r="N150" s="1870"/>
      <c r="O150" s="1870"/>
      <c r="P150" s="1870"/>
      <c r="Q150" s="1870"/>
      <c r="R150" s="1870"/>
      <c r="S150" s="1870"/>
      <c r="T150" s="1870"/>
      <c r="U150" s="1870"/>
      <c r="V150" s="1870"/>
      <c r="W150" s="1870"/>
      <c r="X150" s="1870"/>
    </row>
    <row r="151" spans="3:24" s="1207" customFormat="1" x14ac:dyDescent="0.45"/>
    <row r="152" spans="3:24" s="1207" customFormat="1" x14ac:dyDescent="0.45"/>
    <row r="153" spans="3:24" s="1207" customFormat="1" x14ac:dyDescent="0.45"/>
    <row r="154" spans="3:24" s="1207" customFormat="1" x14ac:dyDescent="0.45"/>
    <row r="155" spans="3:24" s="1207" customFormat="1" x14ac:dyDescent="0.45"/>
  </sheetData>
  <sheetProtection algorithmName="SHA-512" hashValue="pLB2rJsNKphLzL2ynOyXSCdpIYQ/WYwq6+MaVKzPvPswlElm2+LKHZDTHQBK9iVQ0hVE8GU1fIscTXRycNfCzg==" saltValue="Z6pPMBYofS9XPoj+V8XX4A==" spinCount="100000" sheet="1" objects="1" scenarios="1"/>
  <mergeCells count="2">
    <mergeCell ref="L27:N27"/>
    <mergeCell ref="L10:N10"/>
  </mergeCells>
  <dataValidations count="2">
    <dataValidation type="list" allowBlank="1" showInputMessage="1" showErrorMessage="1" sqref="M6" xr:uid="{00000000-0002-0000-0A00-000000000000}">
      <formula1>#REF!</formula1>
    </dataValidation>
    <dataValidation type="list" allowBlank="1" showInputMessage="1" showErrorMessage="1" sqref="E6:I6" xr:uid="{00000000-0002-0000-0A00-000001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A00-000002000000}">
          <x14:formula1>
            <xm:f>Lookups!$K$32:$K$33</xm:f>
          </x14:formula1>
          <xm:sqref>H12:H22</xm:sqref>
        </x14:dataValidation>
        <x14:dataValidation type="list" allowBlank="1" showInputMessage="1" showErrorMessage="1" xr:uid="{00000000-0002-0000-0A00-000003000000}">
          <x14:formula1>
            <xm:f>Lookups!$B$4:$B$8</xm:f>
          </x14:formula1>
          <xm:sqref>B4</xm:sqref>
        </x14:dataValidation>
        <x14:dataValidation type="list" allowBlank="1" showInputMessage="1" showErrorMessage="1" xr:uid="{00000000-0002-0000-0A00-000004000000}">
          <x14:formula1>
            <xm:f>Lookups!$J$32</xm:f>
          </x14:formula1>
          <xm:sqref>B12:B22 B29:B44 B51 B58:B64</xm:sqref>
        </x14:dataValidation>
        <x14:dataValidation type="list" allowBlank="1" showInputMessage="1" showErrorMessage="1" xr:uid="{00000000-0002-0000-0A00-000005000000}">
          <x14:formula1>
            <xm:f>Lookups!$L$32:$L$35</xm:f>
          </x14:formula1>
          <xm:sqref>C12:C22 C29:C44 C51 C58:C64</xm:sqref>
        </x14:dataValidation>
        <x14:dataValidation type="list" allowBlank="1" showInputMessage="1" showErrorMessage="1" xr:uid="{00000000-0002-0000-0A00-000006000000}">
          <x14:formula1>
            <xm:f>Lookups!$M$32:$M$35</xm:f>
          </x14:formula1>
          <xm:sqref>D12:D22 D29:D44 D51 D58:D64</xm:sqref>
        </x14:dataValidation>
        <x14:dataValidation type="list" allowBlank="1" showInputMessage="1" showErrorMessage="1" xr:uid="{00000000-0002-0000-0A00-000007000000}">
          <x14:formula1>
            <xm:f>Lookups!$P$32:$P$34</xm:f>
          </x14:formula1>
          <xm:sqref>E12:E22 E29:E44 E51 E58:E64</xm:sqref>
        </x14:dataValidation>
        <x14:dataValidation type="list" allowBlank="1" showInputMessage="1" showErrorMessage="1" xr:uid="{00000000-0002-0000-0A00-000008000000}">
          <x14:formula1>
            <xm:f>Lookups!$C$4:$C$7</xm:f>
          </x14:formula1>
          <xm:sqref>I12:I22 I29:I44 I51 I58:I64</xm:sqref>
        </x14:dataValidation>
        <x14:dataValidation type="list" allowBlank="1" showInputMessage="1" showErrorMessage="1" xr:uid="{00000000-0002-0000-0A00-000009000000}">
          <x14:formula1>
            <xm:f>Lookups!$A$4:$A$8</xm:f>
          </x14:formula1>
          <xm:sqref>J12:J22 J29:J44 J51 J58:J64</xm:sqref>
        </x14:dataValidation>
        <x14:dataValidation type="list" allowBlank="1" showInputMessage="1" showErrorMessage="1" xr:uid="{00000000-0002-0000-0A00-00000A000000}">
          <x14:formula1>
            <xm:f>Lookups!$BW$4:$BW$22</xm:f>
          </x14:formula1>
          <xm:sqref>F51</xm:sqref>
        </x14:dataValidation>
        <x14:dataValidation type="list" allowBlank="1" showInputMessage="1" showErrorMessage="1" xr:uid="{00000000-0002-0000-0A00-00000B000000}">
          <x14:formula1>
            <xm:f>Lookups!$BX$4:$BX$21</xm:f>
          </x14:formula1>
          <xm:sqref>G51</xm:sqref>
        </x14:dataValidation>
        <x14:dataValidation type="list" allowBlank="1" showInputMessage="1" showErrorMessage="1" xr:uid="{00000000-0002-0000-0A00-00000C000000}">
          <x14:formula1>
            <xm:f>Lookups!$BS$4:$BS$29</xm:f>
          </x14:formula1>
          <xm:sqref>F12:F22</xm:sqref>
        </x14:dataValidation>
        <x14:dataValidation type="list" allowBlank="1" showInputMessage="1" showErrorMessage="1" xr:uid="{00000000-0002-0000-0A00-00000D000000}">
          <x14:formula1>
            <xm:f>Lookups!$BT$4:$BT$29</xm:f>
          </x14:formula1>
          <xm:sqref>G12:G22</xm:sqref>
        </x14:dataValidation>
        <x14:dataValidation type="list" allowBlank="1" showInputMessage="1" showErrorMessage="1" xr:uid="{00000000-0002-0000-0A00-00000E000000}">
          <x14:formula1>
            <xm:f>Lookups!$BY$4:$BY$11</xm:f>
          </x14:formula1>
          <xm:sqref>F58:F64</xm:sqref>
        </x14:dataValidation>
        <x14:dataValidation type="list" allowBlank="1" showInputMessage="1" showErrorMessage="1" xr:uid="{00000000-0002-0000-0A00-00000F000000}">
          <x14:formula1>
            <xm:f>Lookups!$BZ$4:$BZ$11</xm:f>
          </x14:formula1>
          <xm:sqref>G58:G64</xm:sqref>
        </x14:dataValidation>
        <x14:dataValidation type="list" allowBlank="1" showInputMessage="1" showErrorMessage="1" xr:uid="{00000000-0002-0000-0A00-000010000000}">
          <x14:formula1>
            <xm:f>Lookups!$BU$4:$BU$53</xm:f>
          </x14:formula1>
          <xm:sqref>F29:F44</xm:sqref>
        </x14:dataValidation>
        <x14:dataValidation type="list" allowBlank="1" showInputMessage="1" showErrorMessage="1" xr:uid="{00000000-0002-0000-0A00-000011000000}">
          <x14:formula1>
            <xm:f>Lookups!$BV$4:$BV$53</xm:f>
          </x14:formula1>
          <xm:sqref>G29:G44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CCFFFF"/>
  </sheetPr>
  <dimension ref="A1:AGE323"/>
  <sheetViews>
    <sheetView topLeftCell="L1" zoomScaleNormal="100" workbookViewId="0">
      <selection activeCell="A16" sqref="A16:XFD16"/>
    </sheetView>
  </sheetViews>
  <sheetFormatPr defaultColWidth="9.1328125" defaultRowHeight="14.25" x14ac:dyDescent="0.45"/>
  <cols>
    <col min="1" max="2" width="9.1328125" style="1873"/>
    <col min="3" max="3" width="15.265625" style="1912" customWidth="1"/>
    <col min="4" max="4" width="15" style="1912" customWidth="1"/>
    <col min="5" max="5" width="13" style="1912" customWidth="1"/>
    <col min="6" max="6" width="18" style="1912" customWidth="1"/>
    <col min="7" max="7" width="12.86328125" style="1912" customWidth="1"/>
    <col min="8" max="8" width="16.73046875" style="1912" customWidth="1"/>
    <col min="9" max="9" width="14" style="1912" customWidth="1"/>
    <col min="10" max="10" width="12.265625" style="1912" customWidth="1"/>
    <col min="11" max="11" width="12.73046875" style="1873" customWidth="1"/>
    <col min="12" max="12" width="21" style="1873" customWidth="1"/>
    <col min="13" max="13" width="14.73046875" style="1873" customWidth="1"/>
    <col min="14" max="14" width="17.1328125" style="1873" customWidth="1"/>
    <col min="15" max="15" width="14.73046875" style="1873" customWidth="1"/>
    <col min="16" max="16" width="18.265625" style="1873" customWidth="1"/>
    <col min="17" max="17" width="14" style="1873" customWidth="1"/>
    <col min="18" max="18" width="29.3984375" style="1873" customWidth="1"/>
    <col min="19" max="19" width="20.59765625" style="1873" customWidth="1"/>
    <col min="20" max="20" width="19.59765625" style="1873" customWidth="1"/>
    <col min="21" max="22" width="9.1328125" style="1873"/>
    <col min="23" max="23" width="12.86328125" style="1873" bestFit="1" customWidth="1"/>
    <col min="24" max="16384" width="9.1328125" style="1873"/>
  </cols>
  <sheetData>
    <row r="1" spans="1:863" s="888" customFormat="1" ht="14.65" thickTop="1" x14ac:dyDescent="0.45">
      <c r="A1" s="999"/>
      <c r="B1" s="1000"/>
      <c r="C1" s="1000"/>
      <c r="D1" s="1001"/>
    </row>
    <row r="2" spans="1:863" s="888" customFormat="1" x14ac:dyDescent="0.45">
      <c r="A2" s="1002" t="s">
        <v>380</v>
      </c>
      <c r="B2" s="1003" t="s">
        <v>227</v>
      </c>
      <c r="C2" s="887"/>
      <c r="D2" s="1004"/>
    </row>
    <row r="3" spans="1:863" s="888" customFormat="1" x14ac:dyDescent="0.45">
      <c r="A3" s="1002" t="s">
        <v>568</v>
      </c>
      <c r="B3" s="1003">
        <v>2018</v>
      </c>
      <c r="C3" s="887"/>
      <c r="D3" s="1004"/>
    </row>
    <row r="4" spans="1:863" s="888" customFormat="1" x14ac:dyDescent="0.45">
      <c r="A4" s="1005" t="s">
        <v>397</v>
      </c>
      <c r="B4" s="1006" t="s">
        <v>309</v>
      </c>
      <c r="C4" s="259"/>
      <c r="D4" s="1007"/>
      <c r="G4" s="1736"/>
      <c r="H4" s="1736"/>
      <c r="I4" s="1736"/>
      <c r="J4" s="1736"/>
      <c r="K4" s="1736"/>
      <c r="L4" s="1736"/>
      <c r="M4" s="1736"/>
      <c r="N4" s="1736"/>
      <c r="O4" s="1736"/>
      <c r="P4" s="1736"/>
      <c r="Q4" s="1736"/>
      <c r="R4" s="1736"/>
      <c r="S4" s="1736"/>
      <c r="T4" s="1736"/>
      <c r="U4" s="1736"/>
      <c r="V4" s="1737"/>
      <c r="W4" s="1207"/>
      <c r="X4" s="1207"/>
      <c r="Y4" s="1207"/>
      <c r="Z4" s="1207"/>
      <c r="AA4" s="1207"/>
      <c r="AB4" s="1207"/>
      <c r="AC4" s="1207"/>
      <c r="AD4" s="1207"/>
      <c r="AE4" s="1207"/>
      <c r="AF4" s="1207"/>
      <c r="AG4" s="1207"/>
      <c r="AH4" s="1207"/>
      <c r="AI4" s="1207"/>
      <c r="AJ4" s="1207"/>
      <c r="AK4" s="1207"/>
      <c r="AL4" s="1207"/>
      <c r="AM4" s="1207"/>
      <c r="AN4" s="1207"/>
    </row>
    <row r="5" spans="1:863" s="888" customFormat="1" x14ac:dyDescent="0.45">
      <c r="A5" s="2044" t="s">
        <v>2319</v>
      </c>
      <c r="B5" s="259"/>
      <c r="C5" s="259"/>
      <c r="D5" s="1007"/>
      <c r="G5" s="1736"/>
      <c r="H5" s="1736"/>
      <c r="I5" s="1736"/>
      <c r="J5" s="1736"/>
      <c r="K5" s="1736"/>
      <c r="L5" s="1736"/>
      <c r="M5" s="1736"/>
      <c r="N5" s="1736"/>
      <c r="O5" s="1736"/>
      <c r="P5" s="1736"/>
      <c r="Q5" s="1736"/>
      <c r="R5" s="1736"/>
      <c r="S5" s="1736"/>
      <c r="T5" s="1736"/>
      <c r="U5" s="1736"/>
      <c r="V5" s="1737"/>
      <c r="W5" s="1737"/>
      <c r="X5" s="1737"/>
      <c r="Y5" s="1737"/>
      <c r="Z5" s="1737"/>
      <c r="AA5" s="1737"/>
      <c r="AB5" s="1737"/>
      <c r="AC5" s="1737"/>
      <c r="AD5" s="1737"/>
      <c r="AE5" s="1737"/>
      <c r="AF5" s="1737"/>
      <c r="AG5" s="1737"/>
      <c r="AH5" s="1737"/>
      <c r="AI5" s="1737"/>
      <c r="AJ5" s="1737"/>
      <c r="AK5" s="1737"/>
      <c r="AL5" s="1737"/>
      <c r="AM5" s="1737"/>
      <c r="AN5" s="1737"/>
    </row>
    <row r="6" spans="1:863" s="888" customFormat="1" ht="15.4" thickBot="1" x14ac:dyDescent="0.55000000000000004">
      <c r="A6" s="2045" t="s">
        <v>2320</v>
      </c>
      <c r="B6" s="1008"/>
      <c r="C6" s="1009"/>
      <c r="D6" s="1010"/>
      <c r="G6" s="1738"/>
      <c r="H6" s="1738"/>
      <c r="I6" s="1737"/>
      <c r="J6" s="1737"/>
      <c r="K6" s="1737"/>
      <c r="L6" s="1737"/>
      <c r="M6" s="1737"/>
      <c r="N6" s="1737"/>
      <c r="O6" s="1872"/>
      <c r="P6" s="1737"/>
      <c r="Q6" s="1737"/>
      <c r="R6" s="1737"/>
      <c r="S6" s="1760"/>
      <c r="T6" s="1737"/>
      <c r="U6" s="1737"/>
      <c r="V6" s="1737"/>
      <c r="W6" s="1737"/>
      <c r="X6" s="1737"/>
      <c r="Y6" s="1737"/>
      <c r="Z6" s="1737"/>
      <c r="AA6" s="1737"/>
      <c r="AB6" s="1737"/>
      <c r="AC6" s="1737"/>
      <c r="AD6" s="1737"/>
      <c r="AE6" s="1737"/>
      <c r="AF6" s="1737"/>
      <c r="AG6" s="1737"/>
      <c r="AH6" s="1737"/>
      <c r="AI6" s="1737"/>
      <c r="AJ6" s="1737"/>
      <c r="AK6" s="1737"/>
      <c r="AL6" s="1737"/>
      <c r="AM6" s="1737"/>
      <c r="AN6" s="1207"/>
    </row>
    <row r="7" spans="1:863" s="888" customFormat="1" ht="15.75" thickTop="1" thickBot="1" x14ac:dyDescent="0.55000000000000004">
      <c r="C7" s="1737"/>
      <c r="D7" s="1737"/>
      <c r="E7" s="1738"/>
      <c r="F7" s="1738"/>
      <c r="G7" s="1738"/>
      <c r="H7" s="1738"/>
      <c r="I7" s="1737"/>
      <c r="J7" s="1737"/>
      <c r="K7" s="1737"/>
      <c r="L7" s="1737"/>
      <c r="M7" s="1737"/>
      <c r="N7" s="1737"/>
      <c r="O7" s="1872"/>
      <c r="P7" s="1737"/>
      <c r="Q7" s="1737"/>
      <c r="R7" s="1737"/>
      <c r="S7" s="1760"/>
      <c r="T7" s="1737"/>
      <c r="U7" s="1737"/>
      <c r="V7" s="1737"/>
      <c r="W7" s="1737"/>
      <c r="X7" s="1737"/>
      <c r="Y7" s="1737"/>
      <c r="Z7" s="1737"/>
      <c r="AA7" s="1737"/>
      <c r="AB7" s="1737"/>
      <c r="AC7" s="1737"/>
      <c r="AD7" s="1737"/>
      <c r="AE7" s="1737"/>
      <c r="AF7" s="1737"/>
      <c r="AG7" s="1737"/>
      <c r="AH7" s="1737"/>
      <c r="AI7" s="1737"/>
      <c r="AJ7" s="1737"/>
      <c r="AK7" s="1737"/>
      <c r="AL7" s="1737"/>
      <c r="AM7" s="1737"/>
      <c r="AN7" s="1207"/>
    </row>
    <row r="8" spans="1:863" s="888" customFormat="1" ht="15" thickBot="1" x14ac:dyDescent="0.5">
      <c r="B8" s="702" t="s">
        <v>1490</v>
      </c>
      <c r="C8" s="709"/>
      <c r="D8" s="243"/>
      <c r="E8" s="244"/>
      <c r="F8" s="245"/>
      <c r="G8" s="245"/>
      <c r="H8" s="245"/>
      <c r="I8" s="245"/>
      <c r="J8" s="246"/>
      <c r="K8" s="251"/>
      <c r="L8" s="2393" t="s">
        <v>881</v>
      </c>
      <c r="M8" s="2401"/>
      <c r="N8" s="2401"/>
      <c r="O8" s="252"/>
      <c r="P8" s="253"/>
      <c r="Q8" s="1737"/>
      <c r="R8" s="1737"/>
      <c r="S8" s="1760"/>
      <c r="T8" s="1737"/>
      <c r="U8" s="1737"/>
      <c r="V8" s="1737"/>
      <c r="W8" s="1737"/>
      <c r="X8" s="1737"/>
      <c r="Y8" s="1737"/>
      <c r="Z8" s="1737"/>
      <c r="AA8" s="1737"/>
      <c r="AB8" s="1737"/>
      <c r="AC8" s="1737"/>
      <c r="AD8" s="1737"/>
      <c r="AE8" s="1737"/>
      <c r="AF8" s="1737"/>
      <c r="AG8" s="1737"/>
      <c r="AH8" s="1737"/>
      <c r="AI8" s="1737"/>
      <c r="AJ8" s="1737"/>
      <c r="AK8" s="1737"/>
      <c r="AL8" s="1737"/>
      <c r="AM8" s="1737"/>
      <c r="AN8" s="1737"/>
      <c r="AO8" s="1737"/>
      <c r="AP8" s="1737"/>
      <c r="AQ8" s="1737"/>
      <c r="AR8" s="1737"/>
      <c r="AS8" s="1737"/>
      <c r="AT8" s="1737"/>
      <c r="AU8" s="1737"/>
      <c r="AV8" s="1737"/>
      <c r="AW8" s="1737"/>
      <c r="AX8" s="1737"/>
      <c r="AY8" s="1737"/>
      <c r="AZ8" s="1737"/>
      <c r="BA8" s="1737"/>
      <c r="BB8" s="1737"/>
      <c r="BC8" s="1737"/>
      <c r="BD8" s="1737"/>
      <c r="BE8" s="1737"/>
      <c r="BF8" s="1737"/>
      <c r="BG8" s="1737"/>
      <c r="BH8" s="1737"/>
      <c r="BI8" s="1737"/>
      <c r="BJ8" s="1737"/>
      <c r="BK8" s="1737"/>
      <c r="BL8" s="1737"/>
      <c r="BM8" s="1737"/>
      <c r="BN8" s="1737"/>
      <c r="BO8" s="1737"/>
      <c r="BP8" s="1737"/>
      <c r="BQ8" s="1737"/>
      <c r="BR8" s="1737"/>
      <c r="BS8" s="1737"/>
      <c r="BT8" s="1737"/>
      <c r="BU8" s="1737"/>
      <c r="BV8" s="1737"/>
      <c r="BW8" s="1737"/>
      <c r="BX8" s="1737"/>
      <c r="BY8" s="1737"/>
      <c r="BZ8" s="1737"/>
      <c r="CA8" s="1737"/>
      <c r="CB8" s="1737"/>
      <c r="CC8" s="1737"/>
      <c r="CD8" s="1737"/>
      <c r="CE8" s="1737"/>
      <c r="CF8" s="1737"/>
      <c r="CG8" s="1737"/>
      <c r="CH8" s="1737"/>
      <c r="CI8" s="1737"/>
      <c r="CJ8" s="1737"/>
      <c r="CK8" s="1737"/>
      <c r="CL8" s="1737"/>
      <c r="CM8" s="1737"/>
      <c r="CN8" s="1737"/>
      <c r="CO8" s="1737"/>
      <c r="CP8" s="1737"/>
      <c r="CQ8" s="1737"/>
      <c r="CR8" s="1737"/>
      <c r="CS8" s="1737"/>
      <c r="CT8" s="1737"/>
      <c r="CU8" s="1737"/>
      <c r="CV8" s="1737"/>
      <c r="CW8" s="1737"/>
      <c r="CX8" s="1737"/>
      <c r="CY8" s="1737"/>
      <c r="CZ8" s="1737"/>
      <c r="DA8" s="1737"/>
      <c r="DB8" s="1737"/>
      <c r="DC8" s="1737"/>
      <c r="DD8" s="1737"/>
      <c r="DE8" s="1737"/>
      <c r="DF8" s="1737"/>
      <c r="DG8" s="1737"/>
      <c r="DH8" s="1737"/>
      <c r="DI8" s="1737"/>
      <c r="DJ8" s="1737"/>
      <c r="DK8" s="1737"/>
      <c r="DL8" s="1737"/>
      <c r="DM8" s="1737"/>
      <c r="DN8" s="1737"/>
      <c r="DO8" s="1737"/>
      <c r="DP8" s="1737"/>
      <c r="DQ8" s="1737"/>
      <c r="DR8" s="1737"/>
      <c r="DS8" s="1737"/>
      <c r="DT8" s="1737"/>
      <c r="DU8" s="1737"/>
      <c r="DV8" s="1737"/>
      <c r="DW8" s="1737"/>
      <c r="DX8" s="1737"/>
      <c r="DY8" s="1737"/>
      <c r="DZ8" s="1737"/>
      <c r="EA8" s="1737"/>
      <c r="EB8" s="1737"/>
      <c r="EC8" s="1737"/>
      <c r="ED8" s="1737"/>
      <c r="EE8" s="1737"/>
      <c r="EF8" s="1737"/>
      <c r="EG8" s="1737"/>
      <c r="EH8" s="1737"/>
      <c r="EI8" s="1737"/>
      <c r="EJ8" s="1737"/>
      <c r="EK8" s="1737"/>
      <c r="EL8" s="1737"/>
      <c r="EM8" s="1737"/>
      <c r="EN8" s="1737"/>
      <c r="EO8" s="1737"/>
      <c r="EP8" s="1737"/>
      <c r="EQ8" s="1737"/>
      <c r="ER8" s="1737"/>
      <c r="ES8" s="1737"/>
      <c r="ET8" s="1737"/>
      <c r="EU8" s="1737"/>
      <c r="EV8" s="1737"/>
      <c r="EW8" s="1737"/>
      <c r="EX8" s="1737"/>
      <c r="EY8" s="1737"/>
      <c r="EZ8" s="1737"/>
      <c r="FA8" s="1737"/>
      <c r="FB8" s="1737"/>
      <c r="FC8" s="1737"/>
      <c r="FD8" s="1737"/>
      <c r="FE8" s="1737"/>
      <c r="FF8" s="1737"/>
      <c r="FG8" s="1737"/>
      <c r="FH8" s="1737"/>
      <c r="FI8" s="1737"/>
      <c r="FJ8" s="1737"/>
      <c r="FK8" s="1737"/>
      <c r="FL8" s="1737"/>
      <c r="FM8" s="1737"/>
      <c r="FN8" s="1737"/>
      <c r="FO8" s="1737"/>
      <c r="FP8" s="1737"/>
      <c r="FQ8" s="1737"/>
      <c r="FR8" s="1737"/>
      <c r="FS8" s="1737"/>
      <c r="FT8" s="1737"/>
      <c r="FU8" s="1737"/>
      <c r="FV8" s="1737"/>
      <c r="FW8" s="1737"/>
      <c r="FX8" s="1737"/>
      <c r="FY8" s="1737"/>
      <c r="FZ8" s="1737"/>
      <c r="GA8" s="1737"/>
      <c r="GB8" s="1737"/>
      <c r="GC8" s="1737"/>
      <c r="GD8" s="1737"/>
      <c r="GE8" s="1737"/>
      <c r="GF8" s="1737"/>
      <c r="GG8" s="1737"/>
      <c r="GH8" s="1737"/>
      <c r="GI8" s="1737"/>
      <c r="GJ8" s="1737"/>
      <c r="GK8" s="1737"/>
      <c r="GL8" s="1737"/>
      <c r="GM8" s="1737"/>
      <c r="GN8" s="1737"/>
      <c r="GO8" s="1737"/>
      <c r="GP8" s="1737"/>
      <c r="GQ8" s="1737"/>
      <c r="GR8" s="1737"/>
      <c r="GS8" s="1737"/>
      <c r="GT8" s="1737"/>
      <c r="GU8" s="1737"/>
      <c r="GV8" s="1737"/>
      <c r="GW8" s="1737"/>
      <c r="GX8" s="1737"/>
      <c r="GY8" s="1737"/>
      <c r="GZ8" s="1737"/>
      <c r="HA8" s="1737"/>
      <c r="HB8" s="1737"/>
      <c r="HC8" s="1737"/>
      <c r="HD8" s="1737"/>
      <c r="HE8" s="1737"/>
      <c r="HF8" s="1737"/>
      <c r="HG8" s="1737"/>
      <c r="HH8" s="1737"/>
      <c r="HI8" s="1737"/>
      <c r="HJ8" s="1737"/>
      <c r="HK8" s="1737"/>
      <c r="HL8" s="1737"/>
      <c r="HM8" s="1737"/>
      <c r="HN8" s="1737"/>
      <c r="HO8" s="1737"/>
      <c r="HP8" s="1737"/>
      <c r="HQ8" s="1737"/>
      <c r="HR8" s="1737"/>
      <c r="HS8" s="1737"/>
      <c r="HT8" s="1737"/>
      <c r="HU8" s="1737"/>
      <c r="HV8" s="1737"/>
      <c r="HW8" s="1737"/>
      <c r="HX8" s="1737"/>
      <c r="HY8" s="1737"/>
      <c r="HZ8" s="1737"/>
      <c r="IA8" s="1737"/>
      <c r="IB8" s="1737"/>
      <c r="IC8" s="1737"/>
      <c r="ID8" s="1737"/>
      <c r="IE8" s="1737"/>
      <c r="IF8" s="1737"/>
      <c r="IG8" s="1737"/>
      <c r="IH8" s="1737"/>
      <c r="II8" s="1737"/>
      <c r="IJ8" s="1737"/>
      <c r="IK8" s="1737"/>
      <c r="IL8" s="1737"/>
      <c r="IM8" s="1737"/>
      <c r="IN8" s="1737"/>
      <c r="IO8" s="1737"/>
      <c r="IP8" s="1737"/>
      <c r="IQ8" s="1737"/>
      <c r="IR8" s="1737"/>
      <c r="IS8" s="1737"/>
      <c r="IT8" s="1737"/>
      <c r="IU8" s="1737"/>
      <c r="IV8" s="1737"/>
      <c r="IW8" s="1737"/>
      <c r="IX8" s="1737"/>
      <c r="IY8" s="1737"/>
      <c r="IZ8" s="1737"/>
      <c r="JA8" s="1737"/>
      <c r="JB8" s="1737"/>
      <c r="JC8" s="1737"/>
      <c r="JD8" s="1737"/>
      <c r="JE8" s="1737"/>
      <c r="JF8" s="1737"/>
      <c r="JG8" s="1737"/>
      <c r="JH8" s="1737"/>
      <c r="JI8" s="1737"/>
      <c r="JJ8" s="1737"/>
      <c r="JK8" s="1737"/>
      <c r="JL8" s="1737"/>
      <c r="JM8" s="1737"/>
      <c r="JN8" s="1737"/>
      <c r="JO8" s="1737"/>
      <c r="JP8" s="1737"/>
      <c r="JQ8" s="1737"/>
      <c r="JR8" s="1737"/>
      <c r="JS8" s="1737"/>
      <c r="JT8" s="1737"/>
      <c r="JU8" s="1737"/>
      <c r="JV8" s="1737"/>
      <c r="JW8" s="1737"/>
      <c r="JX8" s="1737"/>
      <c r="JY8" s="1737"/>
      <c r="JZ8" s="1737"/>
      <c r="KA8" s="1737"/>
      <c r="KB8" s="1737"/>
      <c r="KC8" s="1737"/>
      <c r="KD8" s="1737"/>
      <c r="KE8" s="1737"/>
      <c r="KF8" s="1737"/>
      <c r="KG8" s="1737"/>
      <c r="KH8" s="1737"/>
      <c r="KI8" s="1737"/>
      <c r="KJ8" s="1737"/>
      <c r="KK8" s="1737"/>
      <c r="KL8" s="1737"/>
      <c r="KM8" s="1737"/>
      <c r="KN8" s="1737"/>
      <c r="KO8" s="1737"/>
      <c r="KP8" s="1737"/>
      <c r="KQ8" s="1737"/>
      <c r="KR8" s="1737"/>
      <c r="KS8" s="1737"/>
      <c r="KT8" s="1737"/>
      <c r="KU8" s="1737"/>
      <c r="KV8" s="1737"/>
      <c r="KW8" s="1737"/>
      <c r="KX8" s="1737"/>
      <c r="KY8" s="1737"/>
      <c r="KZ8" s="1737"/>
      <c r="LA8" s="1737"/>
      <c r="LB8" s="1737"/>
      <c r="LC8" s="1737"/>
      <c r="LD8" s="1737"/>
      <c r="LE8" s="1737"/>
      <c r="LF8" s="1737"/>
      <c r="LG8" s="1737"/>
      <c r="LH8" s="1737"/>
      <c r="LI8" s="1737"/>
      <c r="LJ8" s="1737"/>
      <c r="LK8" s="1737"/>
      <c r="LL8" s="1737"/>
      <c r="LM8" s="1737"/>
      <c r="LN8" s="1737"/>
      <c r="LO8" s="1737"/>
      <c r="LP8" s="1737"/>
      <c r="LQ8" s="1737"/>
      <c r="LR8" s="1737"/>
      <c r="LS8" s="1737"/>
      <c r="LT8" s="1737"/>
      <c r="LU8" s="1737"/>
      <c r="LV8" s="1737"/>
      <c r="LW8" s="1737"/>
      <c r="LX8" s="1737"/>
      <c r="LY8" s="1737"/>
      <c r="LZ8" s="1737"/>
      <c r="MA8" s="1737"/>
      <c r="MB8" s="1737"/>
      <c r="MC8" s="1737"/>
      <c r="MD8" s="1737"/>
      <c r="ME8" s="1737"/>
      <c r="MF8" s="1737"/>
      <c r="MG8" s="1737"/>
      <c r="MH8" s="1737"/>
      <c r="MI8" s="1737"/>
      <c r="MJ8" s="1737"/>
      <c r="MK8" s="1737"/>
      <c r="ML8" s="1737"/>
      <c r="MM8" s="1737"/>
      <c r="MN8" s="1737"/>
      <c r="MO8" s="1737"/>
      <c r="MP8" s="1737"/>
      <c r="MQ8" s="1737"/>
      <c r="MR8" s="1737"/>
      <c r="MS8" s="1737"/>
      <c r="MT8" s="1737"/>
      <c r="MU8" s="1737"/>
      <c r="MV8" s="1737"/>
      <c r="MW8" s="1737"/>
      <c r="MX8" s="1737"/>
      <c r="MY8" s="1737"/>
      <c r="MZ8" s="1737"/>
      <c r="NA8" s="1737"/>
      <c r="NB8" s="1737"/>
      <c r="NC8" s="1737"/>
      <c r="ND8" s="1737"/>
      <c r="NE8" s="1737"/>
      <c r="NF8" s="1737"/>
      <c r="NG8" s="1737"/>
      <c r="NH8" s="1737"/>
      <c r="NI8" s="1737"/>
      <c r="NJ8" s="1737"/>
      <c r="NK8" s="1737"/>
      <c r="NL8" s="1737"/>
      <c r="NM8" s="1737"/>
      <c r="NN8" s="1737"/>
      <c r="NO8" s="1737"/>
      <c r="NP8" s="1737"/>
      <c r="NQ8" s="1737"/>
      <c r="NR8" s="1737"/>
      <c r="NS8" s="1737"/>
      <c r="NT8" s="1737"/>
      <c r="NU8" s="1737"/>
      <c r="NV8" s="1737"/>
      <c r="NW8" s="1737"/>
      <c r="NX8" s="1737"/>
      <c r="NY8" s="1737"/>
      <c r="NZ8" s="1737"/>
      <c r="OA8" s="1737"/>
      <c r="OB8" s="1737"/>
      <c r="OC8" s="1737"/>
      <c r="OD8" s="1737"/>
      <c r="OE8" s="1737"/>
      <c r="OF8" s="1737"/>
      <c r="OG8" s="1737"/>
      <c r="OH8" s="1737"/>
      <c r="OI8" s="1737"/>
      <c r="OJ8" s="1737"/>
      <c r="OK8" s="1737"/>
      <c r="OL8" s="1737"/>
      <c r="OM8" s="1737"/>
      <c r="ON8" s="1737"/>
      <c r="OO8" s="1737"/>
      <c r="OP8" s="1737"/>
      <c r="OQ8" s="1737"/>
      <c r="OR8" s="1737"/>
      <c r="OS8" s="1737"/>
      <c r="OT8" s="1737"/>
      <c r="OU8" s="1737"/>
      <c r="OV8" s="1737"/>
      <c r="OW8" s="1737"/>
      <c r="OX8" s="1737"/>
      <c r="OY8" s="1737"/>
      <c r="OZ8" s="1737"/>
      <c r="PA8" s="1737"/>
      <c r="PB8" s="1737"/>
      <c r="PC8" s="1737"/>
      <c r="PD8" s="1737"/>
      <c r="PE8" s="1737"/>
      <c r="PF8" s="1737"/>
      <c r="PG8" s="1737"/>
      <c r="PH8" s="1737"/>
      <c r="PI8" s="1737"/>
      <c r="PJ8" s="1737"/>
      <c r="PK8" s="1737"/>
      <c r="PL8" s="1737"/>
      <c r="PM8" s="1737"/>
      <c r="PN8" s="1737"/>
      <c r="PO8" s="1737"/>
      <c r="PP8" s="1737"/>
      <c r="PQ8" s="1737"/>
      <c r="PR8" s="1737"/>
      <c r="PS8" s="1737"/>
      <c r="PT8" s="1737"/>
      <c r="PU8" s="1737"/>
      <c r="PV8" s="1737"/>
      <c r="PW8" s="1737"/>
      <c r="PX8" s="1737"/>
      <c r="PY8" s="1737"/>
      <c r="PZ8" s="1737"/>
      <c r="QA8" s="1737"/>
      <c r="QB8" s="1737"/>
      <c r="QC8" s="1737"/>
      <c r="QD8" s="1737"/>
      <c r="QE8" s="1737"/>
      <c r="QF8" s="1737"/>
      <c r="QG8" s="1737"/>
      <c r="QH8" s="1737"/>
      <c r="QI8" s="1737"/>
      <c r="QJ8" s="1737"/>
      <c r="QK8" s="1737"/>
      <c r="QL8" s="1737"/>
      <c r="QM8" s="1737"/>
      <c r="QN8" s="1737"/>
      <c r="QO8" s="1737"/>
      <c r="QP8" s="1737"/>
      <c r="QQ8" s="1737"/>
      <c r="QR8" s="1737"/>
      <c r="QS8" s="1737"/>
      <c r="QT8" s="1737"/>
      <c r="QU8" s="1737"/>
      <c r="QV8" s="1737"/>
      <c r="QW8" s="1737"/>
      <c r="QX8" s="1737"/>
      <c r="QY8" s="1737"/>
      <c r="QZ8" s="1737"/>
      <c r="RA8" s="1737"/>
      <c r="RB8" s="1737"/>
      <c r="RC8" s="1737"/>
      <c r="RD8" s="1737"/>
      <c r="RE8" s="1737"/>
      <c r="RF8" s="1737"/>
      <c r="RG8" s="1737"/>
      <c r="RH8" s="1737"/>
      <c r="RI8" s="1737"/>
      <c r="RJ8" s="1737"/>
      <c r="RK8" s="1737"/>
      <c r="RL8" s="1737"/>
      <c r="RM8" s="1737"/>
      <c r="RN8" s="1737"/>
      <c r="RO8" s="1737"/>
      <c r="RP8" s="1737"/>
      <c r="RQ8" s="1737"/>
      <c r="RR8" s="1737"/>
      <c r="RS8" s="1737"/>
      <c r="RT8" s="1737"/>
      <c r="RU8" s="1737"/>
      <c r="RV8" s="1737"/>
      <c r="RW8" s="1737"/>
      <c r="RX8" s="1737"/>
      <c r="RY8" s="1737"/>
      <c r="RZ8" s="1737"/>
      <c r="SA8" s="1737"/>
      <c r="SB8" s="1737"/>
      <c r="SC8" s="1737"/>
      <c r="SD8" s="1737"/>
      <c r="SE8" s="1737"/>
      <c r="SF8" s="1737"/>
      <c r="SG8" s="1737"/>
      <c r="SH8" s="1737"/>
      <c r="SI8" s="1737"/>
      <c r="SJ8" s="1737"/>
      <c r="SK8" s="1737"/>
      <c r="SL8" s="1737"/>
      <c r="SM8" s="1737"/>
      <c r="SN8" s="1737"/>
      <c r="SO8" s="1737"/>
      <c r="SP8" s="1737"/>
      <c r="SQ8" s="1737"/>
      <c r="SR8" s="1737"/>
      <c r="SS8" s="1737"/>
      <c r="ST8" s="1737"/>
      <c r="SU8" s="1737"/>
      <c r="SV8" s="1737"/>
      <c r="SW8" s="1737"/>
      <c r="SX8" s="1737"/>
      <c r="SY8" s="1737"/>
      <c r="SZ8" s="1737"/>
      <c r="TA8" s="1737"/>
      <c r="TB8" s="1737"/>
      <c r="TC8" s="1737"/>
      <c r="TD8" s="1737"/>
      <c r="TE8" s="1737"/>
      <c r="TF8" s="1737"/>
      <c r="TG8" s="1737"/>
      <c r="TH8" s="1737"/>
      <c r="TI8" s="1737"/>
      <c r="TJ8" s="1737"/>
      <c r="TK8" s="1737"/>
      <c r="TL8" s="1737"/>
      <c r="TM8" s="1737"/>
      <c r="TN8" s="1737"/>
      <c r="TO8" s="1737"/>
      <c r="TP8" s="1737"/>
      <c r="TQ8" s="1737"/>
      <c r="TR8" s="1737"/>
      <c r="TS8" s="1737"/>
      <c r="TT8" s="1737"/>
      <c r="TU8" s="1737"/>
      <c r="TV8" s="1737"/>
      <c r="TW8" s="1737"/>
      <c r="TX8" s="1737"/>
      <c r="TY8" s="1737"/>
      <c r="TZ8" s="1737"/>
      <c r="UA8" s="1737"/>
      <c r="UB8" s="1737"/>
      <c r="UC8" s="1737"/>
      <c r="UD8" s="1737"/>
      <c r="UE8" s="1737"/>
      <c r="UF8" s="1737"/>
      <c r="UG8" s="1737"/>
      <c r="UH8" s="1737"/>
      <c r="UI8" s="1737"/>
      <c r="UJ8" s="1737"/>
      <c r="UK8" s="1737"/>
      <c r="UL8" s="1737"/>
      <c r="UM8" s="1737"/>
      <c r="UN8" s="1737"/>
      <c r="UO8" s="1737"/>
      <c r="UP8" s="1737"/>
      <c r="UQ8" s="1737"/>
      <c r="UR8" s="1737"/>
      <c r="US8" s="1737"/>
      <c r="UT8" s="1737"/>
      <c r="UU8" s="1737"/>
      <c r="UV8" s="1737"/>
      <c r="UW8" s="1737"/>
      <c r="UX8" s="1737"/>
      <c r="UY8" s="1737"/>
      <c r="UZ8" s="1737"/>
      <c r="VA8" s="1737"/>
      <c r="VB8" s="1737"/>
      <c r="VC8" s="1737"/>
      <c r="VD8" s="1737"/>
      <c r="VE8" s="1737"/>
      <c r="VF8" s="1737"/>
      <c r="VG8" s="1737"/>
      <c r="VH8" s="1737"/>
      <c r="VI8" s="1737"/>
      <c r="VJ8" s="1737"/>
      <c r="VK8" s="1737"/>
      <c r="VL8" s="1737"/>
      <c r="VM8" s="1737"/>
      <c r="VN8" s="1737"/>
      <c r="VO8" s="1737"/>
      <c r="VP8" s="1737"/>
      <c r="VQ8" s="1737"/>
      <c r="VR8" s="1737"/>
      <c r="VS8" s="1737"/>
      <c r="VT8" s="1737"/>
      <c r="VU8" s="1737"/>
      <c r="VV8" s="1737"/>
      <c r="VW8" s="1737"/>
      <c r="VX8" s="1737"/>
      <c r="VY8" s="1737"/>
      <c r="VZ8" s="1737"/>
      <c r="WA8" s="1737"/>
      <c r="WB8" s="1737"/>
      <c r="WC8" s="1737"/>
      <c r="WD8" s="1737"/>
      <c r="WE8" s="1737"/>
      <c r="WF8" s="1737"/>
      <c r="WG8" s="1737"/>
      <c r="WH8" s="1737"/>
      <c r="WI8" s="1737"/>
      <c r="WJ8" s="1737"/>
      <c r="WK8" s="1737"/>
      <c r="WL8" s="1737"/>
      <c r="WM8" s="1737"/>
      <c r="WN8" s="1737"/>
      <c r="WO8" s="1737"/>
      <c r="WP8" s="1737"/>
      <c r="WQ8" s="1737"/>
      <c r="WR8" s="1737"/>
      <c r="WS8" s="1737"/>
      <c r="WT8" s="1737"/>
      <c r="WU8" s="1737"/>
      <c r="WV8" s="1737"/>
      <c r="WW8" s="1737"/>
      <c r="WX8" s="1737"/>
      <c r="WY8" s="1737"/>
      <c r="WZ8" s="1737"/>
      <c r="XA8" s="1737"/>
      <c r="XB8" s="1737"/>
      <c r="XC8" s="1737"/>
      <c r="XD8" s="1737"/>
      <c r="XE8" s="1737"/>
      <c r="XF8" s="1737"/>
      <c r="XG8" s="1737"/>
      <c r="XH8" s="1737"/>
      <c r="XI8" s="1737"/>
      <c r="XJ8" s="1737"/>
      <c r="XK8" s="1737"/>
      <c r="XL8" s="1737"/>
      <c r="XM8" s="1737"/>
      <c r="XN8" s="1737"/>
      <c r="XO8" s="1737"/>
      <c r="XP8" s="1737"/>
      <c r="XQ8" s="1737"/>
      <c r="XR8" s="1737"/>
      <c r="XS8" s="1737"/>
      <c r="XT8" s="1737"/>
      <c r="XU8" s="1737"/>
      <c r="XV8" s="1737"/>
      <c r="XW8" s="1737"/>
      <c r="XX8" s="1737"/>
      <c r="XY8" s="1737"/>
      <c r="XZ8" s="1737"/>
      <c r="YA8" s="1737"/>
      <c r="YB8" s="1737"/>
      <c r="YC8" s="1737"/>
      <c r="YD8" s="1737"/>
      <c r="YE8" s="1737"/>
      <c r="YF8" s="1737"/>
      <c r="YG8" s="1737"/>
      <c r="YH8" s="1737"/>
      <c r="YI8" s="1737"/>
      <c r="YJ8" s="1737"/>
      <c r="YK8" s="1737"/>
      <c r="YL8" s="1737"/>
      <c r="YM8" s="1737"/>
      <c r="YN8" s="1737"/>
      <c r="YO8" s="1737"/>
      <c r="YP8" s="1737"/>
      <c r="YQ8" s="1737"/>
      <c r="YR8" s="1737"/>
      <c r="YS8" s="1737"/>
      <c r="YT8" s="1737"/>
      <c r="YU8" s="1737"/>
      <c r="YV8" s="1737"/>
      <c r="YW8" s="1737"/>
      <c r="YX8" s="1737"/>
      <c r="YY8" s="1737"/>
      <c r="YZ8" s="1737"/>
      <c r="ZA8" s="1737"/>
      <c r="ZB8" s="1737"/>
      <c r="ZC8" s="1737"/>
      <c r="ZD8" s="1737"/>
      <c r="ZE8" s="1737"/>
      <c r="ZF8" s="1737"/>
      <c r="ZG8" s="1737"/>
      <c r="ZH8" s="1737"/>
      <c r="ZI8" s="1737"/>
      <c r="ZJ8" s="1737"/>
      <c r="ZK8" s="1737"/>
      <c r="ZL8" s="1737"/>
      <c r="ZM8" s="1737"/>
      <c r="ZN8" s="1737"/>
      <c r="ZO8" s="1737"/>
      <c r="ZP8" s="1737"/>
      <c r="ZQ8" s="1737"/>
      <c r="ZR8" s="1737"/>
      <c r="ZS8" s="1737"/>
      <c r="ZT8" s="1737"/>
      <c r="ZU8" s="1737"/>
      <c r="ZV8" s="1737"/>
      <c r="ZW8" s="1737"/>
      <c r="ZX8" s="1737"/>
      <c r="ZY8" s="1737"/>
      <c r="ZZ8" s="1737"/>
      <c r="AAA8" s="1737"/>
      <c r="AAB8" s="1737"/>
      <c r="AAC8" s="1737"/>
      <c r="AAD8" s="1737"/>
      <c r="AAE8" s="1737"/>
      <c r="AAF8" s="1737"/>
      <c r="AAG8" s="1737"/>
      <c r="AAH8" s="1737"/>
      <c r="AAI8" s="1737"/>
      <c r="AAJ8" s="1737"/>
      <c r="AAK8" s="1737"/>
      <c r="AAL8" s="1737"/>
      <c r="AAM8" s="1737"/>
      <c r="AAN8" s="1737"/>
      <c r="AAO8" s="1737"/>
      <c r="AAP8" s="1737"/>
      <c r="AAQ8" s="1737"/>
      <c r="AAR8" s="1737"/>
      <c r="AAS8" s="1737"/>
      <c r="AAT8" s="1737"/>
      <c r="AAU8" s="1737"/>
      <c r="AAV8" s="1737"/>
      <c r="AAW8" s="1737"/>
      <c r="AAX8" s="1737"/>
      <c r="AAY8" s="1737"/>
      <c r="AAZ8" s="1737"/>
      <c r="ABA8" s="1737"/>
      <c r="ABB8" s="1737"/>
      <c r="ABC8" s="1737"/>
      <c r="ABD8" s="1737"/>
      <c r="ABE8" s="1737"/>
      <c r="ABF8" s="1737"/>
      <c r="ABG8" s="1737"/>
      <c r="ABH8" s="1737"/>
      <c r="ABI8" s="1737"/>
      <c r="ABJ8" s="1737"/>
      <c r="ABK8" s="1737"/>
      <c r="ABL8" s="1737"/>
      <c r="ABM8" s="1737"/>
      <c r="ABN8" s="1737"/>
      <c r="ABO8" s="1737"/>
      <c r="ABP8" s="1737"/>
      <c r="ABQ8" s="1737"/>
      <c r="ABR8" s="1737"/>
      <c r="ABS8" s="1737"/>
      <c r="ABT8" s="1737"/>
      <c r="ABU8" s="1737"/>
      <c r="ABV8" s="1737"/>
      <c r="ABW8" s="1737"/>
      <c r="ABX8" s="1737"/>
      <c r="ABY8" s="1737"/>
      <c r="ABZ8" s="1737"/>
      <c r="ACA8" s="1737"/>
      <c r="ACB8" s="1737"/>
      <c r="ACC8" s="1737"/>
      <c r="ACD8" s="1737"/>
      <c r="ACE8" s="1737"/>
      <c r="ACF8" s="1737"/>
      <c r="ACG8" s="1737"/>
      <c r="ACH8" s="1737"/>
      <c r="ACI8" s="1737"/>
      <c r="ACJ8" s="1737"/>
      <c r="ACK8" s="1737"/>
      <c r="ACL8" s="1737"/>
      <c r="ACM8" s="1737"/>
      <c r="ACN8" s="1737"/>
      <c r="ACO8" s="1737"/>
      <c r="ACP8" s="1737"/>
      <c r="ACQ8" s="1737"/>
      <c r="ACR8" s="1737"/>
      <c r="ACS8" s="1737"/>
      <c r="ACT8" s="1737"/>
      <c r="ACU8" s="1737"/>
      <c r="ACV8" s="1737"/>
      <c r="ACW8" s="1737"/>
      <c r="ACX8" s="1737"/>
      <c r="ACY8" s="1737"/>
      <c r="ACZ8" s="1737"/>
      <c r="ADA8" s="1737"/>
      <c r="ADB8" s="1737"/>
      <c r="ADC8" s="1737"/>
      <c r="ADD8" s="1737"/>
      <c r="ADE8" s="1737"/>
      <c r="ADF8" s="1737"/>
      <c r="ADG8" s="1737"/>
      <c r="ADH8" s="1737"/>
      <c r="ADI8" s="1737"/>
      <c r="ADJ8" s="1737"/>
      <c r="ADK8" s="1737"/>
      <c r="ADL8" s="1737"/>
      <c r="ADM8" s="1737"/>
      <c r="ADN8" s="1737"/>
      <c r="ADO8" s="1737"/>
      <c r="ADP8" s="1737"/>
      <c r="ADQ8" s="1737"/>
      <c r="ADR8" s="1737"/>
      <c r="ADS8" s="1737"/>
      <c r="ADT8" s="1737"/>
      <c r="ADU8" s="1737"/>
      <c r="ADV8" s="1737"/>
      <c r="ADW8" s="1737"/>
      <c r="ADX8" s="1737"/>
      <c r="ADY8" s="1737"/>
      <c r="ADZ8" s="1737"/>
      <c r="AEA8" s="1737"/>
      <c r="AEB8" s="1737"/>
      <c r="AEC8" s="1737"/>
      <c r="AED8" s="1737"/>
      <c r="AEE8" s="1737"/>
      <c r="AEF8" s="1737"/>
      <c r="AEG8" s="1737"/>
      <c r="AEH8" s="1737"/>
      <c r="AEI8" s="1737"/>
      <c r="AEJ8" s="1737"/>
      <c r="AEK8" s="1737"/>
      <c r="AEL8" s="1737"/>
      <c r="AEM8" s="1737"/>
      <c r="AEN8" s="1737"/>
      <c r="AEO8" s="1737"/>
      <c r="AEP8" s="1737"/>
      <c r="AEQ8" s="1737"/>
      <c r="AER8" s="1737"/>
      <c r="AES8" s="1737"/>
      <c r="AET8" s="1737"/>
      <c r="AEU8" s="1737"/>
      <c r="AEV8" s="1737"/>
      <c r="AEW8" s="1737"/>
      <c r="AEX8" s="1737"/>
      <c r="AEY8" s="1737"/>
      <c r="AEZ8" s="1737"/>
      <c r="AFA8" s="1737"/>
      <c r="AFB8" s="1737"/>
      <c r="AFC8" s="1737"/>
      <c r="AFD8" s="1737"/>
      <c r="AFE8" s="1737"/>
      <c r="AFF8" s="1737"/>
      <c r="AFG8" s="1737"/>
      <c r="AFH8" s="1737"/>
      <c r="AFI8" s="1737"/>
      <c r="AFJ8" s="1737"/>
      <c r="AFK8" s="1737"/>
      <c r="AFL8" s="1737"/>
      <c r="AFM8" s="1737"/>
      <c r="AFN8" s="1737"/>
      <c r="AFO8" s="1737"/>
      <c r="AFP8" s="1737"/>
      <c r="AFQ8" s="1737"/>
      <c r="AFR8" s="1737"/>
      <c r="AFS8" s="1737"/>
      <c r="AFT8" s="1737"/>
      <c r="AFU8" s="1737"/>
      <c r="AFV8" s="1737"/>
      <c r="AFW8" s="1737"/>
      <c r="AFX8" s="1737"/>
      <c r="AFY8" s="1737"/>
      <c r="AFZ8" s="1737"/>
      <c r="AGA8" s="1737"/>
      <c r="AGB8" s="1737"/>
      <c r="AGC8" s="1737"/>
      <c r="AGD8" s="1737"/>
      <c r="AGE8" s="1737"/>
    </row>
    <row r="9" spans="1:863" s="888" customFormat="1" ht="40.15" thickBot="1" x14ac:dyDescent="0.5">
      <c r="B9" s="678" t="s">
        <v>1271</v>
      </c>
      <c r="C9" s="617" t="s">
        <v>1270</v>
      </c>
      <c r="D9" s="268" t="s">
        <v>521</v>
      </c>
      <c r="E9" s="618" t="s">
        <v>522</v>
      </c>
      <c r="F9" s="618" t="s">
        <v>1280</v>
      </c>
      <c r="G9" s="618" t="s">
        <v>1278</v>
      </c>
      <c r="H9" s="618" t="s">
        <v>1491</v>
      </c>
      <c r="I9" s="618" t="s">
        <v>574</v>
      </c>
      <c r="J9" s="268" t="s">
        <v>584</v>
      </c>
      <c r="K9" s="1164" t="s">
        <v>797</v>
      </c>
      <c r="L9" s="1165" t="s">
        <v>798</v>
      </c>
      <c r="M9" s="260" t="s">
        <v>799</v>
      </c>
      <c r="N9" s="260" t="s">
        <v>800</v>
      </c>
      <c r="O9" s="260" t="s">
        <v>801</v>
      </c>
      <c r="P9" s="261" t="s">
        <v>802</v>
      </c>
      <c r="Q9" s="1737"/>
      <c r="R9" s="1737"/>
      <c r="S9" s="1760"/>
      <c r="T9" s="1737"/>
      <c r="U9" s="1737"/>
      <c r="V9" s="1737"/>
      <c r="W9" s="1737"/>
      <c r="X9" s="1737"/>
      <c r="Y9" s="1737"/>
      <c r="Z9" s="1737"/>
      <c r="AA9" s="1737"/>
      <c r="AB9" s="1737"/>
      <c r="AC9" s="1737"/>
      <c r="AD9" s="1737"/>
      <c r="AE9" s="1737"/>
      <c r="AF9" s="1737"/>
      <c r="AG9" s="1737"/>
      <c r="AH9" s="1737"/>
      <c r="AI9" s="1737"/>
      <c r="AJ9" s="1737"/>
      <c r="AK9" s="1737"/>
      <c r="AL9" s="1737"/>
      <c r="AM9" s="1737"/>
      <c r="AN9" s="1737"/>
      <c r="AO9" s="1737"/>
      <c r="AP9" s="1737"/>
      <c r="AQ9" s="1737"/>
      <c r="AR9" s="1737"/>
      <c r="AS9" s="1737"/>
      <c r="AT9" s="1737"/>
      <c r="AU9" s="1737"/>
      <c r="AV9" s="1737"/>
      <c r="AW9" s="1737"/>
      <c r="AX9" s="1737"/>
      <c r="AY9" s="1737"/>
      <c r="AZ9" s="1737"/>
      <c r="BA9" s="1737"/>
      <c r="BB9" s="1737"/>
      <c r="BC9" s="1737"/>
      <c r="BD9" s="1737"/>
      <c r="BE9" s="1737"/>
      <c r="BF9" s="1737"/>
      <c r="BG9" s="1737"/>
      <c r="BH9" s="1737"/>
      <c r="BI9" s="1737"/>
      <c r="BJ9" s="1737"/>
      <c r="BK9" s="1737"/>
      <c r="BL9" s="1737"/>
      <c r="BM9" s="1737"/>
      <c r="BN9" s="1737"/>
      <c r="BO9" s="1737"/>
      <c r="BP9" s="1737"/>
      <c r="BQ9" s="1737"/>
      <c r="BR9" s="1737"/>
      <c r="BS9" s="1737"/>
      <c r="BT9" s="1737"/>
      <c r="BU9" s="1737"/>
      <c r="BV9" s="1737"/>
      <c r="BW9" s="1737"/>
      <c r="BX9" s="1737"/>
      <c r="BY9" s="1737"/>
      <c r="BZ9" s="1737"/>
      <c r="CA9" s="1737"/>
      <c r="CB9" s="1737"/>
      <c r="CC9" s="1737"/>
      <c r="CD9" s="1737"/>
      <c r="CE9" s="1737"/>
      <c r="CF9" s="1737"/>
      <c r="CG9" s="1737"/>
      <c r="CH9" s="1737"/>
      <c r="CI9" s="1737"/>
      <c r="CJ9" s="1737"/>
      <c r="CK9" s="1737"/>
      <c r="CL9" s="1737"/>
      <c r="CM9" s="1737"/>
      <c r="CN9" s="1737"/>
      <c r="CO9" s="1737"/>
      <c r="CP9" s="1737"/>
      <c r="CQ9" s="1737"/>
      <c r="CR9" s="1737"/>
      <c r="CS9" s="1737"/>
      <c r="CT9" s="1737"/>
      <c r="CU9" s="1737"/>
      <c r="CV9" s="1737"/>
      <c r="CW9" s="1737"/>
      <c r="CX9" s="1737"/>
      <c r="CY9" s="1737"/>
      <c r="CZ9" s="1737"/>
      <c r="DA9" s="1737"/>
      <c r="DB9" s="1737"/>
      <c r="DC9" s="1737"/>
      <c r="DD9" s="1737"/>
      <c r="DE9" s="1737"/>
      <c r="DF9" s="1737"/>
      <c r="DG9" s="1737"/>
      <c r="DH9" s="1737"/>
      <c r="DI9" s="1737"/>
      <c r="DJ9" s="1737"/>
      <c r="DK9" s="1737"/>
      <c r="DL9" s="1737"/>
      <c r="DM9" s="1737"/>
      <c r="DN9" s="1737"/>
      <c r="DO9" s="1737"/>
      <c r="DP9" s="1737"/>
      <c r="DQ9" s="1737"/>
      <c r="DR9" s="1737"/>
      <c r="DS9" s="1737"/>
      <c r="DT9" s="1737"/>
      <c r="DU9" s="1737"/>
      <c r="DV9" s="1737"/>
      <c r="DW9" s="1737"/>
      <c r="DX9" s="1737"/>
      <c r="DY9" s="1737"/>
      <c r="DZ9" s="1737"/>
      <c r="EA9" s="1737"/>
      <c r="EB9" s="1737"/>
      <c r="EC9" s="1737"/>
      <c r="ED9" s="1737"/>
      <c r="EE9" s="1737"/>
      <c r="EF9" s="1737"/>
      <c r="EG9" s="1737"/>
      <c r="EH9" s="1737"/>
      <c r="EI9" s="1737"/>
      <c r="EJ9" s="1737"/>
      <c r="EK9" s="1737"/>
      <c r="EL9" s="1737"/>
      <c r="EM9" s="1737"/>
      <c r="EN9" s="1737"/>
      <c r="EO9" s="1737"/>
      <c r="EP9" s="1737"/>
      <c r="EQ9" s="1737"/>
      <c r="ER9" s="1737"/>
      <c r="ES9" s="1737"/>
      <c r="ET9" s="1737"/>
      <c r="EU9" s="1737"/>
      <c r="EV9" s="1737"/>
      <c r="EW9" s="1737"/>
      <c r="EX9" s="1737"/>
      <c r="EY9" s="1737"/>
      <c r="EZ9" s="1737"/>
      <c r="FA9" s="1737"/>
      <c r="FB9" s="1737"/>
      <c r="FC9" s="1737"/>
      <c r="FD9" s="1737"/>
      <c r="FE9" s="1737"/>
      <c r="FF9" s="1737"/>
      <c r="FG9" s="1737"/>
      <c r="FH9" s="1737"/>
      <c r="FI9" s="1737"/>
      <c r="FJ9" s="1737"/>
      <c r="FK9" s="1737"/>
      <c r="FL9" s="1737"/>
      <c r="FM9" s="1737"/>
      <c r="FN9" s="1737"/>
      <c r="FO9" s="1737"/>
      <c r="FP9" s="1737"/>
      <c r="FQ9" s="1737"/>
      <c r="FR9" s="1737"/>
      <c r="FS9" s="1737"/>
      <c r="FT9" s="1737"/>
      <c r="FU9" s="1737"/>
      <c r="FV9" s="1737"/>
      <c r="FW9" s="1737"/>
      <c r="FX9" s="1737"/>
      <c r="FY9" s="1737"/>
      <c r="FZ9" s="1737"/>
      <c r="GA9" s="1737"/>
      <c r="GB9" s="1737"/>
      <c r="GC9" s="1737"/>
      <c r="GD9" s="1737"/>
      <c r="GE9" s="1737"/>
      <c r="GF9" s="1737"/>
      <c r="GG9" s="1737"/>
      <c r="GH9" s="1737"/>
      <c r="GI9" s="1737"/>
      <c r="GJ9" s="1737"/>
      <c r="GK9" s="1737"/>
      <c r="GL9" s="1737"/>
      <c r="GM9" s="1737"/>
      <c r="GN9" s="1737"/>
      <c r="GO9" s="1737"/>
      <c r="GP9" s="1737"/>
      <c r="GQ9" s="1737"/>
      <c r="GR9" s="1737"/>
      <c r="GS9" s="1737"/>
      <c r="GT9" s="1737"/>
      <c r="GU9" s="1737"/>
      <c r="GV9" s="1737"/>
      <c r="GW9" s="1737"/>
      <c r="GX9" s="1737"/>
      <c r="GY9" s="1737"/>
      <c r="GZ9" s="1737"/>
      <c r="HA9" s="1737"/>
      <c r="HB9" s="1737"/>
      <c r="HC9" s="1737"/>
      <c r="HD9" s="1737"/>
      <c r="HE9" s="1737"/>
      <c r="HF9" s="1737"/>
      <c r="HG9" s="1737"/>
      <c r="HH9" s="1737"/>
      <c r="HI9" s="1737"/>
      <c r="HJ9" s="1737"/>
      <c r="HK9" s="1737"/>
      <c r="HL9" s="1737"/>
      <c r="HM9" s="1737"/>
      <c r="HN9" s="1737"/>
      <c r="HO9" s="1737"/>
      <c r="HP9" s="1737"/>
      <c r="HQ9" s="1737"/>
      <c r="HR9" s="1737"/>
      <c r="HS9" s="1737"/>
      <c r="HT9" s="1737"/>
      <c r="HU9" s="1737"/>
      <c r="HV9" s="1737"/>
      <c r="HW9" s="1737"/>
      <c r="HX9" s="1737"/>
      <c r="HY9" s="1737"/>
      <c r="HZ9" s="1737"/>
      <c r="IA9" s="1737"/>
      <c r="IB9" s="1737"/>
      <c r="IC9" s="1737"/>
      <c r="ID9" s="1737"/>
      <c r="IE9" s="1737"/>
      <c r="IF9" s="1737"/>
      <c r="IG9" s="1737"/>
      <c r="IH9" s="1737"/>
      <c r="II9" s="1737"/>
      <c r="IJ9" s="1737"/>
      <c r="IK9" s="1737"/>
      <c r="IL9" s="1737"/>
      <c r="IM9" s="1737"/>
      <c r="IN9" s="1737"/>
      <c r="IO9" s="1737"/>
      <c r="IP9" s="1737"/>
      <c r="IQ9" s="1737"/>
      <c r="IR9" s="1737"/>
      <c r="IS9" s="1737"/>
      <c r="IT9" s="1737"/>
      <c r="IU9" s="1737"/>
      <c r="IV9" s="1737"/>
      <c r="IW9" s="1737"/>
      <c r="IX9" s="1737"/>
      <c r="IY9" s="1737"/>
      <c r="IZ9" s="1737"/>
      <c r="JA9" s="1737"/>
      <c r="JB9" s="1737"/>
      <c r="JC9" s="1737"/>
      <c r="JD9" s="1737"/>
      <c r="JE9" s="1737"/>
      <c r="JF9" s="1737"/>
      <c r="JG9" s="1737"/>
      <c r="JH9" s="1737"/>
      <c r="JI9" s="1737"/>
      <c r="JJ9" s="1737"/>
      <c r="JK9" s="1737"/>
      <c r="JL9" s="1737"/>
      <c r="JM9" s="1737"/>
      <c r="JN9" s="1737"/>
      <c r="JO9" s="1737"/>
      <c r="JP9" s="1737"/>
      <c r="JQ9" s="1737"/>
      <c r="JR9" s="1737"/>
      <c r="JS9" s="1737"/>
      <c r="JT9" s="1737"/>
      <c r="JU9" s="1737"/>
      <c r="JV9" s="1737"/>
      <c r="JW9" s="1737"/>
      <c r="JX9" s="1737"/>
      <c r="JY9" s="1737"/>
      <c r="JZ9" s="1737"/>
      <c r="KA9" s="1737"/>
      <c r="KB9" s="1737"/>
      <c r="KC9" s="1737"/>
      <c r="KD9" s="1737"/>
      <c r="KE9" s="1737"/>
      <c r="KF9" s="1737"/>
      <c r="KG9" s="1737"/>
      <c r="KH9" s="1737"/>
      <c r="KI9" s="1737"/>
      <c r="KJ9" s="1737"/>
      <c r="KK9" s="1737"/>
      <c r="KL9" s="1737"/>
      <c r="KM9" s="1737"/>
      <c r="KN9" s="1737"/>
      <c r="KO9" s="1737"/>
      <c r="KP9" s="1737"/>
      <c r="KQ9" s="1737"/>
      <c r="KR9" s="1737"/>
      <c r="KS9" s="1737"/>
      <c r="KT9" s="1737"/>
      <c r="KU9" s="1737"/>
      <c r="KV9" s="1737"/>
      <c r="KW9" s="1737"/>
      <c r="KX9" s="1737"/>
      <c r="KY9" s="1737"/>
      <c r="KZ9" s="1737"/>
      <c r="LA9" s="1737"/>
      <c r="LB9" s="1737"/>
      <c r="LC9" s="1737"/>
      <c r="LD9" s="1737"/>
      <c r="LE9" s="1737"/>
      <c r="LF9" s="1737"/>
      <c r="LG9" s="1737"/>
      <c r="LH9" s="1737"/>
      <c r="LI9" s="1737"/>
      <c r="LJ9" s="1737"/>
      <c r="LK9" s="1737"/>
      <c r="LL9" s="1737"/>
      <c r="LM9" s="1737"/>
      <c r="LN9" s="1737"/>
      <c r="LO9" s="1737"/>
      <c r="LP9" s="1737"/>
      <c r="LQ9" s="1737"/>
      <c r="LR9" s="1737"/>
      <c r="LS9" s="1737"/>
      <c r="LT9" s="1737"/>
      <c r="LU9" s="1737"/>
      <c r="LV9" s="1737"/>
      <c r="LW9" s="1737"/>
      <c r="LX9" s="1737"/>
      <c r="LY9" s="1737"/>
      <c r="LZ9" s="1737"/>
      <c r="MA9" s="1737"/>
      <c r="MB9" s="1737"/>
      <c r="MC9" s="1737"/>
      <c r="MD9" s="1737"/>
      <c r="ME9" s="1737"/>
      <c r="MF9" s="1737"/>
      <c r="MG9" s="1737"/>
      <c r="MH9" s="1737"/>
      <c r="MI9" s="1737"/>
      <c r="MJ9" s="1737"/>
      <c r="MK9" s="1737"/>
      <c r="ML9" s="1737"/>
      <c r="MM9" s="1737"/>
      <c r="MN9" s="1737"/>
      <c r="MO9" s="1737"/>
      <c r="MP9" s="1737"/>
      <c r="MQ9" s="1737"/>
      <c r="MR9" s="1737"/>
      <c r="MS9" s="1737"/>
      <c r="MT9" s="1737"/>
      <c r="MU9" s="1737"/>
      <c r="MV9" s="1737"/>
      <c r="MW9" s="1737"/>
      <c r="MX9" s="1737"/>
      <c r="MY9" s="1737"/>
      <c r="MZ9" s="1737"/>
      <c r="NA9" s="1737"/>
      <c r="NB9" s="1737"/>
      <c r="NC9" s="1737"/>
      <c r="ND9" s="1737"/>
      <c r="NE9" s="1737"/>
      <c r="NF9" s="1737"/>
      <c r="NG9" s="1737"/>
      <c r="NH9" s="1737"/>
      <c r="NI9" s="1737"/>
      <c r="NJ9" s="1737"/>
      <c r="NK9" s="1737"/>
      <c r="NL9" s="1737"/>
      <c r="NM9" s="1737"/>
      <c r="NN9" s="1737"/>
      <c r="NO9" s="1737"/>
      <c r="NP9" s="1737"/>
      <c r="NQ9" s="1737"/>
      <c r="NR9" s="1737"/>
      <c r="NS9" s="1737"/>
      <c r="NT9" s="1737"/>
      <c r="NU9" s="1737"/>
      <c r="NV9" s="1737"/>
      <c r="NW9" s="1737"/>
      <c r="NX9" s="1737"/>
      <c r="NY9" s="1737"/>
      <c r="NZ9" s="1737"/>
      <c r="OA9" s="1737"/>
      <c r="OB9" s="1737"/>
      <c r="OC9" s="1737"/>
      <c r="OD9" s="1737"/>
      <c r="OE9" s="1737"/>
      <c r="OF9" s="1737"/>
      <c r="OG9" s="1737"/>
      <c r="OH9" s="1737"/>
      <c r="OI9" s="1737"/>
      <c r="OJ9" s="1737"/>
      <c r="OK9" s="1737"/>
      <c r="OL9" s="1737"/>
      <c r="OM9" s="1737"/>
      <c r="ON9" s="1737"/>
      <c r="OO9" s="1737"/>
      <c r="OP9" s="1737"/>
      <c r="OQ9" s="1737"/>
      <c r="OR9" s="1737"/>
      <c r="OS9" s="1737"/>
      <c r="OT9" s="1737"/>
      <c r="OU9" s="1737"/>
      <c r="OV9" s="1737"/>
      <c r="OW9" s="1737"/>
      <c r="OX9" s="1737"/>
      <c r="OY9" s="1737"/>
      <c r="OZ9" s="1737"/>
      <c r="PA9" s="1737"/>
      <c r="PB9" s="1737"/>
      <c r="PC9" s="1737"/>
      <c r="PD9" s="1737"/>
      <c r="PE9" s="1737"/>
      <c r="PF9" s="1737"/>
      <c r="PG9" s="1737"/>
      <c r="PH9" s="1737"/>
      <c r="PI9" s="1737"/>
      <c r="PJ9" s="1737"/>
      <c r="PK9" s="1737"/>
      <c r="PL9" s="1737"/>
      <c r="PM9" s="1737"/>
      <c r="PN9" s="1737"/>
      <c r="PO9" s="1737"/>
      <c r="PP9" s="1737"/>
      <c r="PQ9" s="1737"/>
      <c r="PR9" s="1737"/>
      <c r="PS9" s="1737"/>
      <c r="PT9" s="1737"/>
      <c r="PU9" s="1737"/>
      <c r="PV9" s="1737"/>
      <c r="PW9" s="1737"/>
      <c r="PX9" s="1737"/>
      <c r="PY9" s="1737"/>
      <c r="PZ9" s="1737"/>
      <c r="QA9" s="1737"/>
      <c r="QB9" s="1737"/>
      <c r="QC9" s="1737"/>
      <c r="QD9" s="1737"/>
      <c r="QE9" s="1737"/>
      <c r="QF9" s="1737"/>
      <c r="QG9" s="1737"/>
      <c r="QH9" s="1737"/>
      <c r="QI9" s="1737"/>
      <c r="QJ9" s="1737"/>
      <c r="QK9" s="1737"/>
      <c r="QL9" s="1737"/>
      <c r="QM9" s="1737"/>
      <c r="QN9" s="1737"/>
      <c r="QO9" s="1737"/>
      <c r="QP9" s="1737"/>
      <c r="QQ9" s="1737"/>
      <c r="QR9" s="1737"/>
      <c r="QS9" s="1737"/>
      <c r="QT9" s="1737"/>
      <c r="QU9" s="1737"/>
      <c r="QV9" s="1737"/>
      <c r="QW9" s="1737"/>
      <c r="QX9" s="1737"/>
      <c r="QY9" s="1737"/>
      <c r="QZ9" s="1737"/>
      <c r="RA9" s="1737"/>
      <c r="RB9" s="1737"/>
      <c r="RC9" s="1737"/>
      <c r="RD9" s="1737"/>
      <c r="RE9" s="1737"/>
      <c r="RF9" s="1737"/>
      <c r="RG9" s="1737"/>
      <c r="RH9" s="1737"/>
      <c r="RI9" s="1737"/>
      <c r="RJ9" s="1737"/>
      <c r="RK9" s="1737"/>
      <c r="RL9" s="1737"/>
      <c r="RM9" s="1737"/>
      <c r="RN9" s="1737"/>
      <c r="RO9" s="1737"/>
      <c r="RP9" s="1737"/>
      <c r="RQ9" s="1737"/>
      <c r="RR9" s="1737"/>
      <c r="RS9" s="1737"/>
      <c r="RT9" s="1737"/>
      <c r="RU9" s="1737"/>
      <c r="RV9" s="1737"/>
      <c r="RW9" s="1737"/>
      <c r="RX9" s="1737"/>
      <c r="RY9" s="1737"/>
      <c r="RZ9" s="1737"/>
      <c r="SA9" s="1737"/>
      <c r="SB9" s="1737"/>
      <c r="SC9" s="1737"/>
      <c r="SD9" s="1737"/>
      <c r="SE9" s="1737"/>
      <c r="SF9" s="1737"/>
      <c r="SG9" s="1737"/>
      <c r="SH9" s="1737"/>
      <c r="SI9" s="1737"/>
      <c r="SJ9" s="1737"/>
      <c r="SK9" s="1737"/>
      <c r="SL9" s="1737"/>
      <c r="SM9" s="1737"/>
      <c r="SN9" s="1737"/>
      <c r="SO9" s="1737"/>
      <c r="SP9" s="1737"/>
      <c r="SQ9" s="1737"/>
      <c r="SR9" s="1737"/>
      <c r="SS9" s="1737"/>
      <c r="ST9" s="1737"/>
      <c r="SU9" s="1737"/>
      <c r="SV9" s="1737"/>
      <c r="SW9" s="1737"/>
      <c r="SX9" s="1737"/>
      <c r="SY9" s="1737"/>
      <c r="SZ9" s="1737"/>
      <c r="TA9" s="1737"/>
      <c r="TB9" s="1737"/>
      <c r="TC9" s="1737"/>
      <c r="TD9" s="1737"/>
      <c r="TE9" s="1737"/>
      <c r="TF9" s="1737"/>
      <c r="TG9" s="1737"/>
      <c r="TH9" s="1737"/>
      <c r="TI9" s="1737"/>
      <c r="TJ9" s="1737"/>
      <c r="TK9" s="1737"/>
      <c r="TL9" s="1737"/>
      <c r="TM9" s="1737"/>
      <c r="TN9" s="1737"/>
      <c r="TO9" s="1737"/>
      <c r="TP9" s="1737"/>
      <c r="TQ9" s="1737"/>
      <c r="TR9" s="1737"/>
      <c r="TS9" s="1737"/>
      <c r="TT9" s="1737"/>
      <c r="TU9" s="1737"/>
      <c r="TV9" s="1737"/>
      <c r="TW9" s="1737"/>
      <c r="TX9" s="1737"/>
      <c r="TY9" s="1737"/>
      <c r="TZ9" s="1737"/>
      <c r="UA9" s="1737"/>
      <c r="UB9" s="1737"/>
      <c r="UC9" s="1737"/>
      <c r="UD9" s="1737"/>
      <c r="UE9" s="1737"/>
      <c r="UF9" s="1737"/>
      <c r="UG9" s="1737"/>
      <c r="UH9" s="1737"/>
      <c r="UI9" s="1737"/>
      <c r="UJ9" s="1737"/>
      <c r="UK9" s="1737"/>
      <c r="UL9" s="1737"/>
      <c r="UM9" s="1737"/>
      <c r="UN9" s="1737"/>
      <c r="UO9" s="1737"/>
      <c r="UP9" s="1737"/>
      <c r="UQ9" s="1737"/>
      <c r="UR9" s="1737"/>
      <c r="US9" s="1737"/>
      <c r="UT9" s="1737"/>
      <c r="UU9" s="1737"/>
      <c r="UV9" s="1737"/>
      <c r="UW9" s="1737"/>
      <c r="UX9" s="1737"/>
      <c r="UY9" s="1737"/>
      <c r="UZ9" s="1737"/>
      <c r="VA9" s="1737"/>
      <c r="VB9" s="1737"/>
      <c r="VC9" s="1737"/>
      <c r="VD9" s="1737"/>
      <c r="VE9" s="1737"/>
      <c r="VF9" s="1737"/>
      <c r="VG9" s="1737"/>
      <c r="VH9" s="1737"/>
      <c r="VI9" s="1737"/>
      <c r="VJ9" s="1737"/>
      <c r="VK9" s="1737"/>
      <c r="VL9" s="1737"/>
      <c r="VM9" s="1737"/>
      <c r="VN9" s="1737"/>
      <c r="VO9" s="1737"/>
      <c r="VP9" s="1737"/>
      <c r="VQ9" s="1737"/>
      <c r="VR9" s="1737"/>
      <c r="VS9" s="1737"/>
      <c r="VT9" s="1737"/>
      <c r="VU9" s="1737"/>
      <c r="VV9" s="1737"/>
      <c r="VW9" s="1737"/>
      <c r="VX9" s="1737"/>
      <c r="VY9" s="1737"/>
      <c r="VZ9" s="1737"/>
      <c r="WA9" s="1737"/>
      <c r="WB9" s="1737"/>
      <c r="WC9" s="1737"/>
      <c r="WD9" s="1737"/>
      <c r="WE9" s="1737"/>
      <c r="WF9" s="1737"/>
      <c r="WG9" s="1737"/>
      <c r="WH9" s="1737"/>
      <c r="WI9" s="1737"/>
      <c r="WJ9" s="1737"/>
      <c r="WK9" s="1737"/>
      <c r="WL9" s="1737"/>
      <c r="WM9" s="1737"/>
      <c r="WN9" s="1737"/>
      <c r="WO9" s="1737"/>
      <c r="WP9" s="1737"/>
      <c r="WQ9" s="1737"/>
      <c r="WR9" s="1737"/>
      <c r="WS9" s="1737"/>
      <c r="WT9" s="1737"/>
      <c r="WU9" s="1737"/>
      <c r="WV9" s="1737"/>
      <c r="WW9" s="1737"/>
      <c r="WX9" s="1737"/>
      <c r="WY9" s="1737"/>
      <c r="WZ9" s="1737"/>
      <c r="XA9" s="1737"/>
      <c r="XB9" s="1737"/>
      <c r="XC9" s="1737"/>
      <c r="XD9" s="1737"/>
      <c r="XE9" s="1737"/>
      <c r="XF9" s="1737"/>
      <c r="XG9" s="1737"/>
      <c r="XH9" s="1737"/>
      <c r="XI9" s="1737"/>
      <c r="XJ9" s="1737"/>
      <c r="XK9" s="1737"/>
      <c r="XL9" s="1737"/>
      <c r="XM9" s="1737"/>
      <c r="XN9" s="1737"/>
      <c r="XO9" s="1737"/>
      <c r="XP9" s="1737"/>
      <c r="XQ9" s="1737"/>
      <c r="XR9" s="1737"/>
      <c r="XS9" s="1737"/>
      <c r="XT9" s="1737"/>
      <c r="XU9" s="1737"/>
      <c r="XV9" s="1737"/>
      <c r="XW9" s="1737"/>
      <c r="XX9" s="1737"/>
      <c r="XY9" s="1737"/>
      <c r="XZ9" s="1737"/>
      <c r="YA9" s="1737"/>
      <c r="YB9" s="1737"/>
      <c r="YC9" s="1737"/>
      <c r="YD9" s="1737"/>
      <c r="YE9" s="1737"/>
      <c r="YF9" s="1737"/>
      <c r="YG9" s="1737"/>
      <c r="YH9" s="1737"/>
      <c r="YI9" s="1737"/>
      <c r="YJ9" s="1737"/>
      <c r="YK9" s="1737"/>
      <c r="YL9" s="1737"/>
      <c r="YM9" s="1737"/>
      <c r="YN9" s="1737"/>
      <c r="YO9" s="1737"/>
      <c r="YP9" s="1737"/>
      <c r="YQ9" s="1737"/>
      <c r="YR9" s="1737"/>
      <c r="YS9" s="1737"/>
      <c r="YT9" s="1737"/>
      <c r="YU9" s="1737"/>
      <c r="YV9" s="1737"/>
      <c r="YW9" s="1737"/>
      <c r="YX9" s="1737"/>
      <c r="YY9" s="1737"/>
      <c r="YZ9" s="1737"/>
      <c r="ZA9" s="1737"/>
      <c r="ZB9" s="1737"/>
      <c r="ZC9" s="1737"/>
      <c r="ZD9" s="1737"/>
      <c r="ZE9" s="1737"/>
      <c r="ZF9" s="1737"/>
      <c r="ZG9" s="1737"/>
      <c r="ZH9" s="1737"/>
      <c r="ZI9" s="1737"/>
      <c r="ZJ9" s="1737"/>
      <c r="ZK9" s="1737"/>
      <c r="ZL9" s="1737"/>
      <c r="ZM9" s="1737"/>
      <c r="ZN9" s="1737"/>
      <c r="ZO9" s="1737"/>
      <c r="ZP9" s="1737"/>
      <c r="ZQ9" s="1737"/>
      <c r="ZR9" s="1737"/>
      <c r="ZS9" s="1737"/>
      <c r="ZT9" s="1737"/>
      <c r="ZU9" s="1737"/>
      <c r="ZV9" s="1737"/>
      <c r="ZW9" s="1737"/>
      <c r="ZX9" s="1737"/>
      <c r="ZY9" s="1737"/>
      <c r="ZZ9" s="1737"/>
      <c r="AAA9" s="1737"/>
      <c r="AAB9" s="1737"/>
      <c r="AAC9" s="1737"/>
      <c r="AAD9" s="1737"/>
      <c r="AAE9" s="1737"/>
      <c r="AAF9" s="1737"/>
      <c r="AAG9" s="1737"/>
      <c r="AAH9" s="1737"/>
      <c r="AAI9" s="1737"/>
      <c r="AAJ9" s="1737"/>
      <c r="AAK9" s="1737"/>
      <c r="AAL9" s="1737"/>
      <c r="AAM9" s="1737"/>
      <c r="AAN9" s="1737"/>
      <c r="AAO9" s="1737"/>
      <c r="AAP9" s="1737"/>
      <c r="AAQ9" s="1737"/>
      <c r="AAR9" s="1737"/>
      <c r="AAS9" s="1737"/>
      <c r="AAT9" s="1737"/>
      <c r="AAU9" s="1737"/>
      <c r="AAV9" s="1737"/>
      <c r="AAW9" s="1737"/>
      <c r="AAX9" s="1737"/>
      <c r="AAY9" s="1737"/>
      <c r="AAZ9" s="1737"/>
      <c r="ABA9" s="1737"/>
      <c r="ABB9" s="1737"/>
      <c r="ABC9" s="1737"/>
      <c r="ABD9" s="1737"/>
      <c r="ABE9" s="1737"/>
      <c r="ABF9" s="1737"/>
      <c r="ABG9" s="1737"/>
      <c r="ABH9" s="1737"/>
      <c r="ABI9" s="1737"/>
      <c r="ABJ9" s="1737"/>
      <c r="ABK9" s="1737"/>
      <c r="ABL9" s="1737"/>
      <c r="ABM9" s="1737"/>
      <c r="ABN9" s="1737"/>
      <c r="ABO9" s="1737"/>
      <c r="ABP9" s="1737"/>
      <c r="ABQ9" s="1737"/>
      <c r="ABR9" s="1737"/>
      <c r="ABS9" s="1737"/>
      <c r="ABT9" s="1737"/>
      <c r="ABU9" s="1737"/>
      <c r="ABV9" s="1737"/>
      <c r="ABW9" s="1737"/>
      <c r="ABX9" s="1737"/>
      <c r="ABY9" s="1737"/>
      <c r="ABZ9" s="1737"/>
      <c r="ACA9" s="1737"/>
      <c r="ACB9" s="1737"/>
      <c r="ACC9" s="1737"/>
      <c r="ACD9" s="1737"/>
      <c r="ACE9" s="1737"/>
      <c r="ACF9" s="1737"/>
      <c r="ACG9" s="1737"/>
      <c r="ACH9" s="1737"/>
      <c r="ACI9" s="1737"/>
      <c r="ACJ9" s="1737"/>
      <c r="ACK9" s="1737"/>
      <c r="ACL9" s="1737"/>
      <c r="ACM9" s="1737"/>
      <c r="ACN9" s="1737"/>
      <c r="ACO9" s="1737"/>
      <c r="ACP9" s="1737"/>
      <c r="ACQ9" s="1737"/>
      <c r="ACR9" s="1737"/>
      <c r="ACS9" s="1737"/>
      <c r="ACT9" s="1737"/>
      <c r="ACU9" s="1737"/>
      <c r="ACV9" s="1737"/>
      <c r="ACW9" s="1737"/>
      <c r="ACX9" s="1737"/>
      <c r="ACY9" s="1737"/>
      <c r="ACZ9" s="1737"/>
      <c r="ADA9" s="1737"/>
      <c r="ADB9" s="1737"/>
      <c r="ADC9" s="1737"/>
      <c r="ADD9" s="1737"/>
      <c r="ADE9" s="1737"/>
      <c r="ADF9" s="1737"/>
      <c r="ADG9" s="1737"/>
      <c r="ADH9" s="1737"/>
      <c r="ADI9" s="1737"/>
      <c r="ADJ9" s="1737"/>
      <c r="ADK9" s="1737"/>
      <c r="ADL9" s="1737"/>
      <c r="ADM9" s="1737"/>
      <c r="ADN9" s="1737"/>
      <c r="ADO9" s="1737"/>
      <c r="ADP9" s="1737"/>
      <c r="ADQ9" s="1737"/>
      <c r="ADR9" s="1737"/>
      <c r="ADS9" s="1737"/>
      <c r="ADT9" s="1737"/>
      <c r="ADU9" s="1737"/>
      <c r="ADV9" s="1737"/>
      <c r="ADW9" s="1737"/>
      <c r="ADX9" s="1737"/>
      <c r="ADY9" s="1737"/>
      <c r="ADZ9" s="1737"/>
      <c r="AEA9" s="1737"/>
      <c r="AEB9" s="1737"/>
      <c r="AEC9" s="1737"/>
      <c r="AED9" s="1737"/>
      <c r="AEE9" s="1737"/>
      <c r="AEF9" s="1737"/>
      <c r="AEG9" s="1737"/>
      <c r="AEH9" s="1737"/>
      <c r="AEI9" s="1737"/>
      <c r="AEJ9" s="1737"/>
      <c r="AEK9" s="1737"/>
      <c r="AEL9" s="1737"/>
      <c r="AEM9" s="1737"/>
      <c r="AEN9" s="1737"/>
      <c r="AEO9" s="1737"/>
      <c r="AEP9" s="1737"/>
      <c r="AEQ9" s="1737"/>
      <c r="AER9" s="1737"/>
      <c r="AES9" s="1737"/>
      <c r="AET9" s="1737"/>
      <c r="AEU9" s="1737"/>
      <c r="AEV9" s="1737"/>
      <c r="AEW9" s="1737"/>
      <c r="AEX9" s="1737"/>
      <c r="AEY9" s="1737"/>
      <c r="AEZ9" s="1737"/>
      <c r="AFA9" s="1737"/>
      <c r="AFB9" s="1737"/>
      <c r="AFC9" s="1737"/>
      <c r="AFD9" s="1737"/>
      <c r="AFE9" s="1737"/>
      <c r="AFF9" s="1737"/>
      <c r="AFG9" s="1737"/>
      <c r="AFH9" s="1737"/>
      <c r="AFI9" s="1737"/>
      <c r="AFJ9" s="1737"/>
      <c r="AFK9" s="1737"/>
      <c r="AFL9" s="1737"/>
      <c r="AFM9" s="1737"/>
      <c r="AFN9" s="1737"/>
      <c r="AFO9" s="1737"/>
      <c r="AFP9" s="1737"/>
      <c r="AFQ9" s="1737"/>
      <c r="AFR9" s="1737"/>
      <c r="AFS9" s="1737"/>
      <c r="AFT9" s="1737"/>
      <c r="AFU9" s="1737"/>
      <c r="AFV9" s="1737"/>
      <c r="AFW9" s="1737"/>
      <c r="AFX9" s="1737"/>
      <c r="AFY9" s="1737"/>
      <c r="AFZ9" s="1737"/>
      <c r="AGA9" s="1737"/>
      <c r="AGB9" s="1737"/>
      <c r="AGC9" s="1737"/>
      <c r="AGD9" s="1737"/>
      <c r="AGE9" s="1737"/>
    </row>
    <row r="10" spans="1:863" s="888" customFormat="1" ht="30.75" customHeight="1" x14ac:dyDescent="0.45">
      <c r="B10" s="1141" t="s">
        <v>1073</v>
      </c>
      <c r="C10" s="1086" t="s">
        <v>1208</v>
      </c>
      <c r="D10" s="1086" t="s">
        <v>612</v>
      </c>
      <c r="E10" s="1086" t="s">
        <v>393</v>
      </c>
      <c r="F10" s="1086" t="s">
        <v>247</v>
      </c>
      <c r="G10" s="1086" t="s">
        <v>320</v>
      </c>
      <c r="H10" s="1166"/>
      <c r="I10" s="1169" t="s">
        <v>321</v>
      </c>
      <c r="J10" s="1169"/>
      <c r="K10" s="1171">
        <v>1384420.325</v>
      </c>
      <c r="L10" s="1173"/>
      <c r="M10" s="1174">
        <f>27000*GWP_CH4</f>
        <v>675000</v>
      </c>
      <c r="N10" s="1174"/>
      <c r="O10" s="1174">
        <v>444718.0702600081</v>
      </c>
      <c r="P10" s="1171">
        <f>SUM(L10:N10)</f>
        <v>675000</v>
      </c>
      <c r="Q10" s="1737"/>
      <c r="R10" s="1737"/>
      <c r="S10" s="1760"/>
      <c r="T10" s="1737"/>
      <c r="U10" s="1751"/>
      <c r="V10" s="1751"/>
      <c r="W10" s="1751"/>
      <c r="X10" s="1737"/>
      <c r="Y10" s="1737"/>
      <c r="Z10" s="1737"/>
      <c r="AA10" s="1737"/>
      <c r="AB10" s="1737"/>
      <c r="AC10" s="1737"/>
      <c r="AD10" s="1737"/>
      <c r="AE10" s="1737"/>
      <c r="AF10" s="1737"/>
      <c r="AG10" s="1737"/>
      <c r="AH10" s="1737"/>
      <c r="AI10" s="1737"/>
      <c r="AJ10" s="1737"/>
      <c r="AK10" s="1737"/>
      <c r="AL10" s="1737"/>
      <c r="AM10" s="1737"/>
      <c r="AN10" s="1737"/>
      <c r="AO10" s="1737"/>
      <c r="AP10" s="1737"/>
      <c r="AQ10" s="1737"/>
      <c r="AR10" s="1737"/>
      <c r="AS10" s="1737"/>
      <c r="AT10" s="1737"/>
      <c r="AU10" s="1737"/>
      <c r="AV10" s="1737"/>
      <c r="AW10" s="1737"/>
      <c r="AX10" s="1737"/>
      <c r="AY10" s="1737"/>
      <c r="AZ10" s="1737"/>
      <c r="BA10" s="1737"/>
      <c r="BB10" s="1737"/>
      <c r="BC10" s="1737"/>
      <c r="BD10" s="1737"/>
      <c r="BE10" s="1737"/>
      <c r="BF10" s="1737"/>
      <c r="BG10" s="1737"/>
      <c r="BH10" s="1737"/>
      <c r="BI10" s="1737"/>
      <c r="BJ10" s="1737"/>
      <c r="BK10" s="1737"/>
      <c r="BL10" s="1737"/>
      <c r="BM10" s="1737"/>
      <c r="BN10" s="1737"/>
      <c r="BO10" s="1737"/>
      <c r="BP10" s="1737"/>
      <c r="BQ10" s="1737"/>
      <c r="BR10" s="1737"/>
      <c r="BS10" s="1737"/>
      <c r="BT10" s="1737"/>
      <c r="BU10" s="1737"/>
      <c r="BV10" s="1737"/>
      <c r="BW10" s="1737"/>
      <c r="BX10" s="1737"/>
      <c r="BY10" s="1737"/>
      <c r="BZ10" s="1737"/>
      <c r="CA10" s="1737"/>
      <c r="CB10" s="1737"/>
      <c r="CC10" s="1737"/>
      <c r="CD10" s="1737"/>
      <c r="CE10" s="1737"/>
      <c r="CF10" s="1737"/>
      <c r="CG10" s="1737"/>
      <c r="CH10" s="1737"/>
      <c r="CI10" s="1737"/>
      <c r="CJ10" s="1737"/>
      <c r="CK10" s="1737"/>
      <c r="CL10" s="1737"/>
      <c r="CM10" s="1737"/>
      <c r="CN10" s="1737"/>
      <c r="CO10" s="1737"/>
      <c r="CP10" s="1737"/>
      <c r="CQ10" s="1737"/>
      <c r="CR10" s="1737"/>
      <c r="CS10" s="1737"/>
      <c r="CT10" s="1737"/>
      <c r="CU10" s="1737"/>
      <c r="CV10" s="1737"/>
      <c r="CW10" s="1737"/>
      <c r="CX10" s="1737"/>
      <c r="CY10" s="1737"/>
      <c r="CZ10" s="1737"/>
      <c r="DA10" s="1737"/>
      <c r="DB10" s="1737"/>
      <c r="DC10" s="1737"/>
      <c r="DD10" s="1737"/>
      <c r="DE10" s="1737"/>
      <c r="DF10" s="1737"/>
      <c r="DG10" s="1737"/>
      <c r="DH10" s="1737"/>
      <c r="DI10" s="1737"/>
      <c r="DJ10" s="1737"/>
      <c r="DK10" s="1737"/>
      <c r="DL10" s="1737"/>
      <c r="DM10" s="1737"/>
      <c r="DN10" s="1737"/>
      <c r="DO10" s="1737"/>
      <c r="DP10" s="1737"/>
      <c r="DQ10" s="1737"/>
      <c r="DR10" s="1737"/>
      <c r="DS10" s="1737"/>
      <c r="DT10" s="1737"/>
      <c r="DU10" s="1737"/>
      <c r="DV10" s="1737"/>
      <c r="DW10" s="1737"/>
      <c r="DX10" s="1737"/>
      <c r="DY10" s="1737"/>
      <c r="DZ10" s="1737"/>
      <c r="EA10" s="1737"/>
      <c r="EB10" s="1737"/>
      <c r="EC10" s="1737"/>
      <c r="ED10" s="1737"/>
      <c r="EE10" s="1737"/>
      <c r="EF10" s="1737"/>
      <c r="EG10" s="1737"/>
      <c r="EH10" s="1737"/>
      <c r="EI10" s="1737"/>
      <c r="EJ10" s="1737"/>
      <c r="EK10" s="1737"/>
      <c r="EL10" s="1737"/>
      <c r="EM10" s="1737"/>
      <c r="EN10" s="1737"/>
      <c r="EO10" s="1737"/>
      <c r="EP10" s="1737"/>
      <c r="EQ10" s="1737"/>
      <c r="ER10" s="1737"/>
      <c r="ES10" s="1737"/>
      <c r="ET10" s="1737"/>
      <c r="EU10" s="1737"/>
      <c r="EV10" s="1737"/>
      <c r="EW10" s="1737"/>
      <c r="EX10" s="1737"/>
      <c r="EY10" s="1737"/>
      <c r="EZ10" s="1737"/>
      <c r="FA10" s="1737"/>
      <c r="FB10" s="1737"/>
      <c r="FC10" s="1737"/>
      <c r="FD10" s="1737"/>
      <c r="FE10" s="1737"/>
      <c r="FF10" s="1737"/>
      <c r="FG10" s="1737"/>
      <c r="FH10" s="1737"/>
      <c r="FI10" s="1737"/>
      <c r="FJ10" s="1737"/>
      <c r="FK10" s="1737"/>
      <c r="FL10" s="1737"/>
      <c r="FM10" s="1737"/>
      <c r="FN10" s="1737"/>
      <c r="FO10" s="1737"/>
      <c r="FP10" s="1737"/>
      <c r="FQ10" s="1737"/>
      <c r="FR10" s="1737"/>
      <c r="FS10" s="1737"/>
      <c r="FT10" s="1737"/>
      <c r="FU10" s="1737"/>
      <c r="FV10" s="1737"/>
      <c r="FW10" s="1737"/>
      <c r="FX10" s="1737"/>
      <c r="FY10" s="1737"/>
      <c r="FZ10" s="1737"/>
      <c r="GA10" s="1737"/>
      <c r="GB10" s="1737"/>
      <c r="GC10" s="1737"/>
      <c r="GD10" s="1737"/>
      <c r="GE10" s="1737"/>
      <c r="GF10" s="1737"/>
      <c r="GG10" s="1737"/>
      <c r="GH10" s="1737"/>
      <c r="GI10" s="1737"/>
      <c r="GJ10" s="1737"/>
      <c r="GK10" s="1737"/>
      <c r="GL10" s="1737"/>
      <c r="GM10" s="1737"/>
      <c r="GN10" s="1737"/>
      <c r="GO10" s="1737"/>
      <c r="GP10" s="1737"/>
      <c r="GQ10" s="1737"/>
      <c r="GR10" s="1737"/>
      <c r="GS10" s="1737"/>
      <c r="GT10" s="1737"/>
      <c r="GU10" s="1737"/>
      <c r="GV10" s="1737"/>
      <c r="GW10" s="1737"/>
      <c r="GX10" s="1737"/>
      <c r="GY10" s="1737"/>
      <c r="GZ10" s="1737"/>
      <c r="HA10" s="1737"/>
      <c r="HB10" s="1737"/>
      <c r="HC10" s="1737"/>
      <c r="HD10" s="1737"/>
      <c r="HE10" s="1737"/>
      <c r="HF10" s="1737"/>
      <c r="HG10" s="1737"/>
      <c r="HH10" s="1737"/>
      <c r="HI10" s="1737"/>
      <c r="HJ10" s="1737"/>
      <c r="HK10" s="1737"/>
      <c r="HL10" s="1737"/>
      <c r="HM10" s="1737"/>
      <c r="HN10" s="1737"/>
      <c r="HO10" s="1737"/>
      <c r="HP10" s="1737"/>
      <c r="HQ10" s="1737"/>
      <c r="HR10" s="1737"/>
      <c r="HS10" s="1737"/>
      <c r="HT10" s="1737"/>
      <c r="HU10" s="1737"/>
      <c r="HV10" s="1737"/>
      <c r="HW10" s="1737"/>
      <c r="HX10" s="1737"/>
      <c r="HY10" s="1737"/>
      <c r="HZ10" s="1737"/>
      <c r="IA10" s="1737"/>
      <c r="IB10" s="1737"/>
      <c r="IC10" s="1737"/>
      <c r="ID10" s="1737"/>
      <c r="IE10" s="1737"/>
      <c r="IF10" s="1737"/>
      <c r="IG10" s="1737"/>
      <c r="IH10" s="1737"/>
      <c r="II10" s="1737"/>
      <c r="IJ10" s="1737"/>
      <c r="IK10" s="1737"/>
      <c r="IL10" s="1737"/>
      <c r="IM10" s="1737"/>
      <c r="IN10" s="1737"/>
      <c r="IO10" s="1737"/>
      <c r="IP10" s="1737"/>
      <c r="IQ10" s="1737"/>
      <c r="IR10" s="1737"/>
      <c r="IS10" s="1737"/>
      <c r="IT10" s="1737"/>
      <c r="IU10" s="1737"/>
      <c r="IV10" s="1737"/>
      <c r="IW10" s="1737"/>
      <c r="IX10" s="1737"/>
      <c r="IY10" s="1737"/>
      <c r="IZ10" s="1737"/>
      <c r="JA10" s="1737"/>
      <c r="JB10" s="1737"/>
      <c r="JC10" s="1737"/>
      <c r="JD10" s="1737"/>
      <c r="JE10" s="1737"/>
      <c r="JF10" s="1737"/>
      <c r="JG10" s="1737"/>
      <c r="JH10" s="1737"/>
      <c r="JI10" s="1737"/>
      <c r="JJ10" s="1737"/>
      <c r="JK10" s="1737"/>
      <c r="JL10" s="1737"/>
      <c r="JM10" s="1737"/>
      <c r="JN10" s="1737"/>
      <c r="JO10" s="1737"/>
      <c r="JP10" s="1737"/>
      <c r="JQ10" s="1737"/>
      <c r="JR10" s="1737"/>
      <c r="JS10" s="1737"/>
      <c r="JT10" s="1737"/>
      <c r="JU10" s="1737"/>
      <c r="JV10" s="1737"/>
      <c r="JW10" s="1737"/>
      <c r="JX10" s="1737"/>
      <c r="JY10" s="1737"/>
      <c r="JZ10" s="1737"/>
      <c r="KA10" s="1737"/>
      <c r="KB10" s="1737"/>
      <c r="KC10" s="1737"/>
      <c r="KD10" s="1737"/>
      <c r="KE10" s="1737"/>
      <c r="KF10" s="1737"/>
      <c r="KG10" s="1737"/>
      <c r="KH10" s="1737"/>
      <c r="KI10" s="1737"/>
      <c r="KJ10" s="1737"/>
      <c r="KK10" s="1737"/>
      <c r="KL10" s="1737"/>
      <c r="KM10" s="1737"/>
      <c r="KN10" s="1737"/>
      <c r="KO10" s="1737"/>
      <c r="KP10" s="1737"/>
      <c r="KQ10" s="1737"/>
      <c r="KR10" s="1737"/>
      <c r="KS10" s="1737"/>
      <c r="KT10" s="1737"/>
      <c r="KU10" s="1737"/>
      <c r="KV10" s="1737"/>
      <c r="KW10" s="1737"/>
      <c r="KX10" s="1737"/>
      <c r="KY10" s="1737"/>
      <c r="KZ10" s="1737"/>
      <c r="LA10" s="1737"/>
      <c r="LB10" s="1737"/>
      <c r="LC10" s="1737"/>
      <c r="LD10" s="1737"/>
      <c r="LE10" s="1737"/>
      <c r="LF10" s="1737"/>
      <c r="LG10" s="1737"/>
      <c r="LH10" s="1737"/>
      <c r="LI10" s="1737"/>
      <c r="LJ10" s="1737"/>
      <c r="LK10" s="1737"/>
      <c r="LL10" s="1737"/>
      <c r="LM10" s="1737"/>
      <c r="LN10" s="1737"/>
      <c r="LO10" s="1737"/>
      <c r="LP10" s="1737"/>
      <c r="LQ10" s="1737"/>
      <c r="LR10" s="1737"/>
      <c r="LS10" s="1737"/>
      <c r="LT10" s="1737"/>
      <c r="LU10" s="1737"/>
      <c r="LV10" s="1737"/>
      <c r="LW10" s="1737"/>
      <c r="LX10" s="1737"/>
      <c r="LY10" s="1737"/>
      <c r="LZ10" s="1737"/>
      <c r="MA10" s="1737"/>
      <c r="MB10" s="1737"/>
      <c r="MC10" s="1737"/>
      <c r="MD10" s="1737"/>
      <c r="ME10" s="1737"/>
      <c r="MF10" s="1737"/>
      <c r="MG10" s="1737"/>
      <c r="MH10" s="1737"/>
      <c r="MI10" s="1737"/>
      <c r="MJ10" s="1737"/>
      <c r="MK10" s="1737"/>
      <c r="ML10" s="1737"/>
      <c r="MM10" s="1737"/>
      <c r="MN10" s="1737"/>
      <c r="MO10" s="1737"/>
      <c r="MP10" s="1737"/>
      <c r="MQ10" s="1737"/>
      <c r="MR10" s="1737"/>
      <c r="MS10" s="1737"/>
      <c r="MT10" s="1737"/>
      <c r="MU10" s="1737"/>
      <c r="MV10" s="1737"/>
      <c r="MW10" s="1737"/>
      <c r="MX10" s="1737"/>
      <c r="MY10" s="1737"/>
      <c r="MZ10" s="1737"/>
      <c r="NA10" s="1737"/>
      <c r="NB10" s="1737"/>
      <c r="NC10" s="1737"/>
      <c r="ND10" s="1737"/>
      <c r="NE10" s="1737"/>
      <c r="NF10" s="1737"/>
      <c r="NG10" s="1737"/>
      <c r="NH10" s="1737"/>
      <c r="NI10" s="1737"/>
      <c r="NJ10" s="1737"/>
      <c r="NK10" s="1737"/>
      <c r="NL10" s="1737"/>
      <c r="NM10" s="1737"/>
      <c r="NN10" s="1737"/>
      <c r="NO10" s="1737"/>
      <c r="NP10" s="1737"/>
      <c r="NQ10" s="1737"/>
      <c r="NR10" s="1737"/>
      <c r="NS10" s="1737"/>
      <c r="NT10" s="1737"/>
      <c r="NU10" s="1737"/>
      <c r="NV10" s="1737"/>
      <c r="NW10" s="1737"/>
      <c r="NX10" s="1737"/>
      <c r="NY10" s="1737"/>
      <c r="NZ10" s="1737"/>
      <c r="OA10" s="1737"/>
      <c r="OB10" s="1737"/>
      <c r="OC10" s="1737"/>
      <c r="OD10" s="1737"/>
      <c r="OE10" s="1737"/>
      <c r="OF10" s="1737"/>
      <c r="OG10" s="1737"/>
      <c r="OH10" s="1737"/>
      <c r="OI10" s="1737"/>
      <c r="OJ10" s="1737"/>
      <c r="OK10" s="1737"/>
      <c r="OL10" s="1737"/>
      <c r="OM10" s="1737"/>
      <c r="ON10" s="1737"/>
      <c r="OO10" s="1737"/>
      <c r="OP10" s="1737"/>
      <c r="OQ10" s="1737"/>
      <c r="OR10" s="1737"/>
      <c r="OS10" s="1737"/>
      <c r="OT10" s="1737"/>
      <c r="OU10" s="1737"/>
      <c r="OV10" s="1737"/>
      <c r="OW10" s="1737"/>
      <c r="OX10" s="1737"/>
      <c r="OY10" s="1737"/>
      <c r="OZ10" s="1737"/>
      <c r="PA10" s="1737"/>
      <c r="PB10" s="1737"/>
      <c r="PC10" s="1737"/>
      <c r="PD10" s="1737"/>
      <c r="PE10" s="1737"/>
      <c r="PF10" s="1737"/>
      <c r="PG10" s="1737"/>
      <c r="PH10" s="1737"/>
      <c r="PI10" s="1737"/>
      <c r="PJ10" s="1737"/>
      <c r="PK10" s="1737"/>
      <c r="PL10" s="1737"/>
      <c r="PM10" s="1737"/>
      <c r="PN10" s="1737"/>
      <c r="PO10" s="1737"/>
      <c r="PP10" s="1737"/>
      <c r="PQ10" s="1737"/>
      <c r="PR10" s="1737"/>
      <c r="PS10" s="1737"/>
      <c r="PT10" s="1737"/>
      <c r="PU10" s="1737"/>
      <c r="PV10" s="1737"/>
      <c r="PW10" s="1737"/>
      <c r="PX10" s="1737"/>
      <c r="PY10" s="1737"/>
      <c r="PZ10" s="1737"/>
      <c r="QA10" s="1737"/>
      <c r="QB10" s="1737"/>
      <c r="QC10" s="1737"/>
      <c r="QD10" s="1737"/>
      <c r="QE10" s="1737"/>
      <c r="QF10" s="1737"/>
      <c r="QG10" s="1737"/>
      <c r="QH10" s="1737"/>
      <c r="QI10" s="1737"/>
      <c r="QJ10" s="1737"/>
      <c r="QK10" s="1737"/>
      <c r="QL10" s="1737"/>
      <c r="QM10" s="1737"/>
      <c r="QN10" s="1737"/>
      <c r="QO10" s="1737"/>
      <c r="QP10" s="1737"/>
      <c r="QQ10" s="1737"/>
      <c r="QR10" s="1737"/>
      <c r="QS10" s="1737"/>
      <c r="QT10" s="1737"/>
      <c r="QU10" s="1737"/>
      <c r="QV10" s="1737"/>
      <c r="QW10" s="1737"/>
      <c r="QX10" s="1737"/>
      <c r="QY10" s="1737"/>
      <c r="QZ10" s="1737"/>
      <c r="RA10" s="1737"/>
      <c r="RB10" s="1737"/>
      <c r="RC10" s="1737"/>
      <c r="RD10" s="1737"/>
      <c r="RE10" s="1737"/>
      <c r="RF10" s="1737"/>
      <c r="RG10" s="1737"/>
      <c r="RH10" s="1737"/>
      <c r="RI10" s="1737"/>
      <c r="RJ10" s="1737"/>
      <c r="RK10" s="1737"/>
      <c r="RL10" s="1737"/>
      <c r="RM10" s="1737"/>
      <c r="RN10" s="1737"/>
      <c r="RO10" s="1737"/>
      <c r="RP10" s="1737"/>
      <c r="RQ10" s="1737"/>
      <c r="RR10" s="1737"/>
      <c r="RS10" s="1737"/>
      <c r="RT10" s="1737"/>
      <c r="RU10" s="1737"/>
      <c r="RV10" s="1737"/>
      <c r="RW10" s="1737"/>
      <c r="RX10" s="1737"/>
      <c r="RY10" s="1737"/>
      <c r="RZ10" s="1737"/>
      <c r="SA10" s="1737"/>
      <c r="SB10" s="1737"/>
      <c r="SC10" s="1737"/>
      <c r="SD10" s="1737"/>
      <c r="SE10" s="1737"/>
      <c r="SF10" s="1737"/>
      <c r="SG10" s="1737"/>
      <c r="SH10" s="1737"/>
      <c r="SI10" s="1737"/>
      <c r="SJ10" s="1737"/>
      <c r="SK10" s="1737"/>
      <c r="SL10" s="1737"/>
      <c r="SM10" s="1737"/>
      <c r="SN10" s="1737"/>
      <c r="SO10" s="1737"/>
      <c r="SP10" s="1737"/>
      <c r="SQ10" s="1737"/>
      <c r="SR10" s="1737"/>
      <c r="SS10" s="1737"/>
      <c r="ST10" s="1737"/>
      <c r="SU10" s="1737"/>
      <c r="SV10" s="1737"/>
      <c r="SW10" s="1737"/>
      <c r="SX10" s="1737"/>
      <c r="SY10" s="1737"/>
      <c r="SZ10" s="1737"/>
      <c r="TA10" s="1737"/>
      <c r="TB10" s="1737"/>
      <c r="TC10" s="1737"/>
      <c r="TD10" s="1737"/>
      <c r="TE10" s="1737"/>
      <c r="TF10" s="1737"/>
      <c r="TG10" s="1737"/>
      <c r="TH10" s="1737"/>
      <c r="TI10" s="1737"/>
      <c r="TJ10" s="1737"/>
      <c r="TK10" s="1737"/>
      <c r="TL10" s="1737"/>
      <c r="TM10" s="1737"/>
      <c r="TN10" s="1737"/>
      <c r="TO10" s="1737"/>
      <c r="TP10" s="1737"/>
      <c r="TQ10" s="1737"/>
      <c r="TR10" s="1737"/>
      <c r="TS10" s="1737"/>
      <c r="TT10" s="1737"/>
      <c r="TU10" s="1737"/>
      <c r="TV10" s="1737"/>
      <c r="TW10" s="1737"/>
      <c r="TX10" s="1737"/>
      <c r="TY10" s="1737"/>
      <c r="TZ10" s="1737"/>
      <c r="UA10" s="1737"/>
      <c r="UB10" s="1737"/>
      <c r="UC10" s="1737"/>
      <c r="UD10" s="1737"/>
      <c r="UE10" s="1737"/>
      <c r="UF10" s="1737"/>
      <c r="UG10" s="1737"/>
      <c r="UH10" s="1737"/>
      <c r="UI10" s="1737"/>
      <c r="UJ10" s="1737"/>
      <c r="UK10" s="1737"/>
      <c r="UL10" s="1737"/>
      <c r="UM10" s="1737"/>
      <c r="UN10" s="1737"/>
      <c r="UO10" s="1737"/>
      <c r="UP10" s="1737"/>
      <c r="UQ10" s="1737"/>
      <c r="UR10" s="1737"/>
      <c r="US10" s="1737"/>
      <c r="UT10" s="1737"/>
      <c r="UU10" s="1737"/>
      <c r="UV10" s="1737"/>
      <c r="UW10" s="1737"/>
      <c r="UX10" s="1737"/>
      <c r="UY10" s="1737"/>
      <c r="UZ10" s="1737"/>
      <c r="VA10" s="1737"/>
      <c r="VB10" s="1737"/>
      <c r="VC10" s="1737"/>
      <c r="VD10" s="1737"/>
      <c r="VE10" s="1737"/>
      <c r="VF10" s="1737"/>
      <c r="VG10" s="1737"/>
      <c r="VH10" s="1737"/>
      <c r="VI10" s="1737"/>
      <c r="VJ10" s="1737"/>
      <c r="VK10" s="1737"/>
      <c r="VL10" s="1737"/>
      <c r="VM10" s="1737"/>
      <c r="VN10" s="1737"/>
      <c r="VO10" s="1737"/>
      <c r="VP10" s="1737"/>
      <c r="VQ10" s="1737"/>
      <c r="VR10" s="1737"/>
      <c r="VS10" s="1737"/>
      <c r="VT10" s="1737"/>
      <c r="VU10" s="1737"/>
      <c r="VV10" s="1737"/>
      <c r="VW10" s="1737"/>
      <c r="VX10" s="1737"/>
      <c r="VY10" s="1737"/>
      <c r="VZ10" s="1737"/>
      <c r="WA10" s="1737"/>
      <c r="WB10" s="1737"/>
      <c r="WC10" s="1737"/>
      <c r="WD10" s="1737"/>
      <c r="WE10" s="1737"/>
      <c r="WF10" s="1737"/>
      <c r="WG10" s="1737"/>
      <c r="WH10" s="1737"/>
      <c r="WI10" s="1737"/>
      <c r="WJ10" s="1737"/>
      <c r="WK10" s="1737"/>
      <c r="WL10" s="1737"/>
      <c r="WM10" s="1737"/>
      <c r="WN10" s="1737"/>
      <c r="WO10" s="1737"/>
      <c r="WP10" s="1737"/>
      <c r="WQ10" s="1737"/>
      <c r="WR10" s="1737"/>
      <c r="WS10" s="1737"/>
      <c r="WT10" s="1737"/>
      <c r="WU10" s="1737"/>
      <c r="WV10" s="1737"/>
      <c r="WW10" s="1737"/>
      <c r="WX10" s="1737"/>
      <c r="WY10" s="1737"/>
      <c r="WZ10" s="1737"/>
      <c r="XA10" s="1737"/>
      <c r="XB10" s="1737"/>
      <c r="XC10" s="1737"/>
      <c r="XD10" s="1737"/>
      <c r="XE10" s="1737"/>
      <c r="XF10" s="1737"/>
      <c r="XG10" s="1737"/>
      <c r="XH10" s="1737"/>
      <c r="XI10" s="1737"/>
      <c r="XJ10" s="1737"/>
      <c r="XK10" s="1737"/>
      <c r="XL10" s="1737"/>
      <c r="XM10" s="1737"/>
      <c r="XN10" s="1737"/>
      <c r="XO10" s="1737"/>
      <c r="XP10" s="1737"/>
      <c r="XQ10" s="1737"/>
      <c r="XR10" s="1737"/>
      <c r="XS10" s="1737"/>
      <c r="XT10" s="1737"/>
      <c r="XU10" s="1737"/>
      <c r="XV10" s="1737"/>
      <c r="XW10" s="1737"/>
      <c r="XX10" s="1737"/>
      <c r="XY10" s="1737"/>
      <c r="XZ10" s="1737"/>
      <c r="YA10" s="1737"/>
      <c r="YB10" s="1737"/>
      <c r="YC10" s="1737"/>
      <c r="YD10" s="1737"/>
      <c r="YE10" s="1737"/>
      <c r="YF10" s="1737"/>
      <c r="YG10" s="1737"/>
      <c r="YH10" s="1737"/>
      <c r="YI10" s="1737"/>
      <c r="YJ10" s="1737"/>
      <c r="YK10" s="1737"/>
      <c r="YL10" s="1737"/>
      <c r="YM10" s="1737"/>
      <c r="YN10" s="1737"/>
      <c r="YO10" s="1737"/>
      <c r="YP10" s="1737"/>
      <c r="YQ10" s="1737"/>
      <c r="YR10" s="1737"/>
      <c r="YS10" s="1737"/>
      <c r="YT10" s="1737"/>
      <c r="YU10" s="1737"/>
      <c r="YV10" s="1737"/>
      <c r="YW10" s="1737"/>
      <c r="YX10" s="1737"/>
      <c r="YY10" s="1737"/>
      <c r="YZ10" s="1737"/>
      <c r="ZA10" s="1737"/>
      <c r="ZB10" s="1737"/>
      <c r="ZC10" s="1737"/>
      <c r="ZD10" s="1737"/>
      <c r="ZE10" s="1737"/>
      <c r="ZF10" s="1737"/>
      <c r="ZG10" s="1737"/>
      <c r="ZH10" s="1737"/>
      <c r="ZI10" s="1737"/>
      <c r="ZJ10" s="1737"/>
      <c r="ZK10" s="1737"/>
      <c r="ZL10" s="1737"/>
      <c r="ZM10" s="1737"/>
      <c r="ZN10" s="1737"/>
      <c r="ZO10" s="1737"/>
      <c r="ZP10" s="1737"/>
      <c r="ZQ10" s="1737"/>
      <c r="ZR10" s="1737"/>
      <c r="ZS10" s="1737"/>
      <c r="ZT10" s="1737"/>
      <c r="ZU10" s="1737"/>
      <c r="ZV10" s="1737"/>
      <c r="ZW10" s="1737"/>
      <c r="ZX10" s="1737"/>
      <c r="ZY10" s="1737"/>
      <c r="ZZ10" s="1737"/>
      <c r="AAA10" s="1737"/>
      <c r="AAB10" s="1737"/>
      <c r="AAC10" s="1737"/>
      <c r="AAD10" s="1737"/>
      <c r="AAE10" s="1737"/>
      <c r="AAF10" s="1737"/>
      <c r="AAG10" s="1737"/>
      <c r="AAH10" s="1737"/>
      <c r="AAI10" s="1737"/>
      <c r="AAJ10" s="1737"/>
      <c r="AAK10" s="1737"/>
      <c r="AAL10" s="1737"/>
      <c r="AAM10" s="1737"/>
      <c r="AAN10" s="1737"/>
      <c r="AAO10" s="1737"/>
      <c r="AAP10" s="1737"/>
      <c r="AAQ10" s="1737"/>
      <c r="AAR10" s="1737"/>
      <c r="AAS10" s="1737"/>
      <c r="AAT10" s="1737"/>
      <c r="AAU10" s="1737"/>
      <c r="AAV10" s="1737"/>
      <c r="AAW10" s="1737"/>
      <c r="AAX10" s="1737"/>
      <c r="AAY10" s="1737"/>
      <c r="AAZ10" s="1737"/>
      <c r="ABA10" s="1737"/>
      <c r="ABB10" s="1737"/>
      <c r="ABC10" s="1737"/>
      <c r="ABD10" s="1737"/>
      <c r="ABE10" s="1737"/>
      <c r="ABF10" s="1737"/>
      <c r="ABG10" s="1737"/>
      <c r="ABH10" s="1737"/>
      <c r="ABI10" s="1737"/>
      <c r="ABJ10" s="1737"/>
      <c r="ABK10" s="1737"/>
      <c r="ABL10" s="1737"/>
      <c r="ABM10" s="1737"/>
      <c r="ABN10" s="1737"/>
      <c r="ABO10" s="1737"/>
      <c r="ABP10" s="1737"/>
      <c r="ABQ10" s="1737"/>
      <c r="ABR10" s="1737"/>
      <c r="ABS10" s="1737"/>
      <c r="ABT10" s="1737"/>
      <c r="ABU10" s="1737"/>
      <c r="ABV10" s="1737"/>
      <c r="ABW10" s="1737"/>
      <c r="ABX10" s="1737"/>
      <c r="ABY10" s="1737"/>
      <c r="ABZ10" s="1737"/>
      <c r="ACA10" s="1737"/>
      <c r="ACB10" s="1737"/>
      <c r="ACC10" s="1737"/>
      <c r="ACD10" s="1737"/>
      <c r="ACE10" s="1737"/>
      <c r="ACF10" s="1737"/>
      <c r="ACG10" s="1737"/>
      <c r="ACH10" s="1737"/>
      <c r="ACI10" s="1737"/>
      <c r="ACJ10" s="1737"/>
      <c r="ACK10" s="1737"/>
      <c r="ACL10" s="1737"/>
      <c r="ACM10" s="1737"/>
      <c r="ACN10" s="1737"/>
      <c r="ACO10" s="1737"/>
      <c r="ACP10" s="1737"/>
      <c r="ACQ10" s="1737"/>
      <c r="ACR10" s="1737"/>
      <c r="ACS10" s="1737"/>
      <c r="ACT10" s="1737"/>
      <c r="ACU10" s="1737"/>
      <c r="ACV10" s="1737"/>
      <c r="ACW10" s="1737"/>
      <c r="ACX10" s="1737"/>
      <c r="ACY10" s="1737"/>
      <c r="ACZ10" s="1737"/>
      <c r="ADA10" s="1737"/>
      <c r="ADB10" s="1737"/>
      <c r="ADC10" s="1737"/>
      <c r="ADD10" s="1737"/>
      <c r="ADE10" s="1737"/>
      <c r="ADF10" s="1737"/>
      <c r="ADG10" s="1737"/>
      <c r="ADH10" s="1737"/>
      <c r="ADI10" s="1737"/>
      <c r="ADJ10" s="1737"/>
      <c r="ADK10" s="1737"/>
      <c r="ADL10" s="1737"/>
      <c r="ADM10" s="1737"/>
      <c r="ADN10" s="1737"/>
      <c r="ADO10" s="1737"/>
      <c r="ADP10" s="1737"/>
      <c r="ADQ10" s="1737"/>
      <c r="ADR10" s="1737"/>
      <c r="ADS10" s="1737"/>
      <c r="ADT10" s="1737"/>
      <c r="ADU10" s="1737"/>
      <c r="ADV10" s="1737"/>
      <c r="ADW10" s="1737"/>
      <c r="ADX10" s="1737"/>
      <c r="ADY10" s="1737"/>
      <c r="ADZ10" s="1737"/>
      <c r="AEA10" s="1737"/>
      <c r="AEB10" s="1737"/>
      <c r="AEC10" s="1737"/>
      <c r="AED10" s="1737"/>
      <c r="AEE10" s="1737"/>
      <c r="AEF10" s="1737"/>
      <c r="AEG10" s="1737"/>
      <c r="AEH10" s="1737"/>
      <c r="AEI10" s="1737"/>
      <c r="AEJ10" s="1737"/>
      <c r="AEK10" s="1737"/>
      <c r="AEL10" s="1737"/>
      <c r="AEM10" s="1737"/>
      <c r="AEN10" s="1737"/>
      <c r="AEO10" s="1737"/>
      <c r="AEP10" s="1737"/>
      <c r="AEQ10" s="1737"/>
      <c r="AER10" s="1737"/>
      <c r="AES10" s="1737"/>
      <c r="AET10" s="1737"/>
      <c r="AEU10" s="1737"/>
      <c r="AEV10" s="1737"/>
      <c r="AEW10" s="1737"/>
      <c r="AEX10" s="1737"/>
      <c r="AEY10" s="1737"/>
      <c r="AEZ10" s="1737"/>
      <c r="AFA10" s="1737"/>
      <c r="AFB10" s="1737"/>
      <c r="AFC10" s="1737"/>
      <c r="AFD10" s="1737"/>
      <c r="AFE10" s="1737"/>
      <c r="AFF10" s="1737"/>
      <c r="AFG10" s="1737"/>
      <c r="AFH10" s="1737"/>
      <c r="AFI10" s="1737"/>
      <c r="AFJ10" s="1737"/>
      <c r="AFK10" s="1737"/>
      <c r="AFL10" s="1737"/>
      <c r="AFM10" s="1737"/>
      <c r="AFN10" s="1737"/>
      <c r="AFO10" s="1737"/>
      <c r="AFP10" s="1737"/>
      <c r="AFQ10" s="1737"/>
      <c r="AFR10" s="1737"/>
      <c r="AFS10" s="1737"/>
      <c r="AFT10" s="1737"/>
      <c r="AFU10" s="1737"/>
      <c r="AFV10" s="1737"/>
      <c r="AFW10" s="1737"/>
      <c r="AFX10" s="1737"/>
      <c r="AFY10" s="1737"/>
      <c r="AFZ10" s="1737"/>
      <c r="AGA10" s="1737"/>
      <c r="AGB10" s="1737"/>
      <c r="AGC10" s="1737"/>
      <c r="AGD10" s="1737"/>
      <c r="AGE10" s="1737"/>
    </row>
    <row r="11" spans="1:863" s="888" customFormat="1" ht="45" customHeight="1" x14ac:dyDescent="0.45">
      <c r="B11" s="1142" t="s">
        <v>1073</v>
      </c>
      <c r="C11" s="1076" t="s">
        <v>1209</v>
      </c>
      <c r="D11" s="1076" t="s">
        <v>613</v>
      </c>
      <c r="E11" s="1076" t="s">
        <v>1257</v>
      </c>
      <c r="F11" s="1076" t="s">
        <v>1051</v>
      </c>
      <c r="G11" s="1076" t="s">
        <v>246</v>
      </c>
      <c r="H11" s="1167" t="s">
        <v>1692</v>
      </c>
      <c r="I11" s="1170" t="s">
        <v>321</v>
      </c>
      <c r="J11" s="1170"/>
      <c r="K11" s="1172">
        <v>81430.429999999993</v>
      </c>
      <c r="L11" s="1177"/>
      <c r="M11" s="1178">
        <f>K11*EF_CH4_AD*ConFact_0.001*GWP_CH4</f>
        <v>1628.6086</v>
      </c>
      <c r="N11" s="1178"/>
      <c r="O11" s="1098"/>
      <c r="P11" s="1172">
        <f>SUM(L11:N11)</f>
        <v>1628.6086</v>
      </c>
      <c r="Q11" s="1737"/>
      <c r="R11" s="1737"/>
      <c r="S11" s="1760"/>
      <c r="T11" s="1737"/>
      <c r="U11" s="1751"/>
      <c r="V11" s="1737"/>
      <c r="W11" s="1751"/>
      <c r="X11" s="1737"/>
      <c r="Y11" s="1737"/>
      <c r="Z11" s="1737"/>
      <c r="AA11" s="1737"/>
      <c r="AB11" s="1737"/>
      <c r="AC11" s="1737"/>
      <c r="AD11" s="1737"/>
      <c r="AE11" s="1737"/>
      <c r="AF11" s="1737"/>
      <c r="AG11" s="1737"/>
      <c r="AH11" s="1737"/>
      <c r="AI11" s="1737"/>
      <c r="AJ11" s="1737"/>
      <c r="AK11" s="1737"/>
      <c r="AL11" s="1737"/>
      <c r="AM11" s="1737"/>
      <c r="AN11" s="1737"/>
      <c r="AO11" s="1737"/>
      <c r="AP11" s="1737"/>
      <c r="AQ11" s="1737"/>
      <c r="AR11" s="1737"/>
      <c r="AS11" s="1737"/>
      <c r="AT11" s="1737"/>
      <c r="AU11" s="1737"/>
      <c r="AV11" s="1737"/>
      <c r="AW11" s="1737"/>
      <c r="AX11" s="1737"/>
      <c r="AY11" s="1737"/>
      <c r="AZ11" s="1737"/>
      <c r="BA11" s="1737"/>
      <c r="BB11" s="1737"/>
      <c r="BC11" s="1737"/>
      <c r="BD11" s="1737"/>
      <c r="BE11" s="1737"/>
      <c r="BF11" s="1737"/>
      <c r="BG11" s="1737"/>
      <c r="BH11" s="1737"/>
      <c r="BI11" s="1737"/>
      <c r="BJ11" s="1737"/>
      <c r="BK11" s="1737"/>
      <c r="BL11" s="1737"/>
      <c r="BM11" s="1737"/>
      <c r="BN11" s="1737"/>
      <c r="BO11" s="1737"/>
      <c r="BP11" s="1737"/>
      <c r="BQ11" s="1737"/>
      <c r="BR11" s="1737"/>
      <c r="BS11" s="1737"/>
      <c r="BT11" s="1737"/>
      <c r="BU11" s="1737"/>
      <c r="BV11" s="1737"/>
      <c r="BW11" s="1737"/>
      <c r="BX11" s="1737"/>
      <c r="BY11" s="1737"/>
      <c r="BZ11" s="1737"/>
      <c r="CA11" s="1737"/>
      <c r="CB11" s="1737"/>
      <c r="CC11" s="1737"/>
      <c r="CD11" s="1737"/>
      <c r="CE11" s="1737"/>
      <c r="CF11" s="1737"/>
      <c r="CG11" s="1737"/>
      <c r="CH11" s="1737"/>
      <c r="CI11" s="1737"/>
      <c r="CJ11" s="1737"/>
      <c r="CK11" s="1737"/>
      <c r="CL11" s="1737"/>
      <c r="CM11" s="1737"/>
      <c r="CN11" s="1737"/>
      <c r="CO11" s="1737"/>
      <c r="CP11" s="1737"/>
      <c r="CQ11" s="1737"/>
      <c r="CR11" s="1737"/>
      <c r="CS11" s="1737"/>
      <c r="CT11" s="1737"/>
      <c r="CU11" s="1737"/>
      <c r="CV11" s="1737"/>
      <c r="CW11" s="1737"/>
      <c r="CX11" s="1737"/>
      <c r="CY11" s="1737"/>
      <c r="CZ11" s="1737"/>
      <c r="DA11" s="1737"/>
      <c r="DB11" s="1737"/>
      <c r="DC11" s="1737"/>
      <c r="DD11" s="1737"/>
      <c r="DE11" s="1737"/>
      <c r="DF11" s="1737"/>
      <c r="DG11" s="1737"/>
      <c r="DH11" s="1737"/>
      <c r="DI11" s="1737"/>
      <c r="DJ11" s="1737"/>
      <c r="DK11" s="1737"/>
      <c r="DL11" s="1737"/>
      <c r="DM11" s="1737"/>
      <c r="DN11" s="1737"/>
      <c r="DO11" s="1737"/>
      <c r="DP11" s="1737"/>
      <c r="DQ11" s="1737"/>
      <c r="DR11" s="1737"/>
      <c r="DS11" s="1737"/>
      <c r="DT11" s="1737"/>
      <c r="DU11" s="1737"/>
      <c r="DV11" s="1737"/>
      <c r="DW11" s="1737"/>
      <c r="DX11" s="1737"/>
      <c r="DY11" s="1737"/>
      <c r="DZ11" s="1737"/>
      <c r="EA11" s="1737"/>
      <c r="EB11" s="1737"/>
      <c r="EC11" s="1737"/>
      <c r="ED11" s="1737"/>
      <c r="EE11" s="1737"/>
      <c r="EF11" s="1737"/>
      <c r="EG11" s="1737"/>
      <c r="EH11" s="1737"/>
      <c r="EI11" s="1737"/>
      <c r="EJ11" s="1737"/>
      <c r="EK11" s="1737"/>
      <c r="EL11" s="1737"/>
      <c r="EM11" s="1737"/>
      <c r="EN11" s="1737"/>
      <c r="EO11" s="1737"/>
      <c r="EP11" s="1737"/>
      <c r="EQ11" s="1737"/>
      <c r="ER11" s="1737"/>
      <c r="ES11" s="1737"/>
      <c r="ET11" s="1737"/>
      <c r="EU11" s="1737"/>
      <c r="EV11" s="1737"/>
      <c r="EW11" s="1737"/>
      <c r="EX11" s="1737"/>
      <c r="EY11" s="1737"/>
      <c r="EZ11" s="1737"/>
      <c r="FA11" s="1737"/>
      <c r="FB11" s="1737"/>
      <c r="FC11" s="1737"/>
      <c r="FD11" s="1737"/>
      <c r="FE11" s="1737"/>
      <c r="FF11" s="1737"/>
      <c r="FG11" s="1737"/>
      <c r="FH11" s="1737"/>
      <c r="FI11" s="1737"/>
      <c r="FJ11" s="1737"/>
      <c r="FK11" s="1737"/>
      <c r="FL11" s="1737"/>
      <c r="FM11" s="1737"/>
      <c r="FN11" s="1737"/>
      <c r="FO11" s="1737"/>
      <c r="FP11" s="1737"/>
      <c r="FQ11" s="1737"/>
      <c r="FR11" s="1737"/>
      <c r="FS11" s="1737"/>
      <c r="FT11" s="1737"/>
      <c r="FU11" s="1737"/>
      <c r="FV11" s="1737"/>
      <c r="FW11" s="1737"/>
      <c r="FX11" s="1737"/>
      <c r="FY11" s="1737"/>
      <c r="FZ11" s="1737"/>
      <c r="GA11" s="1737"/>
      <c r="GB11" s="1737"/>
      <c r="GC11" s="1737"/>
      <c r="GD11" s="1737"/>
      <c r="GE11" s="1737"/>
      <c r="GF11" s="1737"/>
      <c r="GG11" s="1737"/>
      <c r="GH11" s="1737"/>
      <c r="GI11" s="1737"/>
      <c r="GJ11" s="1737"/>
      <c r="GK11" s="1737"/>
      <c r="GL11" s="1737"/>
      <c r="GM11" s="1737"/>
      <c r="GN11" s="1737"/>
      <c r="GO11" s="1737"/>
      <c r="GP11" s="1737"/>
      <c r="GQ11" s="1737"/>
      <c r="GR11" s="1737"/>
      <c r="GS11" s="1737"/>
      <c r="GT11" s="1737"/>
      <c r="GU11" s="1737"/>
      <c r="GV11" s="1737"/>
      <c r="GW11" s="1737"/>
      <c r="GX11" s="1737"/>
      <c r="GY11" s="1737"/>
      <c r="GZ11" s="1737"/>
      <c r="HA11" s="1737"/>
      <c r="HB11" s="1737"/>
      <c r="HC11" s="1737"/>
      <c r="HD11" s="1737"/>
      <c r="HE11" s="1737"/>
      <c r="HF11" s="1737"/>
      <c r="HG11" s="1737"/>
      <c r="HH11" s="1737"/>
      <c r="HI11" s="1737"/>
      <c r="HJ11" s="1737"/>
      <c r="HK11" s="1737"/>
      <c r="HL11" s="1737"/>
      <c r="HM11" s="1737"/>
      <c r="HN11" s="1737"/>
      <c r="HO11" s="1737"/>
      <c r="HP11" s="1737"/>
      <c r="HQ11" s="1737"/>
      <c r="HR11" s="1737"/>
      <c r="HS11" s="1737"/>
      <c r="HT11" s="1737"/>
      <c r="HU11" s="1737"/>
      <c r="HV11" s="1737"/>
      <c r="HW11" s="1737"/>
      <c r="HX11" s="1737"/>
      <c r="HY11" s="1737"/>
      <c r="HZ11" s="1737"/>
      <c r="IA11" s="1737"/>
      <c r="IB11" s="1737"/>
      <c r="IC11" s="1737"/>
      <c r="ID11" s="1737"/>
      <c r="IE11" s="1737"/>
      <c r="IF11" s="1737"/>
      <c r="IG11" s="1737"/>
      <c r="IH11" s="1737"/>
      <c r="II11" s="1737"/>
      <c r="IJ11" s="1737"/>
      <c r="IK11" s="1737"/>
      <c r="IL11" s="1737"/>
      <c r="IM11" s="1737"/>
      <c r="IN11" s="1737"/>
      <c r="IO11" s="1737"/>
      <c r="IP11" s="1737"/>
      <c r="IQ11" s="1737"/>
      <c r="IR11" s="1737"/>
      <c r="IS11" s="1737"/>
      <c r="IT11" s="1737"/>
      <c r="IU11" s="1737"/>
      <c r="IV11" s="1737"/>
      <c r="IW11" s="1737"/>
      <c r="IX11" s="1737"/>
      <c r="IY11" s="1737"/>
      <c r="IZ11" s="1737"/>
      <c r="JA11" s="1737"/>
      <c r="JB11" s="1737"/>
      <c r="JC11" s="1737"/>
      <c r="JD11" s="1737"/>
      <c r="JE11" s="1737"/>
      <c r="JF11" s="1737"/>
      <c r="JG11" s="1737"/>
      <c r="JH11" s="1737"/>
      <c r="JI11" s="1737"/>
      <c r="JJ11" s="1737"/>
      <c r="JK11" s="1737"/>
      <c r="JL11" s="1737"/>
      <c r="JM11" s="1737"/>
      <c r="JN11" s="1737"/>
      <c r="JO11" s="1737"/>
      <c r="JP11" s="1737"/>
      <c r="JQ11" s="1737"/>
      <c r="JR11" s="1737"/>
      <c r="JS11" s="1737"/>
      <c r="JT11" s="1737"/>
      <c r="JU11" s="1737"/>
      <c r="JV11" s="1737"/>
      <c r="JW11" s="1737"/>
      <c r="JX11" s="1737"/>
      <c r="JY11" s="1737"/>
      <c r="JZ11" s="1737"/>
      <c r="KA11" s="1737"/>
      <c r="KB11" s="1737"/>
      <c r="KC11" s="1737"/>
      <c r="KD11" s="1737"/>
      <c r="KE11" s="1737"/>
      <c r="KF11" s="1737"/>
      <c r="KG11" s="1737"/>
      <c r="KH11" s="1737"/>
      <c r="KI11" s="1737"/>
      <c r="KJ11" s="1737"/>
      <c r="KK11" s="1737"/>
      <c r="KL11" s="1737"/>
      <c r="KM11" s="1737"/>
      <c r="KN11" s="1737"/>
      <c r="KO11" s="1737"/>
      <c r="KP11" s="1737"/>
      <c r="KQ11" s="1737"/>
      <c r="KR11" s="1737"/>
      <c r="KS11" s="1737"/>
      <c r="KT11" s="1737"/>
      <c r="KU11" s="1737"/>
      <c r="KV11" s="1737"/>
      <c r="KW11" s="1737"/>
      <c r="KX11" s="1737"/>
      <c r="KY11" s="1737"/>
      <c r="KZ11" s="1737"/>
      <c r="LA11" s="1737"/>
      <c r="LB11" s="1737"/>
      <c r="LC11" s="1737"/>
      <c r="LD11" s="1737"/>
      <c r="LE11" s="1737"/>
      <c r="LF11" s="1737"/>
      <c r="LG11" s="1737"/>
      <c r="LH11" s="1737"/>
      <c r="LI11" s="1737"/>
      <c r="LJ11" s="1737"/>
      <c r="LK11" s="1737"/>
      <c r="LL11" s="1737"/>
      <c r="LM11" s="1737"/>
      <c r="LN11" s="1737"/>
      <c r="LO11" s="1737"/>
      <c r="LP11" s="1737"/>
      <c r="LQ11" s="1737"/>
      <c r="LR11" s="1737"/>
      <c r="LS11" s="1737"/>
      <c r="LT11" s="1737"/>
      <c r="LU11" s="1737"/>
      <c r="LV11" s="1737"/>
      <c r="LW11" s="1737"/>
      <c r="LX11" s="1737"/>
      <c r="LY11" s="1737"/>
      <c r="LZ11" s="1737"/>
      <c r="MA11" s="1737"/>
      <c r="MB11" s="1737"/>
      <c r="MC11" s="1737"/>
      <c r="MD11" s="1737"/>
      <c r="ME11" s="1737"/>
      <c r="MF11" s="1737"/>
      <c r="MG11" s="1737"/>
      <c r="MH11" s="1737"/>
      <c r="MI11" s="1737"/>
      <c r="MJ11" s="1737"/>
      <c r="MK11" s="1737"/>
      <c r="ML11" s="1737"/>
      <c r="MM11" s="1737"/>
      <c r="MN11" s="1737"/>
      <c r="MO11" s="1737"/>
      <c r="MP11" s="1737"/>
      <c r="MQ11" s="1737"/>
      <c r="MR11" s="1737"/>
      <c r="MS11" s="1737"/>
      <c r="MT11" s="1737"/>
      <c r="MU11" s="1737"/>
      <c r="MV11" s="1737"/>
      <c r="MW11" s="1737"/>
      <c r="MX11" s="1737"/>
      <c r="MY11" s="1737"/>
      <c r="MZ11" s="1737"/>
      <c r="NA11" s="1737"/>
      <c r="NB11" s="1737"/>
      <c r="NC11" s="1737"/>
      <c r="ND11" s="1737"/>
      <c r="NE11" s="1737"/>
      <c r="NF11" s="1737"/>
      <c r="NG11" s="1737"/>
      <c r="NH11" s="1737"/>
      <c r="NI11" s="1737"/>
      <c r="NJ11" s="1737"/>
      <c r="NK11" s="1737"/>
      <c r="NL11" s="1737"/>
      <c r="NM11" s="1737"/>
      <c r="NN11" s="1737"/>
      <c r="NO11" s="1737"/>
      <c r="NP11" s="1737"/>
      <c r="NQ11" s="1737"/>
      <c r="NR11" s="1737"/>
      <c r="NS11" s="1737"/>
      <c r="NT11" s="1737"/>
      <c r="NU11" s="1737"/>
      <c r="NV11" s="1737"/>
      <c r="NW11" s="1737"/>
      <c r="NX11" s="1737"/>
      <c r="NY11" s="1737"/>
      <c r="NZ11" s="1737"/>
      <c r="OA11" s="1737"/>
      <c r="OB11" s="1737"/>
      <c r="OC11" s="1737"/>
      <c r="OD11" s="1737"/>
      <c r="OE11" s="1737"/>
      <c r="OF11" s="1737"/>
      <c r="OG11" s="1737"/>
      <c r="OH11" s="1737"/>
      <c r="OI11" s="1737"/>
      <c r="OJ11" s="1737"/>
      <c r="OK11" s="1737"/>
      <c r="OL11" s="1737"/>
      <c r="OM11" s="1737"/>
      <c r="ON11" s="1737"/>
      <c r="OO11" s="1737"/>
      <c r="OP11" s="1737"/>
      <c r="OQ11" s="1737"/>
      <c r="OR11" s="1737"/>
      <c r="OS11" s="1737"/>
      <c r="OT11" s="1737"/>
      <c r="OU11" s="1737"/>
      <c r="OV11" s="1737"/>
      <c r="OW11" s="1737"/>
      <c r="OX11" s="1737"/>
      <c r="OY11" s="1737"/>
      <c r="OZ11" s="1737"/>
      <c r="PA11" s="1737"/>
      <c r="PB11" s="1737"/>
      <c r="PC11" s="1737"/>
      <c r="PD11" s="1737"/>
      <c r="PE11" s="1737"/>
      <c r="PF11" s="1737"/>
      <c r="PG11" s="1737"/>
      <c r="PH11" s="1737"/>
      <c r="PI11" s="1737"/>
      <c r="PJ11" s="1737"/>
      <c r="PK11" s="1737"/>
      <c r="PL11" s="1737"/>
      <c r="PM11" s="1737"/>
      <c r="PN11" s="1737"/>
      <c r="PO11" s="1737"/>
      <c r="PP11" s="1737"/>
      <c r="PQ11" s="1737"/>
      <c r="PR11" s="1737"/>
      <c r="PS11" s="1737"/>
      <c r="PT11" s="1737"/>
      <c r="PU11" s="1737"/>
      <c r="PV11" s="1737"/>
      <c r="PW11" s="1737"/>
      <c r="PX11" s="1737"/>
      <c r="PY11" s="1737"/>
      <c r="PZ11" s="1737"/>
      <c r="QA11" s="1737"/>
      <c r="QB11" s="1737"/>
      <c r="QC11" s="1737"/>
      <c r="QD11" s="1737"/>
      <c r="QE11" s="1737"/>
      <c r="QF11" s="1737"/>
      <c r="QG11" s="1737"/>
      <c r="QH11" s="1737"/>
      <c r="QI11" s="1737"/>
      <c r="QJ11" s="1737"/>
      <c r="QK11" s="1737"/>
      <c r="QL11" s="1737"/>
      <c r="QM11" s="1737"/>
      <c r="QN11" s="1737"/>
      <c r="QO11" s="1737"/>
      <c r="QP11" s="1737"/>
      <c r="QQ11" s="1737"/>
      <c r="QR11" s="1737"/>
      <c r="QS11" s="1737"/>
      <c r="QT11" s="1737"/>
      <c r="QU11" s="1737"/>
      <c r="QV11" s="1737"/>
      <c r="QW11" s="1737"/>
      <c r="QX11" s="1737"/>
      <c r="QY11" s="1737"/>
      <c r="QZ11" s="1737"/>
      <c r="RA11" s="1737"/>
      <c r="RB11" s="1737"/>
      <c r="RC11" s="1737"/>
      <c r="RD11" s="1737"/>
      <c r="RE11" s="1737"/>
      <c r="RF11" s="1737"/>
      <c r="RG11" s="1737"/>
      <c r="RH11" s="1737"/>
      <c r="RI11" s="1737"/>
      <c r="RJ11" s="1737"/>
      <c r="RK11" s="1737"/>
      <c r="RL11" s="1737"/>
      <c r="RM11" s="1737"/>
      <c r="RN11" s="1737"/>
      <c r="RO11" s="1737"/>
      <c r="RP11" s="1737"/>
      <c r="RQ11" s="1737"/>
      <c r="RR11" s="1737"/>
      <c r="RS11" s="1737"/>
      <c r="RT11" s="1737"/>
      <c r="RU11" s="1737"/>
      <c r="RV11" s="1737"/>
      <c r="RW11" s="1737"/>
      <c r="RX11" s="1737"/>
      <c r="RY11" s="1737"/>
      <c r="RZ11" s="1737"/>
      <c r="SA11" s="1737"/>
      <c r="SB11" s="1737"/>
      <c r="SC11" s="1737"/>
      <c r="SD11" s="1737"/>
      <c r="SE11" s="1737"/>
      <c r="SF11" s="1737"/>
      <c r="SG11" s="1737"/>
      <c r="SH11" s="1737"/>
      <c r="SI11" s="1737"/>
      <c r="SJ11" s="1737"/>
      <c r="SK11" s="1737"/>
      <c r="SL11" s="1737"/>
      <c r="SM11" s="1737"/>
      <c r="SN11" s="1737"/>
      <c r="SO11" s="1737"/>
      <c r="SP11" s="1737"/>
      <c r="SQ11" s="1737"/>
      <c r="SR11" s="1737"/>
      <c r="SS11" s="1737"/>
      <c r="ST11" s="1737"/>
      <c r="SU11" s="1737"/>
      <c r="SV11" s="1737"/>
      <c r="SW11" s="1737"/>
      <c r="SX11" s="1737"/>
      <c r="SY11" s="1737"/>
      <c r="SZ11" s="1737"/>
      <c r="TA11" s="1737"/>
      <c r="TB11" s="1737"/>
      <c r="TC11" s="1737"/>
      <c r="TD11" s="1737"/>
      <c r="TE11" s="1737"/>
      <c r="TF11" s="1737"/>
      <c r="TG11" s="1737"/>
      <c r="TH11" s="1737"/>
      <c r="TI11" s="1737"/>
      <c r="TJ11" s="1737"/>
      <c r="TK11" s="1737"/>
      <c r="TL11" s="1737"/>
      <c r="TM11" s="1737"/>
      <c r="TN11" s="1737"/>
      <c r="TO11" s="1737"/>
      <c r="TP11" s="1737"/>
      <c r="TQ11" s="1737"/>
      <c r="TR11" s="1737"/>
      <c r="TS11" s="1737"/>
      <c r="TT11" s="1737"/>
      <c r="TU11" s="1737"/>
      <c r="TV11" s="1737"/>
      <c r="TW11" s="1737"/>
      <c r="TX11" s="1737"/>
      <c r="TY11" s="1737"/>
      <c r="TZ11" s="1737"/>
      <c r="UA11" s="1737"/>
      <c r="UB11" s="1737"/>
      <c r="UC11" s="1737"/>
      <c r="UD11" s="1737"/>
      <c r="UE11" s="1737"/>
      <c r="UF11" s="1737"/>
      <c r="UG11" s="1737"/>
      <c r="UH11" s="1737"/>
      <c r="UI11" s="1737"/>
      <c r="UJ11" s="1737"/>
      <c r="UK11" s="1737"/>
      <c r="UL11" s="1737"/>
      <c r="UM11" s="1737"/>
      <c r="UN11" s="1737"/>
      <c r="UO11" s="1737"/>
      <c r="UP11" s="1737"/>
      <c r="UQ11" s="1737"/>
      <c r="UR11" s="1737"/>
      <c r="US11" s="1737"/>
      <c r="UT11" s="1737"/>
      <c r="UU11" s="1737"/>
      <c r="UV11" s="1737"/>
      <c r="UW11" s="1737"/>
      <c r="UX11" s="1737"/>
      <c r="UY11" s="1737"/>
      <c r="UZ11" s="1737"/>
      <c r="VA11" s="1737"/>
      <c r="VB11" s="1737"/>
      <c r="VC11" s="1737"/>
      <c r="VD11" s="1737"/>
      <c r="VE11" s="1737"/>
      <c r="VF11" s="1737"/>
      <c r="VG11" s="1737"/>
      <c r="VH11" s="1737"/>
      <c r="VI11" s="1737"/>
      <c r="VJ11" s="1737"/>
      <c r="VK11" s="1737"/>
      <c r="VL11" s="1737"/>
      <c r="VM11" s="1737"/>
      <c r="VN11" s="1737"/>
      <c r="VO11" s="1737"/>
      <c r="VP11" s="1737"/>
      <c r="VQ11" s="1737"/>
      <c r="VR11" s="1737"/>
      <c r="VS11" s="1737"/>
      <c r="VT11" s="1737"/>
      <c r="VU11" s="1737"/>
      <c r="VV11" s="1737"/>
      <c r="VW11" s="1737"/>
      <c r="VX11" s="1737"/>
      <c r="VY11" s="1737"/>
      <c r="VZ11" s="1737"/>
      <c r="WA11" s="1737"/>
      <c r="WB11" s="1737"/>
      <c r="WC11" s="1737"/>
      <c r="WD11" s="1737"/>
      <c r="WE11" s="1737"/>
      <c r="WF11" s="1737"/>
      <c r="WG11" s="1737"/>
      <c r="WH11" s="1737"/>
      <c r="WI11" s="1737"/>
      <c r="WJ11" s="1737"/>
      <c r="WK11" s="1737"/>
      <c r="WL11" s="1737"/>
      <c r="WM11" s="1737"/>
      <c r="WN11" s="1737"/>
      <c r="WO11" s="1737"/>
      <c r="WP11" s="1737"/>
      <c r="WQ11" s="1737"/>
      <c r="WR11" s="1737"/>
      <c r="WS11" s="1737"/>
      <c r="WT11" s="1737"/>
      <c r="WU11" s="1737"/>
      <c r="WV11" s="1737"/>
      <c r="WW11" s="1737"/>
      <c r="WX11" s="1737"/>
      <c r="WY11" s="1737"/>
      <c r="WZ11" s="1737"/>
      <c r="XA11" s="1737"/>
      <c r="XB11" s="1737"/>
      <c r="XC11" s="1737"/>
      <c r="XD11" s="1737"/>
      <c r="XE11" s="1737"/>
      <c r="XF11" s="1737"/>
      <c r="XG11" s="1737"/>
      <c r="XH11" s="1737"/>
      <c r="XI11" s="1737"/>
      <c r="XJ11" s="1737"/>
      <c r="XK11" s="1737"/>
      <c r="XL11" s="1737"/>
      <c r="XM11" s="1737"/>
      <c r="XN11" s="1737"/>
      <c r="XO11" s="1737"/>
      <c r="XP11" s="1737"/>
      <c r="XQ11" s="1737"/>
      <c r="XR11" s="1737"/>
      <c r="XS11" s="1737"/>
      <c r="XT11" s="1737"/>
      <c r="XU11" s="1737"/>
      <c r="XV11" s="1737"/>
      <c r="XW11" s="1737"/>
      <c r="XX11" s="1737"/>
      <c r="XY11" s="1737"/>
      <c r="XZ11" s="1737"/>
      <c r="YA11" s="1737"/>
      <c r="YB11" s="1737"/>
      <c r="YC11" s="1737"/>
      <c r="YD11" s="1737"/>
      <c r="YE11" s="1737"/>
      <c r="YF11" s="1737"/>
      <c r="YG11" s="1737"/>
      <c r="YH11" s="1737"/>
      <c r="YI11" s="1737"/>
      <c r="YJ11" s="1737"/>
      <c r="YK11" s="1737"/>
      <c r="YL11" s="1737"/>
      <c r="YM11" s="1737"/>
      <c r="YN11" s="1737"/>
      <c r="YO11" s="1737"/>
      <c r="YP11" s="1737"/>
      <c r="YQ11" s="1737"/>
      <c r="YR11" s="1737"/>
      <c r="YS11" s="1737"/>
      <c r="YT11" s="1737"/>
      <c r="YU11" s="1737"/>
      <c r="YV11" s="1737"/>
      <c r="YW11" s="1737"/>
      <c r="YX11" s="1737"/>
      <c r="YY11" s="1737"/>
      <c r="YZ11" s="1737"/>
      <c r="ZA11" s="1737"/>
      <c r="ZB11" s="1737"/>
      <c r="ZC11" s="1737"/>
      <c r="ZD11" s="1737"/>
      <c r="ZE11" s="1737"/>
      <c r="ZF11" s="1737"/>
      <c r="ZG11" s="1737"/>
      <c r="ZH11" s="1737"/>
      <c r="ZI11" s="1737"/>
      <c r="ZJ11" s="1737"/>
      <c r="ZK11" s="1737"/>
      <c r="ZL11" s="1737"/>
      <c r="ZM11" s="1737"/>
      <c r="ZN11" s="1737"/>
      <c r="ZO11" s="1737"/>
      <c r="ZP11" s="1737"/>
      <c r="ZQ11" s="1737"/>
      <c r="ZR11" s="1737"/>
      <c r="ZS11" s="1737"/>
      <c r="ZT11" s="1737"/>
      <c r="ZU11" s="1737"/>
      <c r="ZV11" s="1737"/>
      <c r="ZW11" s="1737"/>
      <c r="ZX11" s="1737"/>
      <c r="ZY11" s="1737"/>
      <c r="ZZ11" s="1737"/>
      <c r="AAA11" s="1737"/>
      <c r="AAB11" s="1737"/>
      <c r="AAC11" s="1737"/>
      <c r="AAD11" s="1737"/>
      <c r="AAE11" s="1737"/>
      <c r="AAF11" s="1737"/>
      <c r="AAG11" s="1737"/>
      <c r="AAH11" s="1737"/>
      <c r="AAI11" s="1737"/>
      <c r="AAJ11" s="1737"/>
      <c r="AAK11" s="1737"/>
      <c r="AAL11" s="1737"/>
      <c r="AAM11" s="1737"/>
      <c r="AAN11" s="1737"/>
      <c r="AAO11" s="1737"/>
      <c r="AAP11" s="1737"/>
      <c r="AAQ11" s="1737"/>
      <c r="AAR11" s="1737"/>
      <c r="AAS11" s="1737"/>
      <c r="AAT11" s="1737"/>
      <c r="AAU11" s="1737"/>
      <c r="AAV11" s="1737"/>
      <c r="AAW11" s="1737"/>
      <c r="AAX11" s="1737"/>
      <c r="AAY11" s="1737"/>
      <c r="AAZ11" s="1737"/>
      <c r="ABA11" s="1737"/>
      <c r="ABB11" s="1737"/>
      <c r="ABC11" s="1737"/>
      <c r="ABD11" s="1737"/>
      <c r="ABE11" s="1737"/>
      <c r="ABF11" s="1737"/>
      <c r="ABG11" s="1737"/>
      <c r="ABH11" s="1737"/>
      <c r="ABI11" s="1737"/>
      <c r="ABJ11" s="1737"/>
      <c r="ABK11" s="1737"/>
      <c r="ABL11" s="1737"/>
      <c r="ABM11" s="1737"/>
      <c r="ABN11" s="1737"/>
      <c r="ABO11" s="1737"/>
      <c r="ABP11" s="1737"/>
      <c r="ABQ11" s="1737"/>
      <c r="ABR11" s="1737"/>
      <c r="ABS11" s="1737"/>
      <c r="ABT11" s="1737"/>
      <c r="ABU11" s="1737"/>
      <c r="ABV11" s="1737"/>
      <c r="ABW11" s="1737"/>
      <c r="ABX11" s="1737"/>
      <c r="ABY11" s="1737"/>
      <c r="ABZ11" s="1737"/>
      <c r="ACA11" s="1737"/>
      <c r="ACB11" s="1737"/>
      <c r="ACC11" s="1737"/>
      <c r="ACD11" s="1737"/>
      <c r="ACE11" s="1737"/>
      <c r="ACF11" s="1737"/>
      <c r="ACG11" s="1737"/>
      <c r="ACH11" s="1737"/>
      <c r="ACI11" s="1737"/>
      <c r="ACJ11" s="1737"/>
      <c r="ACK11" s="1737"/>
      <c r="ACL11" s="1737"/>
      <c r="ACM11" s="1737"/>
      <c r="ACN11" s="1737"/>
      <c r="ACO11" s="1737"/>
      <c r="ACP11" s="1737"/>
      <c r="ACQ11" s="1737"/>
      <c r="ACR11" s="1737"/>
      <c r="ACS11" s="1737"/>
      <c r="ACT11" s="1737"/>
      <c r="ACU11" s="1737"/>
      <c r="ACV11" s="1737"/>
      <c r="ACW11" s="1737"/>
      <c r="ACX11" s="1737"/>
      <c r="ACY11" s="1737"/>
      <c r="ACZ11" s="1737"/>
      <c r="ADA11" s="1737"/>
      <c r="ADB11" s="1737"/>
      <c r="ADC11" s="1737"/>
      <c r="ADD11" s="1737"/>
      <c r="ADE11" s="1737"/>
      <c r="ADF11" s="1737"/>
      <c r="ADG11" s="1737"/>
      <c r="ADH11" s="1737"/>
      <c r="ADI11" s="1737"/>
      <c r="ADJ11" s="1737"/>
      <c r="ADK11" s="1737"/>
      <c r="ADL11" s="1737"/>
      <c r="ADM11" s="1737"/>
      <c r="ADN11" s="1737"/>
      <c r="ADO11" s="1737"/>
      <c r="ADP11" s="1737"/>
      <c r="ADQ11" s="1737"/>
      <c r="ADR11" s="1737"/>
      <c r="ADS11" s="1737"/>
      <c r="ADT11" s="1737"/>
      <c r="ADU11" s="1737"/>
      <c r="ADV11" s="1737"/>
      <c r="ADW11" s="1737"/>
      <c r="ADX11" s="1737"/>
      <c r="ADY11" s="1737"/>
      <c r="ADZ11" s="1737"/>
      <c r="AEA11" s="1737"/>
      <c r="AEB11" s="1737"/>
      <c r="AEC11" s="1737"/>
      <c r="AED11" s="1737"/>
      <c r="AEE11" s="1737"/>
      <c r="AEF11" s="1737"/>
      <c r="AEG11" s="1737"/>
      <c r="AEH11" s="1737"/>
      <c r="AEI11" s="1737"/>
      <c r="AEJ11" s="1737"/>
      <c r="AEK11" s="1737"/>
      <c r="AEL11" s="1737"/>
      <c r="AEM11" s="1737"/>
      <c r="AEN11" s="1737"/>
      <c r="AEO11" s="1737"/>
      <c r="AEP11" s="1737"/>
      <c r="AEQ11" s="1737"/>
      <c r="AER11" s="1737"/>
      <c r="AES11" s="1737"/>
      <c r="AET11" s="1737"/>
      <c r="AEU11" s="1737"/>
      <c r="AEV11" s="1737"/>
      <c r="AEW11" s="1737"/>
      <c r="AEX11" s="1737"/>
      <c r="AEY11" s="1737"/>
      <c r="AEZ11" s="1737"/>
      <c r="AFA11" s="1737"/>
      <c r="AFB11" s="1737"/>
      <c r="AFC11" s="1737"/>
      <c r="AFD11" s="1737"/>
      <c r="AFE11" s="1737"/>
      <c r="AFF11" s="1737"/>
      <c r="AFG11" s="1737"/>
      <c r="AFH11" s="1737"/>
      <c r="AFI11" s="1737"/>
      <c r="AFJ11" s="1737"/>
      <c r="AFK11" s="1737"/>
      <c r="AFL11" s="1737"/>
      <c r="AFM11" s="1737"/>
      <c r="AFN11" s="1737"/>
      <c r="AFO11" s="1737"/>
      <c r="AFP11" s="1737"/>
      <c r="AFQ11" s="1737"/>
      <c r="AFR11" s="1737"/>
      <c r="AFS11" s="1737"/>
      <c r="AFT11" s="1737"/>
      <c r="AFU11" s="1737"/>
      <c r="AFV11" s="1737"/>
      <c r="AFW11" s="1737"/>
      <c r="AFX11" s="1737"/>
      <c r="AFY11" s="1737"/>
      <c r="AFZ11" s="1737"/>
      <c r="AGA11" s="1737"/>
      <c r="AGB11" s="1737"/>
      <c r="AGC11" s="1737"/>
      <c r="AGD11" s="1737"/>
      <c r="AGE11" s="1737"/>
    </row>
    <row r="12" spans="1:863" s="888" customFormat="1" ht="39" hidden="1" x14ac:dyDescent="0.45">
      <c r="B12" s="1282" t="s">
        <v>1073</v>
      </c>
      <c r="C12" s="1283" t="s">
        <v>1209</v>
      </c>
      <c r="D12" s="1283" t="s">
        <v>613</v>
      </c>
      <c r="E12" s="1283" t="s">
        <v>1257</v>
      </c>
      <c r="F12" s="1283" t="s">
        <v>1051</v>
      </c>
      <c r="G12" s="1283" t="s">
        <v>246</v>
      </c>
      <c r="H12" s="1283" t="s">
        <v>1692</v>
      </c>
      <c r="I12" s="1302" t="s">
        <v>226</v>
      </c>
      <c r="J12" s="1283"/>
      <c r="K12" s="1300">
        <v>129797.524618311</v>
      </c>
      <c r="L12" s="1283"/>
      <c r="M12" s="1308">
        <f>K12*EF_CH4_AD*ConFact_0.001*GWP_CH4</f>
        <v>2595.9504923662203</v>
      </c>
      <c r="N12" s="1283"/>
      <c r="O12" s="1098"/>
      <c r="P12" s="1309">
        <f>SUM(L12:N12)</f>
        <v>2595.9504923662203</v>
      </c>
      <c r="Q12" s="1737"/>
      <c r="R12" s="1737"/>
      <c r="S12" s="1760"/>
      <c r="T12" s="1737"/>
      <c r="U12" s="1737"/>
      <c r="V12" s="1737"/>
      <c r="W12" s="1737"/>
      <c r="X12" s="1737"/>
      <c r="Y12" s="1737"/>
      <c r="Z12" s="1737"/>
      <c r="AA12" s="1737"/>
      <c r="AB12" s="1737"/>
      <c r="AC12" s="1737"/>
      <c r="AD12" s="1737"/>
      <c r="AE12" s="1737"/>
      <c r="AF12" s="1737"/>
      <c r="AG12" s="1737"/>
      <c r="AH12" s="1737"/>
      <c r="AI12" s="1737"/>
      <c r="AJ12" s="1737"/>
      <c r="AK12" s="1737"/>
      <c r="AL12" s="1737"/>
      <c r="AM12" s="1737"/>
      <c r="AN12" s="1737"/>
      <c r="AO12" s="1737"/>
      <c r="AP12" s="1737"/>
      <c r="AQ12" s="1737"/>
      <c r="AR12" s="1737"/>
      <c r="AS12" s="1737"/>
      <c r="AT12" s="1737"/>
      <c r="AU12" s="1737"/>
      <c r="AV12" s="1737"/>
      <c r="AW12" s="1737"/>
      <c r="AX12" s="1737"/>
      <c r="AY12" s="1737"/>
      <c r="AZ12" s="1737"/>
      <c r="BA12" s="1737"/>
      <c r="BB12" s="1737"/>
      <c r="BC12" s="1737"/>
      <c r="BD12" s="1737"/>
      <c r="BE12" s="1737"/>
      <c r="BF12" s="1737"/>
      <c r="BG12" s="1737"/>
      <c r="BH12" s="1737"/>
      <c r="BI12" s="1737"/>
      <c r="BJ12" s="1737"/>
      <c r="BK12" s="1737"/>
      <c r="BL12" s="1737"/>
      <c r="BM12" s="1737"/>
      <c r="BN12" s="1737"/>
      <c r="BO12" s="1737"/>
      <c r="BP12" s="1737"/>
      <c r="BQ12" s="1737"/>
      <c r="BR12" s="1737"/>
      <c r="BS12" s="1737"/>
      <c r="BT12" s="1737"/>
      <c r="BU12" s="1737"/>
      <c r="BV12" s="1737"/>
      <c r="BW12" s="1737"/>
      <c r="BX12" s="1737"/>
      <c r="BY12" s="1737"/>
      <c r="BZ12" s="1737"/>
      <c r="CA12" s="1737"/>
      <c r="CB12" s="1737"/>
      <c r="CC12" s="1737"/>
      <c r="CD12" s="1737"/>
      <c r="CE12" s="1737"/>
      <c r="CF12" s="1737"/>
      <c r="CG12" s="1737"/>
      <c r="CH12" s="1737"/>
      <c r="CI12" s="1737"/>
      <c r="CJ12" s="1737"/>
      <c r="CK12" s="1737"/>
      <c r="CL12" s="1737"/>
      <c r="CM12" s="1737"/>
      <c r="CN12" s="1737"/>
      <c r="CO12" s="1737"/>
      <c r="CP12" s="1737"/>
      <c r="CQ12" s="1737"/>
      <c r="CR12" s="1737"/>
      <c r="CS12" s="1737"/>
      <c r="CT12" s="1737"/>
      <c r="CU12" s="1737"/>
      <c r="CV12" s="1737"/>
      <c r="CW12" s="1737"/>
      <c r="CX12" s="1737"/>
      <c r="CY12" s="1737"/>
      <c r="CZ12" s="1737"/>
      <c r="DA12" s="1737"/>
      <c r="DB12" s="1737"/>
      <c r="DC12" s="1737"/>
      <c r="DD12" s="1737"/>
      <c r="DE12" s="1737"/>
      <c r="DF12" s="1737"/>
      <c r="DG12" s="1737"/>
      <c r="DH12" s="1737"/>
      <c r="DI12" s="1737"/>
      <c r="DJ12" s="1737"/>
      <c r="DK12" s="1737"/>
      <c r="DL12" s="1737"/>
      <c r="DM12" s="1737"/>
      <c r="DN12" s="1737"/>
      <c r="DO12" s="1737"/>
      <c r="DP12" s="1737"/>
      <c r="DQ12" s="1737"/>
      <c r="DR12" s="1737"/>
      <c r="DS12" s="1737"/>
      <c r="DT12" s="1737"/>
      <c r="DU12" s="1737"/>
      <c r="DV12" s="1737"/>
      <c r="DW12" s="1737"/>
      <c r="DX12" s="1737"/>
      <c r="DY12" s="1737"/>
      <c r="DZ12" s="1737"/>
      <c r="EA12" s="1737"/>
      <c r="EB12" s="1737"/>
      <c r="EC12" s="1737"/>
      <c r="ED12" s="1737"/>
      <c r="EE12" s="1737"/>
      <c r="EF12" s="1737"/>
      <c r="EG12" s="1737"/>
      <c r="EH12" s="1737"/>
      <c r="EI12" s="1737"/>
      <c r="EJ12" s="1737"/>
      <c r="EK12" s="1737"/>
      <c r="EL12" s="1737"/>
      <c r="EM12" s="1737"/>
      <c r="EN12" s="1737"/>
      <c r="EO12" s="1737"/>
      <c r="EP12" s="1737"/>
      <c r="EQ12" s="1737"/>
      <c r="ER12" s="1737"/>
      <c r="ES12" s="1737"/>
      <c r="ET12" s="1737"/>
      <c r="EU12" s="1737"/>
      <c r="EV12" s="1737"/>
      <c r="EW12" s="1737"/>
      <c r="EX12" s="1737"/>
      <c r="EY12" s="1737"/>
      <c r="EZ12" s="1737"/>
      <c r="FA12" s="1737"/>
      <c r="FB12" s="1737"/>
      <c r="FC12" s="1737"/>
      <c r="FD12" s="1737"/>
      <c r="FE12" s="1737"/>
      <c r="FF12" s="1737"/>
      <c r="FG12" s="1737"/>
      <c r="FH12" s="1737"/>
      <c r="FI12" s="1737"/>
      <c r="FJ12" s="1737"/>
      <c r="FK12" s="1737"/>
      <c r="FL12" s="1737"/>
      <c r="FM12" s="1737"/>
      <c r="FN12" s="1737"/>
      <c r="FO12" s="1737"/>
      <c r="FP12" s="1737"/>
      <c r="FQ12" s="1737"/>
      <c r="FR12" s="1737"/>
      <c r="FS12" s="1737"/>
      <c r="FT12" s="1737"/>
      <c r="FU12" s="1737"/>
      <c r="FV12" s="1737"/>
      <c r="FW12" s="1737"/>
      <c r="FX12" s="1737"/>
      <c r="FY12" s="1737"/>
      <c r="FZ12" s="1737"/>
      <c r="GA12" s="1737"/>
      <c r="GB12" s="1737"/>
      <c r="GC12" s="1737"/>
      <c r="GD12" s="1737"/>
      <c r="GE12" s="1737"/>
      <c r="GF12" s="1737"/>
      <c r="GG12" s="1737"/>
      <c r="GH12" s="1737"/>
      <c r="GI12" s="1737"/>
      <c r="GJ12" s="1737"/>
      <c r="GK12" s="1737"/>
      <c r="GL12" s="1737"/>
      <c r="GM12" s="1737"/>
      <c r="GN12" s="1737"/>
      <c r="GO12" s="1737"/>
      <c r="GP12" s="1737"/>
      <c r="GQ12" s="1737"/>
      <c r="GR12" s="1737"/>
      <c r="GS12" s="1737"/>
      <c r="GT12" s="1737"/>
      <c r="GU12" s="1737"/>
      <c r="GV12" s="1737"/>
      <c r="GW12" s="1737"/>
      <c r="GX12" s="1737"/>
      <c r="GY12" s="1737"/>
      <c r="GZ12" s="1737"/>
      <c r="HA12" s="1737"/>
      <c r="HB12" s="1737"/>
      <c r="HC12" s="1737"/>
      <c r="HD12" s="1737"/>
      <c r="HE12" s="1737"/>
      <c r="HF12" s="1737"/>
      <c r="HG12" s="1737"/>
      <c r="HH12" s="1737"/>
      <c r="HI12" s="1737"/>
      <c r="HJ12" s="1737"/>
      <c r="HK12" s="1737"/>
      <c r="HL12" s="1737"/>
      <c r="HM12" s="1737"/>
      <c r="HN12" s="1737"/>
      <c r="HO12" s="1737"/>
      <c r="HP12" s="1737"/>
      <c r="HQ12" s="1737"/>
      <c r="HR12" s="1737"/>
      <c r="HS12" s="1737"/>
      <c r="HT12" s="1737"/>
      <c r="HU12" s="1737"/>
      <c r="HV12" s="1737"/>
      <c r="HW12" s="1737"/>
      <c r="HX12" s="1737"/>
      <c r="HY12" s="1737"/>
      <c r="HZ12" s="1737"/>
      <c r="IA12" s="1737"/>
      <c r="IB12" s="1737"/>
      <c r="IC12" s="1737"/>
      <c r="ID12" s="1737"/>
      <c r="IE12" s="1737"/>
      <c r="IF12" s="1737"/>
      <c r="IG12" s="1737"/>
      <c r="IH12" s="1737"/>
      <c r="II12" s="1737"/>
      <c r="IJ12" s="1737"/>
      <c r="IK12" s="1737"/>
      <c r="IL12" s="1737"/>
      <c r="IM12" s="1737"/>
      <c r="IN12" s="1737"/>
      <c r="IO12" s="1737"/>
      <c r="IP12" s="1737"/>
      <c r="IQ12" s="1737"/>
      <c r="IR12" s="1737"/>
      <c r="IS12" s="1737"/>
      <c r="IT12" s="1737"/>
      <c r="IU12" s="1737"/>
      <c r="IV12" s="1737"/>
      <c r="IW12" s="1737"/>
      <c r="IX12" s="1737"/>
      <c r="IY12" s="1737"/>
      <c r="IZ12" s="1737"/>
      <c r="JA12" s="1737"/>
      <c r="JB12" s="1737"/>
      <c r="JC12" s="1737"/>
      <c r="JD12" s="1737"/>
      <c r="JE12" s="1737"/>
      <c r="JF12" s="1737"/>
      <c r="JG12" s="1737"/>
      <c r="JH12" s="1737"/>
      <c r="JI12" s="1737"/>
      <c r="JJ12" s="1737"/>
      <c r="JK12" s="1737"/>
      <c r="JL12" s="1737"/>
      <c r="JM12" s="1737"/>
      <c r="JN12" s="1737"/>
      <c r="JO12" s="1737"/>
      <c r="JP12" s="1737"/>
      <c r="JQ12" s="1737"/>
      <c r="JR12" s="1737"/>
      <c r="JS12" s="1737"/>
      <c r="JT12" s="1737"/>
      <c r="JU12" s="1737"/>
      <c r="JV12" s="1737"/>
      <c r="JW12" s="1737"/>
      <c r="JX12" s="1737"/>
      <c r="JY12" s="1737"/>
      <c r="JZ12" s="1737"/>
      <c r="KA12" s="1737"/>
      <c r="KB12" s="1737"/>
      <c r="KC12" s="1737"/>
      <c r="KD12" s="1737"/>
      <c r="KE12" s="1737"/>
      <c r="KF12" s="1737"/>
      <c r="KG12" s="1737"/>
      <c r="KH12" s="1737"/>
      <c r="KI12" s="1737"/>
      <c r="KJ12" s="1737"/>
      <c r="KK12" s="1737"/>
      <c r="KL12" s="1737"/>
      <c r="KM12" s="1737"/>
      <c r="KN12" s="1737"/>
      <c r="KO12" s="1737"/>
      <c r="KP12" s="1737"/>
      <c r="KQ12" s="1737"/>
      <c r="KR12" s="1737"/>
      <c r="KS12" s="1737"/>
      <c r="KT12" s="1737"/>
      <c r="KU12" s="1737"/>
      <c r="KV12" s="1737"/>
      <c r="KW12" s="1737"/>
      <c r="KX12" s="1737"/>
      <c r="KY12" s="1737"/>
      <c r="KZ12" s="1737"/>
      <c r="LA12" s="1737"/>
      <c r="LB12" s="1737"/>
      <c r="LC12" s="1737"/>
      <c r="LD12" s="1737"/>
      <c r="LE12" s="1737"/>
      <c r="LF12" s="1737"/>
      <c r="LG12" s="1737"/>
      <c r="LH12" s="1737"/>
      <c r="LI12" s="1737"/>
      <c r="LJ12" s="1737"/>
      <c r="LK12" s="1737"/>
      <c r="LL12" s="1737"/>
      <c r="LM12" s="1737"/>
      <c r="LN12" s="1737"/>
      <c r="LO12" s="1737"/>
      <c r="LP12" s="1737"/>
      <c r="LQ12" s="1737"/>
      <c r="LR12" s="1737"/>
      <c r="LS12" s="1737"/>
      <c r="LT12" s="1737"/>
      <c r="LU12" s="1737"/>
      <c r="LV12" s="1737"/>
      <c r="LW12" s="1737"/>
      <c r="LX12" s="1737"/>
      <c r="LY12" s="1737"/>
      <c r="LZ12" s="1737"/>
      <c r="MA12" s="1737"/>
      <c r="MB12" s="1737"/>
      <c r="MC12" s="1737"/>
      <c r="MD12" s="1737"/>
      <c r="ME12" s="1737"/>
      <c r="MF12" s="1737"/>
      <c r="MG12" s="1737"/>
      <c r="MH12" s="1737"/>
      <c r="MI12" s="1737"/>
      <c r="MJ12" s="1737"/>
      <c r="MK12" s="1737"/>
      <c r="ML12" s="1737"/>
      <c r="MM12" s="1737"/>
      <c r="MN12" s="1737"/>
      <c r="MO12" s="1737"/>
      <c r="MP12" s="1737"/>
      <c r="MQ12" s="1737"/>
      <c r="MR12" s="1737"/>
      <c r="MS12" s="1737"/>
      <c r="MT12" s="1737"/>
      <c r="MU12" s="1737"/>
      <c r="MV12" s="1737"/>
      <c r="MW12" s="1737"/>
      <c r="MX12" s="1737"/>
      <c r="MY12" s="1737"/>
      <c r="MZ12" s="1737"/>
      <c r="NA12" s="1737"/>
      <c r="NB12" s="1737"/>
      <c r="NC12" s="1737"/>
      <c r="ND12" s="1737"/>
      <c r="NE12" s="1737"/>
      <c r="NF12" s="1737"/>
      <c r="NG12" s="1737"/>
      <c r="NH12" s="1737"/>
      <c r="NI12" s="1737"/>
      <c r="NJ12" s="1737"/>
      <c r="NK12" s="1737"/>
      <c r="NL12" s="1737"/>
      <c r="NM12" s="1737"/>
      <c r="NN12" s="1737"/>
      <c r="NO12" s="1737"/>
      <c r="NP12" s="1737"/>
      <c r="NQ12" s="1737"/>
      <c r="NR12" s="1737"/>
      <c r="NS12" s="1737"/>
      <c r="NT12" s="1737"/>
      <c r="NU12" s="1737"/>
      <c r="NV12" s="1737"/>
      <c r="NW12" s="1737"/>
      <c r="NX12" s="1737"/>
      <c r="NY12" s="1737"/>
      <c r="NZ12" s="1737"/>
      <c r="OA12" s="1737"/>
      <c r="OB12" s="1737"/>
      <c r="OC12" s="1737"/>
      <c r="OD12" s="1737"/>
      <c r="OE12" s="1737"/>
      <c r="OF12" s="1737"/>
      <c r="OG12" s="1737"/>
      <c r="OH12" s="1737"/>
      <c r="OI12" s="1737"/>
      <c r="OJ12" s="1737"/>
      <c r="OK12" s="1737"/>
      <c r="OL12" s="1737"/>
      <c r="OM12" s="1737"/>
      <c r="ON12" s="1737"/>
      <c r="OO12" s="1737"/>
      <c r="OP12" s="1737"/>
      <c r="OQ12" s="1737"/>
      <c r="OR12" s="1737"/>
      <c r="OS12" s="1737"/>
      <c r="OT12" s="1737"/>
      <c r="OU12" s="1737"/>
      <c r="OV12" s="1737"/>
      <c r="OW12" s="1737"/>
      <c r="OX12" s="1737"/>
      <c r="OY12" s="1737"/>
      <c r="OZ12" s="1737"/>
      <c r="PA12" s="1737"/>
      <c r="PB12" s="1737"/>
      <c r="PC12" s="1737"/>
      <c r="PD12" s="1737"/>
      <c r="PE12" s="1737"/>
      <c r="PF12" s="1737"/>
      <c r="PG12" s="1737"/>
      <c r="PH12" s="1737"/>
      <c r="PI12" s="1737"/>
      <c r="PJ12" s="1737"/>
      <c r="PK12" s="1737"/>
      <c r="PL12" s="1737"/>
      <c r="PM12" s="1737"/>
      <c r="PN12" s="1737"/>
      <c r="PO12" s="1737"/>
      <c r="PP12" s="1737"/>
      <c r="PQ12" s="1737"/>
      <c r="PR12" s="1737"/>
      <c r="PS12" s="1737"/>
      <c r="PT12" s="1737"/>
      <c r="PU12" s="1737"/>
      <c r="PV12" s="1737"/>
      <c r="PW12" s="1737"/>
      <c r="PX12" s="1737"/>
      <c r="PY12" s="1737"/>
      <c r="PZ12" s="1737"/>
      <c r="QA12" s="1737"/>
      <c r="QB12" s="1737"/>
      <c r="QC12" s="1737"/>
      <c r="QD12" s="1737"/>
      <c r="QE12" s="1737"/>
      <c r="QF12" s="1737"/>
      <c r="QG12" s="1737"/>
      <c r="QH12" s="1737"/>
      <c r="QI12" s="1737"/>
      <c r="QJ12" s="1737"/>
      <c r="QK12" s="1737"/>
      <c r="QL12" s="1737"/>
      <c r="QM12" s="1737"/>
      <c r="QN12" s="1737"/>
      <c r="QO12" s="1737"/>
      <c r="QP12" s="1737"/>
      <c r="QQ12" s="1737"/>
      <c r="QR12" s="1737"/>
      <c r="QS12" s="1737"/>
      <c r="QT12" s="1737"/>
      <c r="QU12" s="1737"/>
      <c r="QV12" s="1737"/>
      <c r="QW12" s="1737"/>
      <c r="QX12" s="1737"/>
      <c r="QY12" s="1737"/>
      <c r="QZ12" s="1737"/>
      <c r="RA12" s="1737"/>
      <c r="RB12" s="1737"/>
      <c r="RC12" s="1737"/>
      <c r="RD12" s="1737"/>
      <c r="RE12" s="1737"/>
      <c r="RF12" s="1737"/>
      <c r="RG12" s="1737"/>
      <c r="RH12" s="1737"/>
      <c r="RI12" s="1737"/>
      <c r="RJ12" s="1737"/>
      <c r="RK12" s="1737"/>
      <c r="RL12" s="1737"/>
      <c r="RM12" s="1737"/>
      <c r="RN12" s="1737"/>
      <c r="RO12" s="1737"/>
      <c r="RP12" s="1737"/>
      <c r="RQ12" s="1737"/>
      <c r="RR12" s="1737"/>
      <c r="RS12" s="1737"/>
      <c r="RT12" s="1737"/>
      <c r="RU12" s="1737"/>
      <c r="RV12" s="1737"/>
      <c r="RW12" s="1737"/>
      <c r="RX12" s="1737"/>
      <c r="RY12" s="1737"/>
      <c r="RZ12" s="1737"/>
      <c r="SA12" s="1737"/>
      <c r="SB12" s="1737"/>
      <c r="SC12" s="1737"/>
      <c r="SD12" s="1737"/>
      <c r="SE12" s="1737"/>
      <c r="SF12" s="1737"/>
      <c r="SG12" s="1737"/>
      <c r="SH12" s="1737"/>
      <c r="SI12" s="1737"/>
      <c r="SJ12" s="1737"/>
      <c r="SK12" s="1737"/>
      <c r="SL12" s="1737"/>
      <c r="SM12" s="1737"/>
      <c r="SN12" s="1737"/>
      <c r="SO12" s="1737"/>
      <c r="SP12" s="1737"/>
      <c r="SQ12" s="1737"/>
      <c r="SR12" s="1737"/>
      <c r="SS12" s="1737"/>
      <c r="ST12" s="1737"/>
      <c r="SU12" s="1737"/>
      <c r="SV12" s="1737"/>
      <c r="SW12" s="1737"/>
      <c r="SX12" s="1737"/>
      <c r="SY12" s="1737"/>
      <c r="SZ12" s="1737"/>
      <c r="TA12" s="1737"/>
      <c r="TB12" s="1737"/>
      <c r="TC12" s="1737"/>
      <c r="TD12" s="1737"/>
      <c r="TE12" s="1737"/>
      <c r="TF12" s="1737"/>
      <c r="TG12" s="1737"/>
      <c r="TH12" s="1737"/>
      <c r="TI12" s="1737"/>
      <c r="TJ12" s="1737"/>
      <c r="TK12" s="1737"/>
      <c r="TL12" s="1737"/>
      <c r="TM12" s="1737"/>
      <c r="TN12" s="1737"/>
      <c r="TO12" s="1737"/>
      <c r="TP12" s="1737"/>
      <c r="TQ12" s="1737"/>
      <c r="TR12" s="1737"/>
      <c r="TS12" s="1737"/>
      <c r="TT12" s="1737"/>
      <c r="TU12" s="1737"/>
      <c r="TV12" s="1737"/>
      <c r="TW12" s="1737"/>
      <c r="TX12" s="1737"/>
      <c r="TY12" s="1737"/>
      <c r="TZ12" s="1737"/>
      <c r="UA12" s="1737"/>
      <c r="UB12" s="1737"/>
      <c r="UC12" s="1737"/>
      <c r="UD12" s="1737"/>
      <c r="UE12" s="1737"/>
      <c r="UF12" s="1737"/>
      <c r="UG12" s="1737"/>
      <c r="UH12" s="1737"/>
      <c r="UI12" s="1737"/>
      <c r="UJ12" s="1737"/>
      <c r="UK12" s="1737"/>
      <c r="UL12" s="1737"/>
      <c r="UM12" s="1737"/>
      <c r="UN12" s="1737"/>
      <c r="UO12" s="1737"/>
      <c r="UP12" s="1737"/>
      <c r="UQ12" s="1737"/>
      <c r="UR12" s="1737"/>
      <c r="US12" s="1737"/>
      <c r="UT12" s="1737"/>
      <c r="UU12" s="1737"/>
      <c r="UV12" s="1737"/>
      <c r="UW12" s="1737"/>
      <c r="UX12" s="1737"/>
      <c r="UY12" s="1737"/>
      <c r="UZ12" s="1737"/>
      <c r="VA12" s="1737"/>
      <c r="VB12" s="1737"/>
      <c r="VC12" s="1737"/>
      <c r="VD12" s="1737"/>
      <c r="VE12" s="1737"/>
      <c r="VF12" s="1737"/>
      <c r="VG12" s="1737"/>
      <c r="VH12" s="1737"/>
      <c r="VI12" s="1737"/>
      <c r="VJ12" s="1737"/>
      <c r="VK12" s="1737"/>
      <c r="VL12" s="1737"/>
      <c r="VM12" s="1737"/>
      <c r="VN12" s="1737"/>
      <c r="VO12" s="1737"/>
      <c r="VP12" s="1737"/>
      <c r="VQ12" s="1737"/>
      <c r="VR12" s="1737"/>
      <c r="VS12" s="1737"/>
      <c r="VT12" s="1737"/>
      <c r="VU12" s="1737"/>
      <c r="VV12" s="1737"/>
      <c r="VW12" s="1737"/>
      <c r="VX12" s="1737"/>
      <c r="VY12" s="1737"/>
      <c r="VZ12" s="1737"/>
      <c r="WA12" s="1737"/>
      <c r="WB12" s="1737"/>
      <c r="WC12" s="1737"/>
      <c r="WD12" s="1737"/>
      <c r="WE12" s="1737"/>
      <c r="WF12" s="1737"/>
      <c r="WG12" s="1737"/>
      <c r="WH12" s="1737"/>
      <c r="WI12" s="1737"/>
      <c r="WJ12" s="1737"/>
      <c r="WK12" s="1737"/>
      <c r="WL12" s="1737"/>
      <c r="WM12" s="1737"/>
      <c r="WN12" s="1737"/>
      <c r="WO12" s="1737"/>
      <c r="WP12" s="1737"/>
      <c r="WQ12" s="1737"/>
      <c r="WR12" s="1737"/>
      <c r="WS12" s="1737"/>
      <c r="WT12" s="1737"/>
      <c r="WU12" s="1737"/>
      <c r="WV12" s="1737"/>
      <c r="WW12" s="1737"/>
      <c r="WX12" s="1737"/>
      <c r="WY12" s="1737"/>
      <c r="WZ12" s="1737"/>
      <c r="XA12" s="1737"/>
      <c r="XB12" s="1737"/>
      <c r="XC12" s="1737"/>
      <c r="XD12" s="1737"/>
      <c r="XE12" s="1737"/>
      <c r="XF12" s="1737"/>
      <c r="XG12" s="1737"/>
      <c r="XH12" s="1737"/>
      <c r="XI12" s="1737"/>
      <c r="XJ12" s="1737"/>
      <c r="XK12" s="1737"/>
      <c r="XL12" s="1737"/>
      <c r="XM12" s="1737"/>
      <c r="XN12" s="1737"/>
      <c r="XO12" s="1737"/>
      <c r="XP12" s="1737"/>
      <c r="XQ12" s="1737"/>
      <c r="XR12" s="1737"/>
      <c r="XS12" s="1737"/>
      <c r="XT12" s="1737"/>
      <c r="XU12" s="1737"/>
      <c r="XV12" s="1737"/>
      <c r="XW12" s="1737"/>
      <c r="XX12" s="1737"/>
      <c r="XY12" s="1737"/>
      <c r="XZ12" s="1737"/>
      <c r="YA12" s="1737"/>
      <c r="YB12" s="1737"/>
      <c r="YC12" s="1737"/>
      <c r="YD12" s="1737"/>
      <c r="YE12" s="1737"/>
      <c r="YF12" s="1737"/>
      <c r="YG12" s="1737"/>
      <c r="YH12" s="1737"/>
      <c r="YI12" s="1737"/>
      <c r="YJ12" s="1737"/>
      <c r="YK12" s="1737"/>
      <c r="YL12" s="1737"/>
      <c r="YM12" s="1737"/>
      <c r="YN12" s="1737"/>
      <c r="YO12" s="1737"/>
      <c r="YP12" s="1737"/>
      <c r="YQ12" s="1737"/>
      <c r="YR12" s="1737"/>
      <c r="YS12" s="1737"/>
      <c r="YT12" s="1737"/>
      <c r="YU12" s="1737"/>
      <c r="YV12" s="1737"/>
      <c r="YW12" s="1737"/>
      <c r="YX12" s="1737"/>
      <c r="YY12" s="1737"/>
      <c r="YZ12" s="1737"/>
      <c r="ZA12" s="1737"/>
      <c r="ZB12" s="1737"/>
      <c r="ZC12" s="1737"/>
      <c r="ZD12" s="1737"/>
      <c r="ZE12" s="1737"/>
      <c r="ZF12" s="1737"/>
      <c r="ZG12" s="1737"/>
      <c r="ZH12" s="1737"/>
      <c r="ZI12" s="1737"/>
      <c r="ZJ12" s="1737"/>
      <c r="ZK12" s="1737"/>
      <c r="ZL12" s="1737"/>
      <c r="ZM12" s="1737"/>
      <c r="ZN12" s="1737"/>
      <c r="ZO12" s="1737"/>
      <c r="ZP12" s="1737"/>
      <c r="ZQ12" s="1737"/>
      <c r="ZR12" s="1737"/>
      <c r="ZS12" s="1737"/>
      <c r="ZT12" s="1737"/>
      <c r="ZU12" s="1737"/>
      <c r="ZV12" s="1737"/>
      <c r="ZW12" s="1737"/>
      <c r="ZX12" s="1737"/>
      <c r="ZY12" s="1737"/>
      <c r="ZZ12" s="1737"/>
      <c r="AAA12" s="1737"/>
      <c r="AAB12" s="1737"/>
      <c r="AAC12" s="1737"/>
      <c r="AAD12" s="1737"/>
      <c r="AAE12" s="1737"/>
      <c r="AAF12" s="1737"/>
      <c r="AAG12" s="1737"/>
      <c r="AAH12" s="1737"/>
      <c r="AAI12" s="1737"/>
      <c r="AAJ12" s="1737"/>
      <c r="AAK12" s="1737"/>
      <c r="AAL12" s="1737"/>
      <c r="AAM12" s="1737"/>
      <c r="AAN12" s="1737"/>
      <c r="AAO12" s="1737"/>
      <c r="AAP12" s="1737"/>
      <c r="AAQ12" s="1737"/>
      <c r="AAR12" s="1737"/>
      <c r="AAS12" s="1737"/>
      <c r="AAT12" s="1737"/>
      <c r="AAU12" s="1737"/>
      <c r="AAV12" s="1737"/>
      <c r="AAW12" s="1737"/>
      <c r="AAX12" s="1737"/>
      <c r="AAY12" s="1737"/>
      <c r="AAZ12" s="1737"/>
      <c r="ABA12" s="1737"/>
      <c r="ABB12" s="1737"/>
      <c r="ABC12" s="1737"/>
      <c r="ABD12" s="1737"/>
      <c r="ABE12" s="1737"/>
      <c r="ABF12" s="1737"/>
      <c r="ABG12" s="1737"/>
      <c r="ABH12" s="1737"/>
      <c r="ABI12" s="1737"/>
      <c r="ABJ12" s="1737"/>
      <c r="ABK12" s="1737"/>
      <c r="ABL12" s="1737"/>
      <c r="ABM12" s="1737"/>
      <c r="ABN12" s="1737"/>
      <c r="ABO12" s="1737"/>
      <c r="ABP12" s="1737"/>
      <c r="ABQ12" s="1737"/>
      <c r="ABR12" s="1737"/>
      <c r="ABS12" s="1737"/>
      <c r="ABT12" s="1737"/>
      <c r="ABU12" s="1737"/>
      <c r="ABV12" s="1737"/>
      <c r="ABW12" s="1737"/>
      <c r="ABX12" s="1737"/>
      <c r="ABY12" s="1737"/>
      <c r="ABZ12" s="1737"/>
      <c r="ACA12" s="1737"/>
      <c r="ACB12" s="1737"/>
      <c r="ACC12" s="1737"/>
      <c r="ACD12" s="1737"/>
      <c r="ACE12" s="1737"/>
      <c r="ACF12" s="1737"/>
      <c r="ACG12" s="1737"/>
      <c r="ACH12" s="1737"/>
      <c r="ACI12" s="1737"/>
      <c r="ACJ12" s="1737"/>
      <c r="ACK12" s="1737"/>
      <c r="ACL12" s="1737"/>
      <c r="ACM12" s="1737"/>
      <c r="ACN12" s="1737"/>
      <c r="ACO12" s="1737"/>
      <c r="ACP12" s="1737"/>
      <c r="ACQ12" s="1737"/>
      <c r="ACR12" s="1737"/>
      <c r="ACS12" s="1737"/>
      <c r="ACT12" s="1737"/>
      <c r="ACU12" s="1737"/>
      <c r="ACV12" s="1737"/>
      <c r="ACW12" s="1737"/>
      <c r="ACX12" s="1737"/>
      <c r="ACY12" s="1737"/>
      <c r="ACZ12" s="1737"/>
      <c r="ADA12" s="1737"/>
      <c r="ADB12" s="1737"/>
      <c r="ADC12" s="1737"/>
      <c r="ADD12" s="1737"/>
      <c r="ADE12" s="1737"/>
      <c r="ADF12" s="1737"/>
      <c r="ADG12" s="1737"/>
      <c r="ADH12" s="1737"/>
      <c r="ADI12" s="1737"/>
      <c r="ADJ12" s="1737"/>
      <c r="ADK12" s="1737"/>
      <c r="ADL12" s="1737"/>
      <c r="ADM12" s="1737"/>
      <c r="ADN12" s="1737"/>
      <c r="ADO12" s="1737"/>
      <c r="ADP12" s="1737"/>
      <c r="ADQ12" s="1737"/>
      <c r="ADR12" s="1737"/>
      <c r="ADS12" s="1737"/>
      <c r="ADT12" s="1737"/>
      <c r="ADU12" s="1737"/>
      <c r="ADV12" s="1737"/>
      <c r="ADW12" s="1737"/>
      <c r="ADX12" s="1737"/>
      <c r="ADY12" s="1737"/>
      <c r="ADZ12" s="1737"/>
      <c r="AEA12" s="1737"/>
      <c r="AEB12" s="1737"/>
      <c r="AEC12" s="1737"/>
      <c r="AED12" s="1737"/>
      <c r="AEE12" s="1737"/>
      <c r="AEF12" s="1737"/>
      <c r="AEG12" s="1737"/>
      <c r="AEH12" s="1737"/>
      <c r="AEI12" s="1737"/>
      <c r="AEJ12" s="1737"/>
      <c r="AEK12" s="1737"/>
      <c r="AEL12" s="1737"/>
      <c r="AEM12" s="1737"/>
      <c r="AEN12" s="1737"/>
      <c r="AEO12" s="1737"/>
      <c r="AEP12" s="1737"/>
      <c r="AEQ12" s="1737"/>
      <c r="AER12" s="1737"/>
      <c r="AES12" s="1737"/>
      <c r="AET12" s="1737"/>
      <c r="AEU12" s="1737"/>
      <c r="AEV12" s="1737"/>
      <c r="AEW12" s="1737"/>
      <c r="AEX12" s="1737"/>
      <c r="AEY12" s="1737"/>
      <c r="AEZ12" s="1737"/>
      <c r="AFA12" s="1737"/>
      <c r="AFB12" s="1737"/>
      <c r="AFC12" s="1737"/>
      <c r="AFD12" s="1737"/>
      <c r="AFE12" s="1737"/>
      <c r="AFF12" s="1737"/>
      <c r="AFG12" s="1737"/>
      <c r="AFH12" s="1737"/>
      <c r="AFI12" s="1737"/>
      <c r="AFJ12" s="1737"/>
      <c r="AFK12" s="1737"/>
      <c r="AFL12" s="1737"/>
      <c r="AFM12" s="1737"/>
      <c r="AFN12" s="1737"/>
      <c r="AFO12" s="1737"/>
      <c r="AFP12" s="1737"/>
      <c r="AFQ12" s="1737"/>
      <c r="AFR12" s="1737"/>
      <c r="AFS12" s="1737"/>
      <c r="AFT12" s="1737"/>
      <c r="AFU12" s="1737"/>
      <c r="AFV12" s="1737"/>
      <c r="AFW12" s="1737"/>
      <c r="AFX12" s="1737"/>
      <c r="AFY12" s="1737"/>
      <c r="AFZ12" s="1737"/>
      <c r="AGA12" s="1737"/>
      <c r="AGB12" s="1737"/>
      <c r="AGC12" s="1737"/>
      <c r="AGD12" s="1737"/>
      <c r="AGE12" s="1737"/>
    </row>
    <row r="13" spans="1:863" s="888" customFormat="1" ht="42.75" x14ac:dyDescent="0.45">
      <c r="B13" s="1142" t="s">
        <v>1073</v>
      </c>
      <c r="C13" s="1076" t="s">
        <v>1209</v>
      </c>
      <c r="D13" s="1076" t="s">
        <v>613</v>
      </c>
      <c r="E13" s="1076" t="s">
        <v>1257</v>
      </c>
      <c r="F13" s="1076" t="s">
        <v>1050</v>
      </c>
      <c r="G13" s="1076" t="s">
        <v>293</v>
      </c>
      <c r="H13" s="1167" t="s">
        <v>1692</v>
      </c>
      <c r="I13" s="1170" t="s">
        <v>321</v>
      </c>
      <c r="J13" s="1170"/>
      <c r="K13" s="1172">
        <v>159129.85999999996</v>
      </c>
      <c r="L13" s="1177"/>
      <c r="M13" s="1178">
        <f>K13*EF_CH4_Composting*ConFact_0.001*GWP_CH4</f>
        <v>15912.985999999995</v>
      </c>
      <c r="N13" s="1178">
        <f>K13*EF_N2O_Composting*ConFact_0.001*GWP_N2O</f>
        <v>11380.967587199995</v>
      </c>
      <c r="O13" s="1098"/>
      <c r="P13" s="1172">
        <f t="shared" ref="P13:P16" si="0">SUM(L13:N13)</f>
        <v>27293.953587199991</v>
      </c>
      <c r="Q13" s="1737"/>
      <c r="R13" s="1737"/>
      <c r="S13" s="1760"/>
      <c r="T13" s="1737"/>
      <c r="U13" s="1737"/>
      <c r="V13" s="1737"/>
      <c r="W13" s="1737"/>
      <c r="X13" s="1737"/>
      <c r="Y13" s="1737"/>
      <c r="Z13" s="1737"/>
      <c r="AA13" s="1737"/>
      <c r="AB13" s="1737"/>
      <c r="AC13" s="1737"/>
      <c r="AD13" s="1737"/>
      <c r="AE13" s="1737"/>
      <c r="AF13" s="1737"/>
      <c r="AG13" s="1737"/>
      <c r="AH13" s="1737"/>
      <c r="AI13" s="1737"/>
      <c r="AJ13" s="1737"/>
      <c r="AK13" s="1737"/>
      <c r="AL13" s="1737"/>
      <c r="AM13" s="1737"/>
      <c r="AN13" s="1737"/>
      <c r="AO13" s="1737"/>
      <c r="AP13" s="1737"/>
      <c r="AQ13" s="1737"/>
      <c r="AR13" s="1737"/>
      <c r="AS13" s="1737"/>
      <c r="AT13" s="1737"/>
      <c r="AU13" s="1737"/>
      <c r="AV13" s="1737"/>
      <c r="AW13" s="1737"/>
      <c r="AX13" s="1737"/>
      <c r="AY13" s="1737"/>
      <c r="AZ13" s="1737"/>
      <c r="BA13" s="1737"/>
      <c r="BB13" s="1737"/>
      <c r="BC13" s="1737"/>
      <c r="BD13" s="1737"/>
      <c r="BE13" s="1737"/>
      <c r="BF13" s="1737"/>
      <c r="BG13" s="1737"/>
      <c r="BH13" s="1737"/>
      <c r="BI13" s="1737"/>
      <c r="BJ13" s="1737"/>
      <c r="BK13" s="1737"/>
      <c r="BL13" s="1737"/>
      <c r="BM13" s="1737"/>
      <c r="BN13" s="1737"/>
      <c r="BO13" s="1737"/>
      <c r="BP13" s="1737"/>
      <c r="BQ13" s="1737"/>
      <c r="BR13" s="1737"/>
      <c r="BS13" s="1737"/>
      <c r="BT13" s="1737"/>
      <c r="BU13" s="1737"/>
      <c r="BV13" s="1737"/>
      <c r="BW13" s="1737"/>
      <c r="BX13" s="1737"/>
      <c r="BY13" s="1737"/>
      <c r="BZ13" s="1737"/>
      <c r="CA13" s="1737"/>
      <c r="CB13" s="1737"/>
      <c r="CC13" s="1737"/>
      <c r="CD13" s="1737"/>
      <c r="CE13" s="1737"/>
      <c r="CF13" s="1737"/>
      <c r="CG13" s="1737"/>
      <c r="CH13" s="1737"/>
      <c r="CI13" s="1737"/>
      <c r="CJ13" s="1737"/>
      <c r="CK13" s="1737"/>
      <c r="CL13" s="1737"/>
      <c r="CM13" s="1737"/>
      <c r="CN13" s="1737"/>
      <c r="CO13" s="1737"/>
      <c r="CP13" s="1737"/>
      <c r="CQ13" s="1737"/>
      <c r="CR13" s="1737"/>
      <c r="CS13" s="1737"/>
      <c r="CT13" s="1737"/>
      <c r="CU13" s="1737"/>
      <c r="CV13" s="1737"/>
      <c r="CW13" s="1737"/>
      <c r="CX13" s="1737"/>
      <c r="CY13" s="1737"/>
      <c r="CZ13" s="1737"/>
      <c r="DA13" s="1737"/>
      <c r="DB13" s="1737"/>
      <c r="DC13" s="1737"/>
      <c r="DD13" s="1737"/>
      <c r="DE13" s="1737"/>
      <c r="DF13" s="1737"/>
      <c r="DG13" s="1737"/>
      <c r="DH13" s="1737"/>
      <c r="DI13" s="1737"/>
      <c r="DJ13" s="1737"/>
      <c r="DK13" s="1737"/>
      <c r="DL13" s="1737"/>
      <c r="DM13" s="1737"/>
      <c r="DN13" s="1737"/>
      <c r="DO13" s="1737"/>
      <c r="DP13" s="1737"/>
      <c r="DQ13" s="1737"/>
      <c r="DR13" s="1737"/>
      <c r="DS13" s="1737"/>
      <c r="DT13" s="1737"/>
      <c r="DU13" s="1737"/>
      <c r="DV13" s="1737"/>
      <c r="DW13" s="1737"/>
      <c r="DX13" s="1737"/>
      <c r="DY13" s="1737"/>
      <c r="DZ13" s="1737"/>
      <c r="EA13" s="1737"/>
      <c r="EB13" s="1737"/>
      <c r="EC13" s="1737"/>
      <c r="ED13" s="1737"/>
      <c r="EE13" s="1737"/>
      <c r="EF13" s="1737"/>
      <c r="EG13" s="1737"/>
      <c r="EH13" s="1737"/>
      <c r="EI13" s="1737"/>
      <c r="EJ13" s="1737"/>
      <c r="EK13" s="1737"/>
      <c r="EL13" s="1737"/>
      <c r="EM13" s="1737"/>
      <c r="EN13" s="1737"/>
      <c r="EO13" s="1737"/>
      <c r="EP13" s="1737"/>
      <c r="EQ13" s="1737"/>
      <c r="ER13" s="1737"/>
      <c r="ES13" s="1737"/>
      <c r="ET13" s="1737"/>
      <c r="EU13" s="1737"/>
      <c r="EV13" s="1737"/>
      <c r="EW13" s="1737"/>
      <c r="EX13" s="1737"/>
      <c r="EY13" s="1737"/>
      <c r="EZ13" s="1737"/>
      <c r="FA13" s="1737"/>
      <c r="FB13" s="1737"/>
      <c r="FC13" s="1737"/>
      <c r="FD13" s="1737"/>
      <c r="FE13" s="1737"/>
      <c r="FF13" s="1737"/>
      <c r="FG13" s="1737"/>
      <c r="FH13" s="1737"/>
      <c r="FI13" s="1737"/>
      <c r="FJ13" s="1737"/>
      <c r="FK13" s="1737"/>
      <c r="FL13" s="1737"/>
      <c r="FM13" s="1737"/>
      <c r="FN13" s="1737"/>
      <c r="FO13" s="1737"/>
      <c r="FP13" s="1737"/>
      <c r="FQ13" s="1737"/>
      <c r="FR13" s="1737"/>
      <c r="FS13" s="1737"/>
      <c r="FT13" s="1737"/>
      <c r="FU13" s="1737"/>
      <c r="FV13" s="1737"/>
      <c r="FW13" s="1737"/>
      <c r="FX13" s="1737"/>
      <c r="FY13" s="1737"/>
      <c r="FZ13" s="1737"/>
      <c r="GA13" s="1737"/>
      <c r="GB13" s="1737"/>
      <c r="GC13" s="1737"/>
      <c r="GD13" s="1737"/>
      <c r="GE13" s="1737"/>
      <c r="GF13" s="1737"/>
      <c r="GG13" s="1737"/>
      <c r="GH13" s="1737"/>
      <c r="GI13" s="1737"/>
      <c r="GJ13" s="1737"/>
      <c r="GK13" s="1737"/>
      <c r="GL13" s="1737"/>
      <c r="GM13" s="1737"/>
      <c r="GN13" s="1737"/>
      <c r="GO13" s="1737"/>
      <c r="GP13" s="1737"/>
      <c r="GQ13" s="1737"/>
      <c r="GR13" s="1737"/>
      <c r="GS13" s="1737"/>
      <c r="GT13" s="1737"/>
      <c r="GU13" s="1737"/>
      <c r="GV13" s="1737"/>
      <c r="GW13" s="1737"/>
      <c r="GX13" s="1737"/>
      <c r="GY13" s="1737"/>
      <c r="GZ13" s="1737"/>
      <c r="HA13" s="1737"/>
      <c r="HB13" s="1737"/>
      <c r="HC13" s="1737"/>
      <c r="HD13" s="1737"/>
      <c r="HE13" s="1737"/>
      <c r="HF13" s="1737"/>
      <c r="HG13" s="1737"/>
      <c r="HH13" s="1737"/>
      <c r="HI13" s="1737"/>
      <c r="HJ13" s="1737"/>
      <c r="HK13" s="1737"/>
      <c r="HL13" s="1737"/>
      <c r="HM13" s="1737"/>
      <c r="HN13" s="1737"/>
      <c r="HO13" s="1737"/>
      <c r="HP13" s="1737"/>
      <c r="HQ13" s="1737"/>
      <c r="HR13" s="1737"/>
      <c r="HS13" s="1737"/>
      <c r="HT13" s="1737"/>
      <c r="HU13" s="1737"/>
      <c r="HV13" s="1737"/>
      <c r="HW13" s="1737"/>
      <c r="HX13" s="1737"/>
      <c r="HY13" s="1737"/>
      <c r="HZ13" s="1737"/>
      <c r="IA13" s="1737"/>
      <c r="IB13" s="1737"/>
      <c r="IC13" s="1737"/>
      <c r="ID13" s="1737"/>
      <c r="IE13" s="1737"/>
      <c r="IF13" s="1737"/>
      <c r="IG13" s="1737"/>
      <c r="IH13" s="1737"/>
      <c r="II13" s="1737"/>
      <c r="IJ13" s="1737"/>
      <c r="IK13" s="1737"/>
      <c r="IL13" s="1737"/>
      <c r="IM13" s="1737"/>
      <c r="IN13" s="1737"/>
      <c r="IO13" s="1737"/>
      <c r="IP13" s="1737"/>
      <c r="IQ13" s="1737"/>
      <c r="IR13" s="1737"/>
      <c r="IS13" s="1737"/>
      <c r="IT13" s="1737"/>
      <c r="IU13" s="1737"/>
      <c r="IV13" s="1737"/>
      <c r="IW13" s="1737"/>
      <c r="IX13" s="1737"/>
      <c r="IY13" s="1737"/>
      <c r="IZ13" s="1737"/>
      <c r="JA13" s="1737"/>
      <c r="JB13" s="1737"/>
      <c r="JC13" s="1737"/>
      <c r="JD13" s="1737"/>
      <c r="JE13" s="1737"/>
      <c r="JF13" s="1737"/>
      <c r="JG13" s="1737"/>
      <c r="JH13" s="1737"/>
      <c r="JI13" s="1737"/>
      <c r="JJ13" s="1737"/>
      <c r="JK13" s="1737"/>
      <c r="JL13" s="1737"/>
      <c r="JM13" s="1737"/>
      <c r="JN13" s="1737"/>
      <c r="JO13" s="1737"/>
      <c r="JP13" s="1737"/>
      <c r="JQ13" s="1737"/>
      <c r="JR13" s="1737"/>
      <c r="JS13" s="1737"/>
      <c r="JT13" s="1737"/>
      <c r="JU13" s="1737"/>
      <c r="JV13" s="1737"/>
      <c r="JW13" s="1737"/>
      <c r="JX13" s="1737"/>
      <c r="JY13" s="1737"/>
      <c r="JZ13" s="1737"/>
      <c r="KA13" s="1737"/>
      <c r="KB13" s="1737"/>
      <c r="KC13" s="1737"/>
      <c r="KD13" s="1737"/>
      <c r="KE13" s="1737"/>
      <c r="KF13" s="1737"/>
      <c r="KG13" s="1737"/>
      <c r="KH13" s="1737"/>
      <c r="KI13" s="1737"/>
      <c r="KJ13" s="1737"/>
      <c r="KK13" s="1737"/>
      <c r="KL13" s="1737"/>
      <c r="KM13" s="1737"/>
      <c r="KN13" s="1737"/>
      <c r="KO13" s="1737"/>
      <c r="KP13" s="1737"/>
      <c r="KQ13" s="1737"/>
      <c r="KR13" s="1737"/>
      <c r="KS13" s="1737"/>
      <c r="KT13" s="1737"/>
      <c r="KU13" s="1737"/>
      <c r="KV13" s="1737"/>
      <c r="KW13" s="1737"/>
      <c r="KX13" s="1737"/>
      <c r="KY13" s="1737"/>
      <c r="KZ13" s="1737"/>
      <c r="LA13" s="1737"/>
      <c r="LB13" s="1737"/>
      <c r="LC13" s="1737"/>
      <c r="LD13" s="1737"/>
      <c r="LE13" s="1737"/>
      <c r="LF13" s="1737"/>
      <c r="LG13" s="1737"/>
      <c r="LH13" s="1737"/>
      <c r="LI13" s="1737"/>
      <c r="LJ13" s="1737"/>
      <c r="LK13" s="1737"/>
      <c r="LL13" s="1737"/>
      <c r="LM13" s="1737"/>
      <c r="LN13" s="1737"/>
      <c r="LO13" s="1737"/>
      <c r="LP13" s="1737"/>
      <c r="LQ13" s="1737"/>
      <c r="LR13" s="1737"/>
      <c r="LS13" s="1737"/>
      <c r="LT13" s="1737"/>
      <c r="LU13" s="1737"/>
      <c r="LV13" s="1737"/>
      <c r="LW13" s="1737"/>
      <c r="LX13" s="1737"/>
      <c r="LY13" s="1737"/>
      <c r="LZ13" s="1737"/>
      <c r="MA13" s="1737"/>
      <c r="MB13" s="1737"/>
      <c r="MC13" s="1737"/>
      <c r="MD13" s="1737"/>
      <c r="ME13" s="1737"/>
      <c r="MF13" s="1737"/>
      <c r="MG13" s="1737"/>
      <c r="MH13" s="1737"/>
      <c r="MI13" s="1737"/>
      <c r="MJ13" s="1737"/>
      <c r="MK13" s="1737"/>
      <c r="ML13" s="1737"/>
      <c r="MM13" s="1737"/>
      <c r="MN13" s="1737"/>
      <c r="MO13" s="1737"/>
      <c r="MP13" s="1737"/>
      <c r="MQ13" s="1737"/>
      <c r="MR13" s="1737"/>
      <c r="MS13" s="1737"/>
      <c r="MT13" s="1737"/>
      <c r="MU13" s="1737"/>
      <c r="MV13" s="1737"/>
      <c r="MW13" s="1737"/>
      <c r="MX13" s="1737"/>
      <c r="MY13" s="1737"/>
      <c r="MZ13" s="1737"/>
      <c r="NA13" s="1737"/>
      <c r="NB13" s="1737"/>
      <c r="NC13" s="1737"/>
      <c r="ND13" s="1737"/>
      <c r="NE13" s="1737"/>
      <c r="NF13" s="1737"/>
      <c r="NG13" s="1737"/>
      <c r="NH13" s="1737"/>
      <c r="NI13" s="1737"/>
      <c r="NJ13" s="1737"/>
      <c r="NK13" s="1737"/>
      <c r="NL13" s="1737"/>
      <c r="NM13" s="1737"/>
      <c r="NN13" s="1737"/>
      <c r="NO13" s="1737"/>
      <c r="NP13" s="1737"/>
      <c r="NQ13" s="1737"/>
      <c r="NR13" s="1737"/>
      <c r="NS13" s="1737"/>
      <c r="NT13" s="1737"/>
      <c r="NU13" s="1737"/>
      <c r="NV13" s="1737"/>
      <c r="NW13" s="1737"/>
      <c r="NX13" s="1737"/>
      <c r="NY13" s="1737"/>
      <c r="NZ13" s="1737"/>
      <c r="OA13" s="1737"/>
      <c r="OB13" s="1737"/>
      <c r="OC13" s="1737"/>
      <c r="OD13" s="1737"/>
      <c r="OE13" s="1737"/>
      <c r="OF13" s="1737"/>
      <c r="OG13" s="1737"/>
      <c r="OH13" s="1737"/>
      <c r="OI13" s="1737"/>
      <c r="OJ13" s="1737"/>
      <c r="OK13" s="1737"/>
      <c r="OL13" s="1737"/>
      <c r="OM13" s="1737"/>
      <c r="ON13" s="1737"/>
      <c r="OO13" s="1737"/>
      <c r="OP13" s="1737"/>
      <c r="OQ13" s="1737"/>
      <c r="OR13" s="1737"/>
      <c r="OS13" s="1737"/>
      <c r="OT13" s="1737"/>
      <c r="OU13" s="1737"/>
      <c r="OV13" s="1737"/>
      <c r="OW13" s="1737"/>
      <c r="OX13" s="1737"/>
      <c r="OY13" s="1737"/>
      <c r="OZ13" s="1737"/>
      <c r="PA13" s="1737"/>
      <c r="PB13" s="1737"/>
      <c r="PC13" s="1737"/>
      <c r="PD13" s="1737"/>
      <c r="PE13" s="1737"/>
      <c r="PF13" s="1737"/>
      <c r="PG13" s="1737"/>
      <c r="PH13" s="1737"/>
      <c r="PI13" s="1737"/>
      <c r="PJ13" s="1737"/>
      <c r="PK13" s="1737"/>
      <c r="PL13" s="1737"/>
      <c r="PM13" s="1737"/>
      <c r="PN13" s="1737"/>
      <c r="PO13" s="1737"/>
      <c r="PP13" s="1737"/>
      <c r="PQ13" s="1737"/>
      <c r="PR13" s="1737"/>
      <c r="PS13" s="1737"/>
      <c r="PT13" s="1737"/>
      <c r="PU13" s="1737"/>
      <c r="PV13" s="1737"/>
      <c r="PW13" s="1737"/>
      <c r="PX13" s="1737"/>
      <c r="PY13" s="1737"/>
      <c r="PZ13" s="1737"/>
      <c r="QA13" s="1737"/>
      <c r="QB13" s="1737"/>
      <c r="QC13" s="1737"/>
      <c r="QD13" s="1737"/>
      <c r="QE13" s="1737"/>
      <c r="QF13" s="1737"/>
      <c r="QG13" s="1737"/>
      <c r="QH13" s="1737"/>
      <c r="QI13" s="1737"/>
      <c r="QJ13" s="1737"/>
      <c r="QK13" s="1737"/>
      <c r="QL13" s="1737"/>
      <c r="QM13" s="1737"/>
      <c r="QN13" s="1737"/>
      <c r="QO13" s="1737"/>
      <c r="QP13" s="1737"/>
      <c r="QQ13" s="1737"/>
      <c r="QR13" s="1737"/>
      <c r="QS13" s="1737"/>
      <c r="QT13" s="1737"/>
      <c r="QU13" s="1737"/>
      <c r="QV13" s="1737"/>
      <c r="QW13" s="1737"/>
      <c r="QX13" s="1737"/>
      <c r="QY13" s="1737"/>
      <c r="QZ13" s="1737"/>
      <c r="RA13" s="1737"/>
      <c r="RB13" s="1737"/>
      <c r="RC13" s="1737"/>
      <c r="RD13" s="1737"/>
      <c r="RE13" s="1737"/>
      <c r="RF13" s="1737"/>
      <c r="RG13" s="1737"/>
      <c r="RH13" s="1737"/>
      <c r="RI13" s="1737"/>
      <c r="RJ13" s="1737"/>
      <c r="RK13" s="1737"/>
      <c r="RL13" s="1737"/>
      <c r="RM13" s="1737"/>
      <c r="RN13" s="1737"/>
      <c r="RO13" s="1737"/>
      <c r="RP13" s="1737"/>
      <c r="RQ13" s="1737"/>
      <c r="RR13" s="1737"/>
      <c r="RS13" s="1737"/>
      <c r="RT13" s="1737"/>
      <c r="RU13" s="1737"/>
      <c r="RV13" s="1737"/>
      <c r="RW13" s="1737"/>
      <c r="RX13" s="1737"/>
      <c r="RY13" s="1737"/>
      <c r="RZ13" s="1737"/>
      <c r="SA13" s="1737"/>
      <c r="SB13" s="1737"/>
      <c r="SC13" s="1737"/>
      <c r="SD13" s="1737"/>
      <c r="SE13" s="1737"/>
      <c r="SF13" s="1737"/>
      <c r="SG13" s="1737"/>
      <c r="SH13" s="1737"/>
      <c r="SI13" s="1737"/>
      <c r="SJ13" s="1737"/>
      <c r="SK13" s="1737"/>
      <c r="SL13" s="1737"/>
      <c r="SM13" s="1737"/>
      <c r="SN13" s="1737"/>
      <c r="SO13" s="1737"/>
      <c r="SP13" s="1737"/>
      <c r="SQ13" s="1737"/>
      <c r="SR13" s="1737"/>
      <c r="SS13" s="1737"/>
      <c r="ST13" s="1737"/>
      <c r="SU13" s="1737"/>
      <c r="SV13" s="1737"/>
      <c r="SW13" s="1737"/>
      <c r="SX13" s="1737"/>
      <c r="SY13" s="1737"/>
      <c r="SZ13" s="1737"/>
      <c r="TA13" s="1737"/>
      <c r="TB13" s="1737"/>
      <c r="TC13" s="1737"/>
      <c r="TD13" s="1737"/>
      <c r="TE13" s="1737"/>
      <c r="TF13" s="1737"/>
      <c r="TG13" s="1737"/>
      <c r="TH13" s="1737"/>
      <c r="TI13" s="1737"/>
      <c r="TJ13" s="1737"/>
      <c r="TK13" s="1737"/>
      <c r="TL13" s="1737"/>
      <c r="TM13" s="1737"/>
      <c r="TN13" s="1737"/>
      <c r="TO13" s="1737"/>
      <c r="TP13" s="1737"/>
      <c r="TQ13" s="1737"/>
      <c r="TR13" s="1737"/>
      <c r="TS13" s="1737"/>
      <c r="TT13" s="1737"/>
      <c r="TU13" s="1737"/>
      <c r="TV13" s="1737"/>
      <c r="TW13" s="1737"/>
      <c r="TX13" s="1737"/>
      <c r="TY13" s="1737"/>
      <c r="TZ13" s="1737"/>
      <c r="UA13" s="1737"/>
      <c r="UB13" s="1737"/>
      <c r="UC13" s="1737"/>
      <c r="UD13" s="1737"/>
      <c r="UE13" s="1737"/>
      <c r="UF13" s="1737"/>
      <c r="UG13" s="1737"/>
      <c r="UH13" s="1737"/>
      <c r="UI13" s="1737"/>
      <c r="UJ13" s="1737"/>
      <c r="UK13" s="1737"/>
      <c r="UL13" s="1737"/>
      <c r="UM13" s="1737"/>
      <c r="UN13" s="1737"/>
      <c r="UO13" s="1737"/>
      <c r="UP13" s="1737"/>
      <c r="UQ13" s="1737"/>
      <c r="UR13" s="1737"/>
      <c r="US13" s="1737"/>
      <c r="UT13" s="1737"/>
      <c r="UU13" s="1737"/>
      <c r="UV13" s="1737"/>
      <c r="UW13" s="1737"/>
      <c r="UX13" s="1737"/>
      <c r="UY13" s="1737"/>
      <c r="UZ13" s="1737"/>
      <c r="VA13" s="1737"/>
      <c r="VB13" s="1737"/>
      <c r="VC13" s="1737"/>
      <c r="VD13" s="1737"/>
      <c r="VE13" s="1737"/>
      <c r="VF13" s="1737"/>
      <c r="VG13" s="1737"/>
      <c r="VH13" s="1737"/>
      <c r="VI13" s="1737"/>
      <c r="VJ13" s="1737"/>
      <c r="VK13" s="1737"/>
      <c r="VL13" s="1737"/>
      <c r="VM13" s="1737"/>
      <c r="VN13" s="1737"/>
      <c r="VO13" s="1737"/>
      <c r="VP13" s="1737"/>
      <c r="VQ13" s="1737"/>
      <c r="VR13" s="1737"/>
      <c r="VS13" s="1737"/>
      <c r="VT13" s="1737"/>
      <c r="VU13" s="1737"/>
      <c r="VV13" s="1737"/>
      <c r="VW13" s="1737"/>
      <c r="VX13" s="1737"/>
      <c r="VY13" s="1737"/>
      <c r="VZ13" s="1737"/>
      <c r="WA13" s="1737"/>
      <c r="WB13" s="1737"/>
      <c r="WC13" s="1737"/>
      <c r="WD13" s="1737"/>
      <c r="WE13" s="1737"/>
      <c r="WF13" s="1737"/>
      <c r="WG13" s="1737"/>
      <c r="WH13" s="1737"/>
      <c r="WI13" s="1737"/>
      <c r="WJ13" s="1737"/>
      <c r="WK13" s="1737"/>
      <c r="WL13" s="1737"/>
      <c r="WM13" s="1737"/>
      <c r="WN13" s="1737"/>
      <c r="WO13" s="1737"/>
      <c r="WP13" s="1737"/>
      <c r="WQ13" s="1737"/>
      <c r="WR13" s="1737"/>
      <c r="WS13" s="1737"/>
      <c r="WT13" s="1737"/>
      <c r="WU13" s="1737"/>
      <c r="WV13" s="1737"/>
      <c r="WW13" s="1737"/>
      <c r="WX13" s="1737"/>
      <c r="WY13" s="1737"/>
      <c r="WZ13" s="1737"/>
      <c r="XA13" s="1737"/>
      <c r="XB13" s="1737"/>
      <c r="XC13" s="1737"/>
      <c r="XD13" s="1737"/>
      <c r="XE13" s="1737"/>
      <c r="XF13" s="1737"/>
      <c r="XG13" s="1737"/>
      <c r="XH13" s="1737"/>
      <c r="XI13" s="1737"/>
      <c r="XJ13" s="1737"/>
      <c r="XK13" s="1737"/>
      <c r="XL13" s="1737"/>
      <c r="XM13" s="1737"/>
      <c r="XN13" s="1737"/>
      <c r="XO13" s="1737"/>
      <c r="XP13" s="1737"/>
      <c r="XQ13" s="1737"/>
      <c r="XR13" s="1737"/>
      <c r="XS13" s="1737"/>
      <c r="XT13" s="1737"/>
      <c r="XU13" s="1737"/>
      <c r="XV13" s="1737"/>
      <c r="XW13" s="1737"/>
      <c r="XX13" s="1737"/>
      <c r="XY13" s="1737"/>
      <c r="XZ13" s="1737"/>
      <c r="YA13" s="1737"/>
      <c r="YB13" s="1737"/>
      <c r="YC13" s="1737"/>
      <c r="YD13" s="1737"/>
      <c r="YE13" s="1737"/>
      <c r="YF13" s="1737"/>
      <c r="YG13" s="1737"/>
      <c r="YH13" s="1737"/>
      <c r="YI13" s="1737"/>
      <c r="YJ13" s="1737"/>
      <c r="YK13" s="1737"/>
      <c r="YL13" s="1737"/>
      <c r="YM13" s="1737"/>
      <c r="YN13" s="1737"/>
      <c r="YO13" s="1737"/>
      <c r="YP13" s="1737"/>
      <c r="YQ13" s="1737"/>
      <c r="YR13" s="1737"/>
      <c r="YS13" s="1737"/>
      <c r="YT13" s="1737"/>
      <c r="YU13" s="1737"/>
      <c r="YV13" s="1737"/>
      <c r="YW13" s="1737"/>
      <c r="YX13" s="1737"/>
      <c r="YY13" s="1737"/>
      <c r="YZ13" s="1737"/>
      <c r="ZA13" s="1737"/>
      <c r="ZB13" s="1737"/>
      <c r="ZC13" s="1737"/>
      <c r="ZD13" s="1737"/>
      <c r="ZE13" s="1737"/>
      <c r="ZF13" s="1737"/>
      <c r="ZG13" s="1737"/>
      <c r="ZH13" s="1737"/>
      <c r="ZI13" s="1737"/>
      <c r="ZJ13" s="1737"/>
      <c r="ZK13" s="1737"/>
      <c r="ZL13" s="1737"/>
      <c r="ZM13" s="1737"/>
      <c r="ZN13" s="1737"/>
      <c r="ZO13" s="1737"/>
      <c r="ZP13" s="1737"/>
      <c r="ZQ13" s="1737"/>
      <c r="ZR13" s="1737"/>
      <c r="ZS13" s="1737"/>
      <c r="ZT13" s="1737"/>
      <c r="ZU13" s="1737"/>
      <c r="ZV13" s="1737"/>
      <c r="ZW13" s="1737"/>
      <c r="ZX13" s="1737"/>
      <c r="ZY13" s="1737"/>
      <c r="ZZ13" s="1737"/>
      <c r="AAA13" s="1737"/>
      <c r="AAB13" s="1737"/>
      <c r="AAC13" s="1737"/>
      <c r="AAD13" s="1737"/>
      <c r="AAE13" s="1737"/>
      <c r="AAF13" s="1737"/>
      <c r="AAG13" s="1737"/>
      <c r="AAH13" s="1737"/>
      <c r="AAI13" s="1737"/>
      <c r="AAJ13" s="1737"/>
      <c r="AAK13" s="1737"/>
      <c r="AAL13" s="1737"/>
      <c r="AAM13" s="1737"/>
      <c r="AAN13" s="1737"/>
      <c r="AAO13" s="1737"/>
      <c r="AAP13" s="1737"/>
      <c r="AAQ13" s="1737"/>
      <c r="AAR13" s="1737"/>
      <c r="AAS13" s="1737"/>
      <c r="AAT13" s="1737"/>
      <c r="AAU13" s="1737"/>
      <c r="AAV13" s="1737"/>
      <c r="AAW13" s="1737"/>
      <c r="AAX13" s="1737"/>
      <c r="AAY13" s="1737"/>
      <c r="AAZ13" s="1737"/>
      <c r="ABA13" s="1737"/>
      <c r="ABB13" s="1737"/>
      <c r="ABC13" s="1737"/>
      <c r="ABD13" s="1737"/>
      <c r="ABE13" s="1737"/>
      <c r="ABF13" s="1737"/>
      <c r="ABG13" s="1737"/>
      <c r="ABH13" s="1737"/>
      <c r="ABI13" s="1737"/>
      <c r="ABJ13" s="1737"/>
      <c r="ABK13" s="1737"/>
      <c r="ABL13" s="1737"/>
      <c r="ABM13" s="1737"/>
      <c r="ABN13" s="1737"/>
      <c r="ABO13" s="1737"/>
      <c r="ABP13" s="1737"/>
      <c r="ABQ13" s="1737"/>
      <c r="ABR13" s="1737"/>
      <c r="ABS13" s="1737"/>
      <c r="ABT13" s="1737"/>
      <c r="ABU13" s="1737"/>
      <c r="ABV13" s="1737"/>
      <c r="ABW13" s="1737"/>
      <c r="ABX13" s="1737"/>
      <c r="ABY13" s="1737"/>
      <c r="ABZ13" s="1737"/>
      <c r="ACA13" s="1737"/>
      <c r="ACB13" s="1737"/>
      <c r="ACC13" s="1737"/>
      <c r="ACD13" s="1737"/>
      <c r="ACE13" s="1737"/>
      <c r="ACF13" s="1737"/>
      <c r="ACG13" s="1737"/>
      <c r="ACH13" s="1737"/>
      <c r="ACI13" s="1737"/>
      <c r="ACJ13" s="1737"/>
      <c r="ACK13" s="1737"/>
      <c r="ACL13" s="1737"/>
      <c r="ACM13" s="1737"/>
      <c r="ACN13" s="1737"/>
      <c r="ACO13" s="1737"/>
      <c r="ACP13" s="1737"/>
      <c r="ACQ13" s="1737"/>
      <c r="ACR13" s="1737"/>
      <c r="ACS13" s="1737"/>
      <c r="ACT13" s="1737"/>
      <c r="ACU13" s="1737"/>
      <c r="ACV13" s="1737"/>
      <c r="ACW13" s="1737"/>
      <c r="ACX13" s="1737"/>
      <c r="ACY13" s="1737"/>
      <c r="ACZ13" s="1737"/>
      <c r="ADA13" s="1737"/>
      <c r="ADB13" s="1737"/>
      <c r="ADC13" s="1737"/>
      <c r="ADD13" s="1737"/>
      <c r="ADE13" s="1737"/>
      <c r="ADF13" s="1737"/>
      <c r="ADG13" s="1737"/>
      <c r="ADH13" s="1737"/>
      <c r="ADI13" s="1737"/>
      <c r="ADJ13" s="1737"/>
      <c r="ADK13" s="1737"/>
      <c r="ADL13" s="1737"/>
      <c r="ADM13" s="1737"/>
      <c r="ADN13" s="1737"/>
      <c r="ADO13" s="1737"/>
      <c r="ADP13" s="1737"/>
      <c r="ADQ13" s="1737"/>
      <c r="ADR13" s="1737"/>
      <c r="ADS13" s="1737"/>
      <c r="ADT13" s="1737"/>
      <c r="ADU13" s="1737"/>
      <c r="ADV13" s="1737"/>
      <c r="ADW13" s="1737"/>
      <c r="ADX13" s="1737"/>
      <c r="ADY13" s="1737"/>
      <c r="ADZ13" s="1737"/>
      <c r="AEA13" s="1737"/>
      <c r="AEB13" s="1737"/>
      <c r="AEC13" s="1737"/>
      <c r="AED13" s="1737"/>
      <c r="AEE13" s="1737"/>
      <c r="AEF13" s="1737"/>
      <c r="AEG13" s="1737"/>
      <c r="AEH13" s="1737"/>
      <c r="AEI13" s="1737"/>
      <c r="AEJ13" s="1737"/>
      <c r="AEK13" s="1737"/>
      <c r="AEL13" s="1737"/>
      <c r="AEM13" s="1737"/>
      <c r="AEN13" s="1737"/>
      <c r="AEO13" s="1737"/>
      <c r="AEP13" s="1737"/>
      <c r="AEQ13" s="1737"/>
      <c r="AER13" s="1737"/>
      <c r="AES13" s="1737"/>
      <c r="AET13" s="1737"/>
      <c r="AEU13" s="1737"/>
      <c r="AEV13" s="1737"/>
      <c r="AEW13" s="1737"/>
      <c r="AEX13" s="1737"/>
      <c r="AEY13" s="1737"/>
      <c r="AEZ13" s="1737"/>
      <c r="AFA13" s="1737"/>
      <c r="AFB13" s="1737"/>
      <c r="AFC13" s="1737"/>
      <c r="AFD13" s="1737"/>
      <c r="AFE13" s="1737"/>
      <c r="AFF13" s="1737"/>
      <c r="AFG13" s="1737"/>
      <c r="AFH13" s="1737"/>
      <c r="AFI13" s="1737"/>
      <c r="AFJ13" s="1737"/>
      <c r="AFK13" s="1737"/>
      <c r="AFL13" s="1737"/>
      <c r="AFM13" s="1737"/>
      <c r="AFN13" s="1737"/>
      <c r="AFO13" s="1737"/>
      <c r="AFP13" s="1737"/>
      <c r="AFQ13" s="1737"/>
      <c r="AFR13" s="1737"/>
      <c r="AFS13" s="1737"/>
      <c r="AFT13" s="1737"/>
      <c r="AFU13" s="1737"/>
      <c r="AFV13" s="1737"/>
      <c r="AFW13" s="1737"/>
      <c r="AFX13" s="1737"/>
      <c r="AFY13" s="1737"/>
      <c r="AFZ13" s="1737"/>
      <c r="AGA13" s="1737"/>
      <c r="AGB13" s="1737"/>
      <c r="AGC13" s="1737"/>
      <c r="AGD13" s="1737"/>
      <c r="AGE13" s="1737"/>
    </row>
    <row r="14" spans="1:863" s="888" customFormat="1" ht="39" hidden="1" x14ac:dyDescent="0.45">
      <c r="B14" s="1282" t="s">
        <v>1073</v>
      </c>
      <c r="C14" s="1283" t="s">
        <v>1209</v>
      </c>
      <c r="D14" s="1283" t="s">
        <v>613</v>
      </c>
      <c r="E14" s="1283" t="s">
        <v>1257</v>
      </c>
      <c r="F14" s="1283" t="s">
        <v>1050</v>
      </c>
      <c r="G14" s="1283" t="s">
        <v>293</v>
      </c>
      <c r="H14" s="1301" t="s">
        <v>1692</v>
      </c>
      <c r="I14" s="1302" t="s">
        <v>226</v>
      </c>
      <c r="J14" s="1302"/>
      <c r="K14" s="1300">
        <v>150194.21</v>
      </c>
      <c r="L14" s="1303"/>
      <c r="M14" s="1308">
        <f>K14*EF_CH4_Composting*ConFact_0.001*GWP_CH4</f>
        <v>15019.421</v>
      </c>
      <c r="N14" s="1308">
        <f>K14*EF_N2O_Composting*ConFact_0.001*GWP_N2O</f>
        <v>10741.889899199999</v>
      </c>
      <c r="O14" s="1098"/>
      <c r="P14" s="1309">
        <f t="shared" si="0"/>
        <v>25761.310899199998</v>
      </c>
      <c r="Q14" s="1737"/>
      <c r="R14" s="1737"/>
      <c r="S14" s="1760"/>
      <c r="T14" s="1737"/>
      <c r="U14" s="1737"/>
      <c r="V14" s="1737"/>
      <c r="W14" s="1737"/>
      <c r="X14" s="1737"/>
      <c r="Y14" s="1737"/>
      <c r="Z14" s="1737"/>
      <c r="AA14" s="1737"/>
      <c r="AB14" s="1737"/>
      <c r="AC14" s="1737"/>
      <c r="AD14" s="1737"/>
      <c r="AE14" s="1737"/>
      <c r="AF14" s="1737"/>
      <c r="AG14" s="1737"/>
      <c r="AH14" s="1737"/>
      <c r="AI14" s="1737"/>
      <c r="AJ14" s="1737"/>
      <c r="AK14" s="1737"/>
      <c r="AL14" s="1737"/>
      <c r="AM14" s="1737"/>
      <c r="AN14" s="1737"/>
      <c r="AO14" s="1737"/>
      <c r="AP14" s="1737"/>
      <c r="AQ14" s="1737"/>
      <c r="AR14" s="1737"/>
      <c r="AS14" s="1737"/>
      <c r="AT14" s="1737"/>
      <c r="AU14" s="1737"/>
      <c r="AV14" s="1737"/>
      <c r="AW14" s="1737"/>
      <c r="AX14" s="1737"/>
      <c r="AY14" s="1737"/>
      <c r="AZ14" s="1737"/>
      <c r="BA14" s="1737"/>
      <c r="BB14" s="1737"/>
      <c r="BC14" s="1737"/>
      <c r="BD14" s="1737"/>
      <c r="BE14" s="1737"/>
      <c r="BF14" s="1737"/>
      <c r="BG14" s="1737"/>
      <c r="BH14" s="1737"/>
      <c r="BI14" s="1737"/>
      <c r="BJ14" s="1737"/>
      <c r="BK14" s="1737"/>
      <c r="BL14" s="1737"/>
      <c r="BM14" s="1737"/>
      <c r="BN14" s="1737"/>
      <c r="BO14" s="1737"/>
      <c r="BP14" s="1737"/>
      <c r="BQ14" s="1737"/>
      <c r="BR14" s="1737"/>
      <c r="BS14" s="1737"/>
      <c r="BT14" s="1737"/>
      <c r="BU14" s="1737"/>
      <c r="BV14" s="1737"/>
      <c r="BW14" s="1737"/>
      <c r="BX14" s="1737"/>
      <c r="BY14" s="1737"/>
      <c r="BZ14" s="1737"/>
      <c r="CA14" s="1737"/>
      <c r="CB14" s="1737"/>
      <c r="CC14" s="1737"/>
      <c r="CD14" s="1737"/>
      <c r="CE14" s="1737"/>
      <c r="CF14" s="1737"/>
      <c r="CG14" s="1737"/>
      <c r="CH14" s="1737"/>
      <c r="CI14" s="1737"/>
      <c r="CJ14" s="1737"/>
      <c r="CK14" s="1737"/>
      <c r="CL14" s="1737"/>
      <c r="CM14" s="1737"/>
      <c r="CN14" s="1737"/>
      <c r="CO14" s="1737"/>
      <c r="CP14" s="1737"/>
      <c r="CQ14" s="1737"/>
      <c r="CR14" s="1737"/>
      <c r="CS14" s="1737"/>
      <c r="CT14" s="1737"/>
      <c r="CU14" s="1737"/>
      <c r="CV14" s="1737"/>
      <c r="CW14" s="1737"/>
      <c r="CX14" s="1737"/>
      <c r="CY14" s="1737"/>
      <c r="CZ14" s="1737"/>
      <c r="DA14" s="1737"/>
      <c r="DB14" s="1737"/>
      <c r="DC14" s="1737"/>
      <c r="DD14" s="1737"/>
      <c r="DE14" s="1737"/>
      <c r="DF14" s="1737"/>
      <c r="DG14" s="1737"/>
      <c r="DH14" s="1737"/>
      <c r="DI14" s="1737"/>
      <c r="DJ14" s="1737"/>
      <c r="DK14" s="1737"/>
      <c r="DL14" s="1737"/>
      <c r="DM14" s="1737"/>
      <c r="DN14" s="1737"/>
      <c r="DO14" s="1737"/>
      <c r="DP14" s="1737"/>
      <c r="DQ14" s="1737"/>
      <c r="DR14" s="1737"/>
      <c r="DS14" s="1737"/>
      <c r="DT14" s="1737"/>
      <c r="DU14" s="1737"/>
      <c r="DV14" s="1737"/>
      <c r="DW14" s="1737"/>
      <c r="DX14" s="1737"/>
      <c r="DY14" s="1737"/>
      <c r="DZ14" s="1737"/>
      <c r="EA14" s="1737"/>
      <c r="EB14" s="1737"/>
      <c r="EC14" s="1737"/>
      <c r="ED14" s="1737"/>
      <c r="EE14" s="1737"/>
      <c r="EF14" s="1737"/>
      <c r="EG14" s="1737"/>
      <c r="EH14" s="1737"/>
      <c r="EI14" s="1737"/>
      <c r="EJ14" s="1737"/>
      <c r="EK14" s="1737"/>
      <c r="EL14" s="1737"/>
      <c r="EM14" s="1737"/>
      <c r="EN14" s="1737"/>
      <c r="EO14" s="1737"/>
      <c r="EP14" s="1737"/>
      <c r="EQ14" s="1737"/>
      <c r="ER14" s="1737"/>
      <c r="ES14" s="1737"/>
      <c r="ET14" s="1737"/>
      <c r="EU14" s="1737"/>
      <c r="EV14" s="1737"/>
      <c r="EW14" s="1737"/>
      <c r="EX14" s="1737"/>
      <c r="EY14" s="1737"/>
      <c r="EZ14" s="1737"/>
      <c r="FA14" s="1737"/>
      <c r="FB14" s="1737"/>
      <c r="FC14" s="1737"/>
      <c r="FD14" s="1737"/>
      <c r="FE14" s="1737"/>
      <c r="FF14" s="1737"/>
      <c r="FG14" s="1737"/>
      <c r="FH14" s="1737"/>
      <c r="FI14" s="1737"/>
      <c r="FJ14" s="1737"/>
      <c r="FK14" s="1737"/>
      <c r="FL14" s="1737"/>
      <c r="FM14" s="1737"/>
      <c r="FN14" s="1737"/>
      <c r="FO14" s="1737"/>
      <c r="FP14" s="1737"/>
      <c r="FQ14" s="1737"/>
      <c r="FR14" s="1737"/>
      <c r="FS14" s="1737"/>
      <c r="FT14" s="1737"/>
      <c r="FU14" s="1737"/>
      <c r="FV14" s="1737"/>
      <c r="FW14" s="1737"/>
      <c r="FX14" s="1737"/>
      <c r="FY14" s="1737"/>
      <c r="FZ14" s="1737"/>
      <c r="GA14" s="1737"/>
      <c r="GB14" s="1737"/>
      <c r="GC14" s="1737"/>
      <c r="GD14" s="1737"/>
      <c r="GE14" s="1737"/>
      <c r="GF14" s="1737"/>
      <c r="GG14" s="1737"/>
      <c r="GH14" s="1737"/>
      <c r="GI14" s="1737"/>
      <c r="GJ14" s="1737"/>
      <c r="GK14" s="1737"/>
      <c r="GL14" s="1737"/>
      <c r="GM14" s="1737"/>
      <c r="GN14" s="1737"/>
      <c r="GO14" s="1737"/>
      <c r="GP14" s="1737"/>
      <c r="GQ14" s="1737"/>
      <c r="GR14" s="1737"/>
      <c r="GS14" s="1737"/>
      <c r="GT14" s="1737"/>
      <c r="GU14" s="1737"/>
      <c r="GV14" s="1737"/>
      <c r="GW14" s="1737"/>
      <c r="GX14" s="1737"/>
      <c r="GY14" s="1737"/>
      <c r="GZ14" s="1737"/>
      <c r="HA14" s="1737"/>
      <c r="HB14" s="1737"/>
      <c r="HC14" s="1737"/>
      <c r="HD14" s="1737"/>
      <c r="HE14" s="1737"/>
      <c r="HF14" s="1737"/>
      <c r="HG14" s="1737"/>
      <c r="HH14" s="1737"/>
      <c r="HI14" s="1737"/>
      <c r="HJ14" s="1737"/>
      <c r="HK14" s="1737"/>
      <c r="HL14" s="1737"/>
      <c r="HM14" s="1737"/>
      <c r="HN14" s="1737"/>
      <c r="HO14" s="1737"/>
      <c r="HP14" s="1737"/>
      <c r="HQ14" s="1737"/>
      <c r="HR14" s="1737"/>
      <c r="HS14" s="1737"/>
      <c r="HT14" s="1737"/>
      <c r="HU14" s="1737"/>
      <c r="HV14" s="1737"/>
      <c r="HW14" s="1737"/>
      <c r="HX14" s="1737"/>
      <c r="HY14" s="1737"/>
      <c r="HZ14" s="1737"/>
      <c r="IA14" s="1737"/>
      <c r="IB14" s="1737"/>
      <c r="IC14" s="1737"/>
      <c r="ID14" s="1737"/>
      <c r="IE14" s="1737"/>
      <c r="IF14" s="1737"/>
      <c r="IG14" s="1737"/>
      <c r="IH14" s="1737"/>
      <c r="II14" s="1737"/>
      <c r="IJ14" s="1737"/>
      <c r="IK14" s="1737"/>
      <c r="IL14" s="1737"/>
      <c r="IM14" s="1737"/>
      <c r="IN14" s="1737"/>
      <c r="IO14" s="1737"/>
      <c r="IP14" s="1737"/>
      <c r="IQ14" s="1737"/>
      <c r="IR14" s="1737"/>
      <c r="IS14" s="1737"/>
      <c r="IT14" s="1737"/>
      <c r="IU14" s="1737"/>
      <c r="IV14" s="1737"/>
      <c r="IW14" s="1737"/>
      <c r="IX14" s="1737"/>
      <c r="IY14" s="1737"/>
      <c r="IZ14" s="1737"/>
      <c r="JA14" s="1737"/>
      <c r="JB14" s="1737"/>
      <c r="JC14" s="1737"/>
      <c r="JD14" s="1737"/>
      <c r="JE14" s="1737"/>
      <c r="JF14" s="1737"/>
      <c r="JG14" s="1737"/>
      <c r="JH14" s="1737"/>
      <c r="JI14" s="1737"/>
      <c r="JJ14" s="1737"/>
      <c r="JK14" s="1737"/>
      <c r="JL14" s="1737"/>
      <c r="JM14" s="1737"/>
      <c r="JN14" s="1737"/>
      <c r="JO14" s="1737"/>
      <c r="JP14" s="1737"/>
      <c r="JQ14" s="1737"/>
      <c r="JR14" s="1737"/>
      <c r="JS14" s="1737"/>
      <c r="JT14" s="1737"/>
      <c r="JU14" s="1737"/>
      <c r="JV14" s="1737"/>
      <c r="JW14" s="1737"/>
      <c r="JX14" s="1737"/>
      <c r="JY14" s="1737"/>
      <c r="JZ14" s="1737"/>
      <c r="KA14" s="1737"/>
      <c r="KB14" s="1737"/>
      <c r="KC14" s="1737"/>
      <c r="KD14" s="1737"/>
      <c r="KE14" s="1737"/>
      <c r="KF14" s="1737"/>
      <c r="KG14" s="1737"/>
      <c r="KH14" s="1737"/>
      <c r="KI14" s="1737"/>
      <c r="KJ14" s="1737"/>
      <c r="KK14" s="1737"/>
      <c r="KL14" s="1737"/>
      <c r="KM14" s="1737"/>
      <c r="KN14" s="1737"/>
      <c r="KO14" s="1737"/>
      <c r="KP14" s="1737"/>
      <c r="KQ14" s="1737"/>
      <c r="KR14" s="1737"/>
      <c r="KS14" s="1737"/>
      <c r="KT14" s="1737"/>
      <c r="KU14" s="1737"/>
      <c r="KV14" s="1737"/>
      <c r="KW14" s="1737"/>
      <c r="KX14" s="1737"/>
      <c r="KY14" s="1737"/>
      <c r="KZ14" s="1737"/>
      <c r="LA14" s="1737"/>
      <c r="LB14" s="1737"/>
      <c r="LC14" s="1737"/>
      <c r="LD14" s="1737"/>
      <c r="LE14" s="1737"/>
      <c r="LF14" s="1737"/>
      <c r="LG14" s="1737"/>
      <c r="LH14" s="1737"/>
      <c r="LI14" s="1737"/>
      <c r="LJ14" s="1737"/>
      <c r="LK14" s="1737"/>
      <c r="LL14" s="1737"/>
      <c r="LM14" s="1737"/>
      <c r="LN14" s="1737"/>
      <c r="LO14" s="1737"/>
      <c r="LP14" s="1737"/>
      <c r="LQ14" s="1737"/>
      <c r="LR14" s="1737"/>
      <c r="LS14" s="1737"/>
      <c r="LT14" s="1737"/>
      <c r="LU14" s="1737"/>
      <c r="LV14" s="1737"/>
      <c r="LW14" s="1737"/>
      <c r="LX14" s="1737"/>
      <c r="LY14" s="1737"/>
      <c r="LZ14" s="1737"/>
      <c r="MA14" s="1737"/>
      <c r="MB14" s="1737"/>
      <c r="MC14" s="1737"/>
      <c r="MD14" s="1737"/>
      <c r="ME14" s="1737"/>
      <c r="MF14" s="1737"/>
      <c r="MG14" s="1737"/>
      <c r="MH14" s="1737"/>
      <c r="MI14" s="1737"/>
      <c r="MJ14" s="1737"/>
      <c r="MK14" s="1737"/>
      <c r="ML14" s="1737"/>
      <c r="MM14" s="1737"/>
      <c r="MN14" s="1737"/>
      <c r="MO14" s="1737"/>
      <c r="MP14" s="1737"/>
      <c r="MQ14" s="1737"/>
      <c r="MR14" s="1737"/>
      <c r="MS14" s="1737"/>
      <c r="MT14" s="1737"/>
      <c r="MU14" s="1737"/>
      <c r="MV14" s="1737"/>
      <c r="MW14" s="1737"/>
      <c r="MX14" s="1737"/>
      <c r="MY14" s="1737"/>
      <c r="MZ14" s="1737"/>
      <c r="NA14" s="1737"/>
      <c r="NB14" s="1737"/>
      <c r="NC14" s="1737"/>
      <c r="ND14" s="1737"/>
      <c r="NE14" s="1737"/>
      <c r="NF14" s="1737"/>
      <c r="NG14" s="1737"/>
      <c r="NH14" s="1737"/>
      <c r="NI14" s="1737"/>
      <c r="NJ14" s="1737"/>
      <c r="NK14" s="1737"/>
      <c r="NL14" s="1737"/>
      <c r="NM14" s="1737"/>
      <c r="NN14" s="1737"/>
      <c r="NO14" s="1737"/>
      <c r="NP14" s="1737"/>
      <c r="NQ14" s="1737"/>
      <c r="NR14" s="1737"/>
      <c r="NS14" s="1737"/>
      <c r="NT14" s="1737"/>
      <c r="NU14" s="1737"/>
      <c r="NV14" s="1737"/>
      <c r="NW14" s="1737"/>
      <c r="NX14" s="1737"/>
      <c r="NY14" s="1737"/>
      <c r="NZ14" s="1737"/>
      <c r="OA14" s="1737"/>
      <c r="OB14" s="1737"/>
      <c r="OC14" s="1737"/>
      <c r="OD14" s="1737"/>
      <c r="OE14" s="1737"/>
      <c r="OF14" s="1737"/>
      <c r="OG14" s="1737"/>
      <c r="OH14" s="1737"/>
      <c r="OI14" s="1737"/>
      <c r="OJ14" s="1737"/>
      <c r="OK14" s="1737"/>
      <c r="OL14" s="1737"/>
      <c r="OM14" s="1737"/>
      <c r="ON14" s="1737"/>
      <c r="OO14" s="1737"/>
      <c r="OP14" s="1737"/>
      <c r="OQ14" s="1737"/>
      <c r="OR14" s="1737"/>
      <c r="OS14" s="1737"/>
      <c r="OT14" s="1737"/>
      <c r="OU14" s="1737"/>
      <c r="OV14" s="1737"/>
      <c r="OW14" s="1737"/>
      <c r="OX14" s="1737"/>
      <c r="OY14" s="1737"/>
      <c r="OZ14" s="1737"/>
      <c r="PA14" s="1737"/>
      <c r="PB14" s="1737"/>
      <c r="PC14" s="1737"/>
      <c r="PD14" s="1737"/>
      <c r="PE14" s="1737"/>
      <c r="PF14" s="1737"/>
      <c r="PG14" s="1737"/>
      <c r="PH14" s="1737"/>
      <c r="PI14" s="1737"/>
      <c r="PJ14" s="1737"/>
      <c r="PK14" s="1737"/>
      <c r="PL14" s="1737"/>
      <c r="PM14" s="1737"/>
      <c r="PN14" s="1737"/>
      <c r="PO14" s="1737"/>
      <c r="PP14" s="1737"/>
      <c r="PQ14" s="1737"/>
      <c r="PR14" s="1737"/>
      <c r="PS14" s="1737"/>
      <c r="PT14" s="1737"/>
      <c r="PU14" s="1737"/>
      <c r="PV14" s="1737"/>
      <c r="PW14" s="1737"/>
      <c r="PX14" s="1737"/>
      <c r="PY14" s="1737"/>
      <c r="PZ14" s="1737"/>
      <c r="QA14" s="1737"/>
      <c r="QB14" s="1737"/>
      <c r="QC14" s="1737"/>
      <c r="QD14" s="1737"/>
      <c r="QE14" s="1737"/>
      <c r="QF14" s="1737"/>
      <c r="QG14" s="1737"/>
      <c r="QH14" s="1737"/>
      <c r="QI14" s="1737"/>
      <c r="QJ14" s="1737"/>
      <c r="QK14" s="1737"/>
      <c r="QL14" s="1737"/>
      <c r="QM14" s="1737"/>
      <c r="QN14" s="1737"/>
      <c r="QO14" s="1737"/>
      <c r="QP14" s="1737"/>
      <c r="QQ14" s="1737"/>
      <c r="QR14" s="1737"/>
      <c r="QS14" s="1737"/>
      <c r="QT14" s="1737"/>
      <c r="QU14" s="1737"/>
      <c r="QV14" s="1737"/>
      <c r="QW14" s="1737"/>
      <c r="QX14" s="1737"/>
      <c r="QY14" s="1737"/>
      <c r="QZ14" s="1737"/>
      <c r="RA14" s="1737"/>
      <c r="RB14" s="1737"/>
      <c r="RC14" s="1737"/>
      <c r="RD14" s="1737"/>
      <c r="RE14" s="1737"/>
      <c r="RF14" s="1737"/>
      <c r="RG14" s="1737"/>
      <c r="RH14" s="1737"/>
      <c r="RI14" s="1737"/>
      <c r="RJ14" s="1737"/>
      <c r="RK14" s="1737"/>
      <c r="RL14" s="1737"/>
      <c r="RM14" s="1737"/>
      <c r="RN14" s="1737"/>
      <c r="RO14" s="1737"/>
      <c r="RP14" s="1737"/>
      <c r="RQ14" s="1737"/>
      <c r="RR14" s="1737"/>
      <c r="RS14" s="1737"/>
      <c r="RT14" s="1737"/>
      <c r="RU14" s="1737"/>
      <c r="RV14" s="1737"/>
      <c r="RW14" s="1737"/>
      <c r="RX14" s="1737"/>
      <c r="RY14" s="1737"/>
      <c r="RZ14" s="1737"/>
      <c r="SA14" s="1737"/>
      <c r="SB14" s="1737"/>
      <c r="SC14" s="1737"/>
      <c r="SD14" s="1737"/>
      <c r="SE14" s="1737"/>
      <c r="SF14" s="1737"/>
      <c r="SG14" s="1737"/>
      <c r="SH14" s="1737"/>
      <c r="SI14" s="1737"/>
      <c r="SJ14" s="1737"/>
      <c r="SK14" s="1737"/>
      <c r="SL14" s="1737"/>
      <c r="SM14" s="1737"/>
      <c r="SN14" s="1737"/>
      <c r="SO14" s="1737"/>
      <c r="SP14" s="1737"/>
      <c r="SQ14" s="1737"/>
      <c r="SR14" s="1737"/>
      <c r="SS14" s="1737"/>
      <c r="ST14" s="1737"/>
      <c r="SU14" s="1737"/>
      <c r="SV14" s="1737"/>
      <c r="SW14" s="1737"/>
      <c r="SX14" s="1737"/>
      <c r="SY14" s="1737"/>
      <c r="SZ14" s="1737"/>
      <c r="TA14" s="1737"/>
      <c r="TB14" s="1737"/>
      <c r="TC14" s="1737"/>
      <c r="TD14" s="1737"/>
      <c r="TE14" s="1737"/>
      <c r="TF14" s="1737"/>
      <c r="TG14" s="1737"/>
      <c r="TH14" s="1737"/>
      <c r="TI14" s="1737"/>
      <c r="TJ14" s="1737"/>
      <c r="TK14" s="1737"/>
      <c r="TL14" s="1737"/>
      <c r="TM14" s="1737"/>
      <c r="TN14" s="1737"/>
      <c r="TO14" s="1737"/>
      <c r="TP14" s="1737"/>
      <c r="TQ14" s="1737"/>
      <c r="TR14" s="1737"/>
      <c r="TS14" s="1737"/>
      <c r="TT14" s="1737"/>
      <c r="TU14" s="1737"/>
      <c r="TV14" s="1737"/>
      <c r="TW14" s="1737"/>
      <c r="TX14" s="1737"/>
      <c r="TY14" s="1737"/>
      <c r="TZ14" s="1737"/>
      <c r="UA14" s="1737"/>
      <c r="UB14" s="1737"/>
      <c r="UC14" s="1737"/>
      <c r="UD14" s="1737"/>
      <c r="UE14" s="1737"/>
      <c r="UF14" s="1737"/>
      <c r="UG14" s="1737"/>
      <c r="UH14" s="1737"/>
      <c r="UI14" s="1737"/>
      <c r="UJ14" s="1737"/>
      <c r="UK14" s="1737"/>
      <c r="UL14" s="1737"/>
      <c r="UM14" s="1737"/>
      <c r="UN14" s="1737"/>
      <c r="UO14" s="1737"/>
      <c r="UP14" s="1737"/>
      <c r="UQ14" s="1737"/>
      <c r="UR14" s="1737"/>
      <c r="US14" s="1737"/>
      <c r="UT14" s="1737"/>
      <c r="UU14" s="1737"/>
      <c r="UV14" s="1737"/>
      <c r="UW14" s="1737"/>
      <c r="UX14" s="1737"/>
      <c r="UY14" s="1737"/>
      <c r="UZ14" s="1737"/>
      <c r="VA14" s="1737"/>
      <c r="VB14" s="1737"/>
      <c r="VC14" s="1737"/>
      <c r="VD14" s="1737"/>
      <c r="VE14" s="1737"/>
      <c r="VF14" s="1737"/>
      <c r="VG14" s="1737"/>
      <c r="VH14" s="1737"/>
      <c r="VI14" s="1737"/>
      <c r="VJ14" s="1737"/>
      <c r="VK14" s="1737"/>
      <c r="VL14" s="1737"/>
      <c r="VM14" s="1737"/>
      <c r="VN14" s="1737"/>
      <c r="VO14" s="1737"/>
      <c r="VP14" s="1737"/>
      <c r="VQ14" s="1737"/>
      <c r="VR14" s="1737"/>
      <c r="VS14" s="1737"/>
      <c r="VT14" s="1737"/>
      <c r="VU14" s="1737"/>
      <c r="VV14" s="1737"/>
      <c r="VW14" s="1737"/>
      <c r="VX14" s="1737"/>
      <c r="VY14" s="1737"/>
      <c r="VZ14" s="1737"/>
      <c r="WA14" s="1737"/>
      <c r="WB14" s="1737"/>
      <c r="WC14" s="1737"/>
      <c r="WD14" s="1737"/>
      <c r="WE14" s="1737"/>
      <c r="WF14" s="1737"/>
      <c r="WG14" s="1737"/>
      <c r="WH14" s="1737"/>
      <c r="WI14" s="1737"/>
      <c r="WJ14" s="1737"/>
      <c r="WK14" s="1737"/>
      <c r="WL14" s="1737"/>
      <c r="WM14" s="1737"/>
      <c r="WN14" s="1737"/>
      <c r="WO14" s="1737"/>
      <c r="WP14" s="1737"/>
      <c r="WQ14" s="1737"/>
      <c r="WR14" s="1737"/>
      <c r="WS14" s="1737"/>
      <c r="WT14" s="1737"/>
      <c r="WU14" s="1737"/>
      <c r="WV14" s="1737"/>
      <c r="WW14" s="1737"/>
      <c r="WX14" s="1737"/>
      <c r="WY14" s="1737"/>
      <c r="WZ14" s="1737"/>
      <c r="XA14" s="1737"/>
      <c r="XB14" s="1737"/>
      <c r="XC14" s="1737"/>
      <c r="XD14" s="1737"/>
      <c r="XE14" s="1737"/>
      <c r="XF14" s="1737"/>
      <c r="XG14" s="1737"/>
      <c r="XH14" s="1737"/>
      <c r="XI14" s="1737"/>
      <c r="XJ14" s="1737"/>
      <c r="XK14" s="1737"/>
      <c r="XL14" s="1737"/>
      <c r="XM14" s="1737"/>
      <c r="XN14" s="1737"/>
      <c r="XO14" s="1737"/>
      <c r="XP14" s="1737"/>
      <c r="XQ14" s="1737"/>
      <c r="XR14" s="1737"/>
      <c r="XS14" s="1737"/>
      <c r="XT14" s="1737"/>
      <c r="XU14" s="1737"/>
      <c r="XV14" s="1737"/>
      <c r="XW14" s="1737"/>
      <c r="XX14" s="1737"/>
      <c r="XY14" s="1737"/>
      <c r="XZ14" s="1737"/>
      <c r="YA14" s="1737"/>
      <c r="YB14" s="1737"/>
      <c r="YC14" s="1737"/>
      <c r="YD14" s="1737"/>
      <c r="YE14" s="1737"/>
      <c r="YF14" s="1737"/>
      <c r="YG14" s="1737"/>
      <c r="YH14" s="1737"/>
      <c r="YI14" s="1737"/>
      <c r="YJ14" s="1737"/>
      <c r="YK14" s="1737"/>
      <c r="YL14" s="1737"/>
      <c r="YM14" s="1737"/>
      <c r="YN14" s="1737"/>
      <c r="YO14" s="1737"/>
      <c r="YP14" s="1737"/>
      <c r="YQ14" s="1737"/>
      <c r="YR14" s="1737"/>
      <c r="YS14" s="1737"/>
      <c r="YT14" s="1737"/>
      <c r="YU14" s="1737"/>
      <c r="YV14" s="1737"/>
      <c r="YW14" s="1737"/>
      <c r="YX14" s="1737"/>
      <c r="YY14" s="1737"/>
      <c r="YZ14" s="1737"/>
      <c r="ZA14" s="1737"/>
      <c r="ZB14" s="1737"/>
      <c r="ZC14" s="1737"/>
      <c r="ZD14" s="1737"/>
      <c r="ZE14" s="1737"/>
      <c r="ZF14" s="1737"/>
      <c r="ZG14" s="1737"/>
      <c r="ZH14" s="1737"/>
      <c r="ZI14" s="1737"/>
      <c r="ZJ14" s="1737"/>
      <c r="ZK14" s="1737"/>
      <c r="ZL14" s="1737"/>
      <c r="ZM14" s="1737"/>
      <c r="ZN14" s="1737"/>
      <c r="ZO14" s="1737"/>
      <c r="ZP14" s="1737"/>
      <c r="ZQ14" s="1737"/>
      <c r="ZR14" s="1737"/>
      <c r="ZS14" s="1737"/>
      <c r="ZT14" s="1737"/>
      <c r="ZU14" s="1737"/>
      <c r="ZV14" s="1737"/>
      <c r="ZW14" s="1737"/>
      <c r="ZX14" s="1737"/>
      <c r="ZY14" s="1737"/>
      <c r="ZZ14" s="1737"/>
      <c r="AAA14" s="1737"/>
      <c r="AAB14" s="1737"/>
      <c r="AAC14" s="1737"/>
      <c r="AAD14" s="1737"/>
      <c r="AAE14" s="1737"/>
      <c r="AAF14" s="1737"/>
      <c r="AAG14" s="1737"/>
      <c r="AAH14" s="1737"/>
      <c r="AAI14" s="1737"/>
      <c r="AAJ14" s="1737"/>
      <c r="AAK14" s="1737"/>
      <c r="AAL14" s="1737"/>
      <c r="AAM14" s="1737"/>
      <c r="AAN14" s="1737"/>
      <c r="AAO14" s="1737"/>
      <c r="AAP14" s="1737"/>
      <c r="AAQ14" s="1737"/>
      <c r="AAR14" s="1737"/>
      <c r="AAS14" s="1737"/>
      <c r="AAT14" s="1737"/>
      <c r="AAU14" s="1737"/>
      <c r="AAV14" s="1737"/>
      <c r="AAW14" s="1737"/>
      <c r="AAX14" s="1737"/>
      <c r="AAY14" s="1737"/>
      <c r="AAZ14" s="1737"/>
      <c r="ABA14" s="1737"/>
      <c r="ABB14" s="1737"/>
      <c r="ABC14" s="1737"/>
      <c r="ABD14" s="1737"/>
      <c r="ABE14" s="1737"/>
      <c r="ABF14" s="1737"/>
      <c r="ABG14" s="1737"/>
      <c r="ABH14" s="1737"/>
      <c r="ABI14" s="1737"/>
      <c r="ABJ14" s="1737"/>
      <c r="ABK14" s="1737"/>
      <c r="ABL14" s="1737"/>
      <c r="ABM14" s="1737"/>
      <c r="ABN14" s="1737"/>
      <c r="ABO14" s="1737"/>
      <c r="ABP14" s="1737"/>
      <c r="ABQ14" s="1737"/>
      <c r="ABR14" s="1737"/>
      <c r="ABS14" s="1737"/>
      <c r="ABT14" s="1737"/>
      <c r="ABU14" s="1737"/>
      <c r="ABV14" s="1737"/>
      <c r="ABW14" s="1737"/>
      <c r="ABX14" s="1737"/>
      <c r="ABY14" s="1737"/>
      <c r="ABZ14" s="1737"/>
      <c r="ACA14" s="1737"/>
      <c r="ACB14" s="1737"/>
      <c r="ACC14" s="1737"/>
      <c r="ACD14" s="1737"/>
      <c r="ACE14" s="1737"/>
      <c r="ACF14" s="1737"/>
      <c r="ACG14" s="1737"/>
      <c r="ACH14" s="1737"/>
      <c r="ACI14" s="1737"/>
      <c r="ACJ14" s="1737"/>
      <c r="ACK14" s="1737"/>
      <c r="ACL14" s="1737"/>
      <c r="ACM14" s="1737"/>
      <c r="ACN14" s="1737"/>
      <c r="ACO14" s="1737"/>
      <c r="ACP14" s="1737"/>
      <c r="ACQ14" s="1737"/>
      <c r="ACR14" s="1737"/>
      <c r="ACS14" s="1737"/>
      <c r="ACT14" s="1737"/>
      <c r="ACU14" s="1737"/>
      <c r="ACV14" s="1737"/>
      <c r="ACW14" s="1737"/>
      <c r="ACX14" s="1737"/>
      <c r="ACY14" s="1737"/>
      <c r="ACZ14" s="1737"/>
      <c r="ADA14" s="1737"/>
      <c r="ADB14" s="1737"/>
      <c r="ADC14" s="1737"/>
      <c r="ADD14" s="1737"/>
      <c r="ADE14" s="1737"/>
      <c r="ADF14" s="1737"/>
      <c r="ADG14" s="1737"/>
      <c r="ADH14" s="1737"/>
      <c r="ADI14" s="1737"/>
      <c r="ADJ14" s="1737"/>
      <c r="ADK14" s="1737"/>
      <c r="ADL14" s="1737"/>
      <c r="ADM14" s="1737"/>
      <c r="ADN14" s="1737"/>
      <c r="ADO14" s="1737"/>
      <c r="ADP14" s="1737"/>
      <c r="ADQ14" s="1737"/>
      <c r="ADR14" s="1737"/>
      <c r="ADS14" s="1737"/>
      <c r="ADT14" s="1737"/>
      <c r="ADU14" s="1737"/>
      <c r="ADV14" s="1737"/>
      <c r="ADW14" s="1737"/>
      <c r="ADX14" s="1737"/>
      <c r="ADY14" s="1737"/>
      <c r="ADZ14" s="1737"/>
      <c r="AEA14" s="1737"/>
      <c r="AEB14" s="1737"/>
      <c r="AEC14" s="1737"/>
      <c r="AED14" s="1737"/>
      <c r="AEE14" s="1737"/>
      <c r="AEF14" s="1737"/>
      <c r="AEG14" s="1737"/>
      <c r="AEH14" s="1737"/>
      <c r="AEI14" s="1737"/>
      <c r="AEJ14" s="1737"/>
      <c r="AEK14" s="1737"/>
      <c r="AEL14" s="1737"/>
      <c r="AEM14" s="1737"/>
      <c r="AEN14" s="1737"/>
      <c r="AEO14" s="1737"/>
      <c r="AEP14" s="1737"/>
      <c r="AEQ14" s="1737"/>
      <c r="AER14" s="1737"/>
      <c r="AES14" s="1737"/>
      <c r="AET14" s="1737"/>
      <c r="AEU14" s="1737"/>
      <c r="AEV14" s="1737"/>
      <c r="AEW14" s="1737"/>
      <c r="AEX14" s="1737"/>
      <c r="AEY14" s="1737"/>
      <c r="AEZ14" s="1737"/>
      <c r="AFA14" s="1737"/>
      <c r="AFB14" s="1737"/>
      <c r="AFC14" s="1737"/>
      <c r="AFD14" s="1737"/>
      <c r="AFE14" s="1737"/>
      <c r="AFF14" s="1737"/>
      <c r="AFG14" s="1737"/>
      <c r="AFH14" s="1737"/>
      <c r="AFI14" s="1737"/>
      <c r="AFJ14" s="1737"/>
      <c r="AFK14" s="1737"/>
      <c r="AFL14" s="1737"/>
      <c r="AFM14" s="1737"/>
      <c r="AFN14" s="1737"/>
      <c r="AFO14" s="1737"/>
      <c r="AFP14" s="1737"/>
      <c r="AFQ14" s="1737"/>
      <c r="AFR14" s="1737"/>
      <c r="AFS14" s="1737"/>
      <c r="AFT14" s="1737"/>
      <c r="AFU14" s="1737"/>
      <c r="AFV14" s="1737"/>
      <c r="AFW14" s="1737"/>
      <c r="AFX14" s="1737"/>
      <c r="AFY14" s="1737"/>
      <c r="AFZ14" s="1737"/>
      <c r="AGA14" s="1737"/>
      <c r="AGB14" s="1737"/>
      <c r="AGC14" s="1737"/>
      <c r="AGD14" s="1737"/>
      <c r="AGE14" s="1737"/>
    </row>
    <row r="15" spans="1:863" s="888" customFormat="1" ht="60" customHeight="1" x14ac:dyDescent="0.45">
      <c r="B15" s="1142" t="s">
        <v>1073</v>
      </c>
      <c r="C15" s="1076" t="s">
        <v>1211</v>
      </c>
      <c r="D15" s="1076" t="s">
        <v>1231</v>
      </c>
      <c r="E15" s="1076" t="s">
        <v>390</v>
      </c>
      <c r="F15" s="1076" t="s">
        <v>341</v>
      </c>
      <c r="G15" s="1076" t="s">
        <v>342</v>
      </c>
      <c r="H15" s="1167" t="s">
        <v>1687</v>
      </c>
      <c r="I15" s="1170" t="s">
        <v>321</v>
      </c>
      <c r="J15" s="1170"/>
      <c r="K15" s="1125"/>
      <c r="L15" s="1177">
        <v>323000</v>
      </c>
      <c r="M15" s="1178">
        <f>493*GWP_CH4</f>
        <v>12325</v>
      </c>
      <c r="N15" s="1178">
        <f>428.4*GWP_N2O</f>
        <v>127663.2</v>
      </c>
      <c r="O15" s="1098"/>
      <c r="P15" s="1172">
        <f t="shared" si="0"/>
        <v>462988.2</v>
      </c>
      <c r="Q15" s="1737"/>
      <c r="R15" s="1737"/>
      <c r="S15" s="1760"/>
      <c r="T15" s="1737"/>
      <c r="U15" s="1751"/>
      <c r="V15" s="1751"/>
      <c r="W15" s="1751"/>
      <c r="X15" s="1737"/>
      <c r="Y15" s="1737"/>
      <c r="Z15" s="1737"/>
      <c r="AA15" s="1737"/>
      <c r="AB15" s="1737"/>
      <c r="AC15" s="1737"/>
      <c r="AD15" s="1737"/>
      <c r="AE15" s="1737"/>
      <c r="AF15" s="1737"/>
      <c r="AG15" s="1737"/>
      <c r="AH15" s="1737"/>
      <c r="AI15" s="1737"/>
      <c r="AJ15" s="1737"/>
      <c r="AK15" s="1737"/>
      <c r="AL15" s="1737"/>
      <c r="AM15" s="1737"/>
      <c r="AN15" s="1737"/>
      <c r="AO15" s="1737"/>
      <c r="AP15" s="1737"/>
      <c r="AQ15" s="1737"/>
      <c r="AR15" s="1737"/>
      <c r="AS15" s="1737"/>
      <c r="AT15" s="1737"/>
      <c r="AU15" s="1737"/>
      <c r="AV15" s="1737"/>
      <c r="AW15" s="1737"/>
      <c r="AX15" s="1737"/>
      <c r="AY15" s="1737"/>
      <c r="AZ15" s="1737"/>
      <c r="BA15" s="1737"/>
      <c r="BB15" s="1737"/>
      <c r="BC15" s="1737"/>
      <c r="BD15" s="1737"/>
      <c r="BE15" s="1737"/>
      <c r="BF15" s="1737"/>
      <c r="BG15" s="1737"/>
      <c r="BH15" s="1737"/>
      <c r="BI15" s="1737"/>
      <c r="BJ15" s="1737"/>
      <c r="BK15" s="1737"/>
      <c r="BL15" s="1737"/>
      <c r="BM15" s="1737"/>
      <c r="BN15" s="1737"/>
      <c r="BO15" s="1737"/>
      <c r="BP15" s="1737"/>
      <c r="BQ15" s="1737"/>
      <c r="BR15" s="1737"/>
      <c r="BS15" s="1737"/>
      <c r="BT15" s="1737"/>
      <c r="BU15" s="1737"/>
      <c r="BV15" s="1737"/>
      <c r="BW15" s="1737"/>
      <c r="BX15" s="1737"/>
      <c r="BY15" s="1737"/>
      <c r="BZ15" s="1737"/>
      <c r="CA15" s="1737"/>
      <c r="CB15" s="1737"/>
      <c r="CC15" s="1737"/>
      <c r="CD15" s="1737"/>
      <c r="CE15" s="1737"/>
      <c r="CF15" s="1737"/>
      <c r="CG15" s="1737"/>
      <c r="CH15" s="1737"/>
      <c r="CI15" s="1737"/>
      <c r="CJ15" s="1737"/>
      <c r="CK15" s="1737"/>
      <c r="CL15" s="1737"/>
      <c r="CM15" s="1737"/>
      <c r="CN15" s="1737"/>
      <c r="CO15" s="1737"/>
      <c r="CP15" s="1737"/>
      <c r="CQ15" s="1737"/>
      <c r="CR15" s="1737"/>
      <c r="CS15" s="1737"/>
      <c r="CT15" s="1737"/>
      <c r="CU15" s="1737"/>
      <c r="CV15" s="1737"/>
      <c r="CW15" s="1737"/>
      <c r="CX15" s="1737"/>
      <c r="CY15" s="1737"/>
      <c r="CZ15" s="1737"/>
      <c r="DA15" s="1737"/>
      <c r="DB15" s="1737"/>
      <c r="DC15" s="1737"/>
      <c r="DD15" s="1737"/>
      <c r="DE15" s="1737"/>
      <c r="DF15" s="1737"/>
      <c r="DG15" s="1737"/>
      <c r="DH15" s="1737"/>
      <c r="DI15" s="1737"/>
      <c r="DJ15" s="1737"/>
      <c r="DK15" s="1737"/>
      <c r="DL15" s="1737"/>
      <c r="DM15" s="1737"/>
      <c r="DN15" s="1737"/>
      <c r="DO15" s="1737"/>
      <c r="DP15" s="1737"/>
      <c r="DQ15" s="1737"/>
      <c r="DR15" s="1737"/>
      <c r="DS15" s="1737"/>
      <c r="DT15" s="1737"/>
      <c r="DU15" s="1737"/>
      <c r="DV15" s="1737"/>
      <c r="DW15" s="1737"/>
      <c r="DX15" s="1737"/>
      <c r="DY15" s="1737"/>
      <c r="DZ15" s="1737"/>
      <c r="EA15" s="1737"/>
      <c r="EB15" s="1737"/>
      <c r="EC15" s="1737"/>
      <c r="ED15" s="1737"/>
      <c r="EE15" s="1737"/>
      <c r="EF15" s="1737"/>
      <c r="EG15" s="1737"/>
      <c r="EH15" s="1737"/>
      <c r="EI15" s="1737"/>
      <c r="EJ15" s="1737"/>
      <c r="EK15" s="1737"/>
      <c r="EL15" s="1737"/>
      <c r="EM15" s="1737"/>
      <c r="EN15" s="1737"/>
      <c r="EO15" s="1737"/>
      <c r="EP15" s="1737"/>
      <c r="EQ15" s="1737"/>
      <c r="ER15" s="1737"/>
      <c r="ES15" s="1737"/>
      <c r="ET15" s="1737"/>
      <c r="EU15" s="1737"/>
      <c r="EV15" s="1737"/>
      <c r="EW15" s="1737"/>
      <c r="EX15" s="1737"/>
      <c r="EY15" s="1737"/>
      <c r="EZ15" s="1737"/>
      <c r="FA15" s="1737"/>
      <c r="FB15" s="1737"/>
      <c r="FC15" s="1737"/>
      <c r="FD15" s="1737"/>
      <c r="FE15" s="1737"/>
      <c r="FF15" s="1737"/>
      <c r="FG15" s="1737"/>
      <c r="FH15" s="1737"/>
      <c r="FI15" s="1737"/>
      <c r="FJ15" s="1737"/>
      <c r="FK15" s="1737"/>
      <c r="FL15" s="1737"/>
      <c r="FM15" s="1737"/>
      <c r="FN15" s="1737"/>
      <c r="FO15" s="1737"/>
      <c r="FP15" s="1737"/>
      <c r="FQ15" s="1737"/>
      <c r="FR15" s="1737"/>
      <c r="FS15" s="1737"/>
      <c r="FT15" s="1737"/>
      <c r="FU15" s="1737"/>
      <c r="FV15" s="1737"/>
      <c r="FW15" s="1737"/>
      <c r="FX15" s="1737"/>
      <c r="FY15" s="1737"/>
      <c r="FZ15" s="1737"/>
      <c r="GA15" s="1737"/>
      <c r="GB15" s="1737"/>
      <c r="GC15" s="1737"/>
      <c r="GD15" s="1737"/>
      <c r="GE15" s="1737"/>
      <c r="GF15" s="1737"/>
      <c r="GG15" s="1737"/>
      <c r="GH15" s="1737"/>
      <c r="GI15" s="1737"/>
      <c r="GJ15" s="1737"/>
      <c r="GK15" s="1737"/>
      <c r="GL15" s="1737"/>
      <c r="GM15" s="1737"/>
      <c r="GN15" s="1737"/>
      <c r="GO15" s="1737"/>
      <c r="GP15" s="1737"/>
      <c r="GQ15" s="1737"/>
      <c r="GR15" s="1737"/>
      <c r="GS15" s="1737"/>
      <c r="GT15" s="1737"/>
      <c r="GU15" s="1737"/>
      <c r="GV15" s="1737"/>
      <c r="GW15" s="1737"/>
      <c r="GX15" s="1737"/>
      <c r="GY15" s="1737"/>
      <c r="GZ15" s="1737"/>
      <c r="HA15" s="1737"/>
      <c r="HB15" s="1737"/>
      <c r="HC15" s="1737"/>
      <c r="HD15" s="1737"/>
      <c r="HE15" s="1737"/>
      <c r="HF15" s="1737"/>
      <c r="HG15" s="1737"/>
      <c r="HH15" s="1737"/>
      <c r="HI15" s="1737"/>
      <c r="HJ15" s="1737"/>
      <c r="HK15" s="1737"/>
      <c r="HL15" s="1737"/>
      <c r="HM15" s="1737"/>
      <c r="HN15" s="1737"/>
      <c r="HO15" s="1737"/>
      <c r="HP15" s="1737"/>
      <c r="HQ15" s="1737"/>
      <c r="HR15" s="1737"/>
      <c r="HS15" s="1737"/>
      <c r="HT15" s="1737"/>
      <c r="HU15" s="1737"/>
      <c r="HV15" s="1737"/>
      <c r="HW15" s="1737"/>
      <c r="HX15" s="1737"/>
      <c r="HY15" s="1737"/>
      <c r="HZ15" s="1737"/>
      <c r="IA15" s="1737"/>
      <c r="IB15" s="1737"/>
      <c r="IC15" s="1737"/>
      <c r="ID15" s="1737"/>
      <c r="IE15" s="1737"/>
      <c r="IF15" s="1737"/>
      <c r="IG15" s="1737"/>
      <c r="IH15" s="1737"/>
      <c r="II15" s="1737"/>
      <c r="IJ15" s="1737"/>
      <c r="IK15" s="1737"/>
      <c r="IL15" s="1737"/>
      <c r="IM15" s="1737"/>
      <c r="IN15" s="1737"/>
      <c r="IO15" s="1737"/>
      <c r="IP15" s="1737"/>
      <c r="IQ15" s="1737"/>
      <c r="IR15" s="1737"/>
      <c r="IS15" s="1737"/>
      <c r="IT15" s="1737"/>
      <c r="IU15" s="1737"/>
      <c r="IV15" s="1737"/>
      <c r="IW15" s="1737"/>
      <c r="IX15" s="1737"/>
      <c r="IY15" s="1737"/>
      <c r="IZ15" s="1737"/>
      <c r="JA15" s="1737"/>
      <c r="JB15" s="1737"/>
      <c r="JC15" s="1737"/>
      <c r="JD15" s="1737"/>
      <c r="JE15" s="1737"/>
      <c r="JF15" s="1737"/>
      <c r="JG15" s="1737"/>
      <c r="JH15" s="1737"/>
      <c r="JI15" s="1737"/>
      <c r="JJ15" s="1737"/>
      <c r="JK15" s="1737"/>
      <c r="JL15" s="1737"/>
      <c r="JM15" s="1737"/>
      <c r="JN15" s="1737"/>
      <c r="JO15" s="1737"/>
      <c r="JP15" s="1737"/>
      <c r="JQ15" s="1737"/>
      <c r="JR15" s="1737"/>
      <c r="JS15" s="1737"/>
      <c r="JT15" s="1737"/>
      <c r="JU15" s="1737"/>
      <c r="JV15" s="1737"/>
      <c r="JW15" s="1737"/>
      <c r="JX15" s="1737"/>
      <c r="JY15" s="1737"/>
      <c r="JZ15" s="1737"/>
      <c r="KA15" s="1737"/>
      <c r="KB15" s="1737"/>
      <c r="KC15" s="1737"/>
      <c r="KD15" s="1737"/>
      <c r="KE15" s="1737"/>
      <c r="KF15" s="1737"/>
      <c r="KG15" s="1737"/>
      <c r="KH15" s="1737"/>
      <c r="KI15" s="1737"/>
      <c r="KJ15" s="1737"/>
      <c r="KK15" s="1737"/>
      <c r="KL15" s="1737"/>
      <c r="KM15" s="1737"/>
      <c r="KN15" s="1737"/>
      <c r="KO15" s="1737"/>
      <c r="KP15" s="1737"/>
      <c r="KQ15" s="1737"/>
      <c r="KR15" s="1737"/>
      <c r="KS15" s="1737"/>
      <c r="KT15" s="1737"/>
      <c r="KU15" s="1737"/>
      <c r="KV15" s="1737"/>
      <c r="KW15" s="1737"/>
      <c r="KX15" s="1737"/>
      <c r="KY15" s="1737"/>
      <c r="KZ15" s="1737"/>
      <c r="LA15" s="1737"/>
      <c r="LB15" s="1737"/>
      <c r="LC15" s="1737"/>
      <c r="LD15" s="1737"/>
      <c r="LE15" s="1737"/>
      <c r="LF15" s="1737"/>
      <c r="LG15" s="1737"/>
      <c r="LH15" s="1737"/>
      <c r="LI15" s="1737"/>
      <c r="LJ15" s="1737"/>
      <c r="LK15" s="1737"/>
      <c r="LL15" s="1737"/>
      <c r="LM15" s="1737"/>
      <c r="LN15" s="1737"/>
      <c r="LO15" s="1737"/>
      <c r="LP15" s="1737"/>
      <c r="LQ15" s="1737"/>
      <c r="LR15" s="1737"/>
      <c r="LS15" s="1737"/>
      <c r="LT15" s="1737"/>
      <c r="LU15" s="1737"/>
      <c r="LV15" s="1737"/>
      <c r="LW15" s="1737"/>
      <c r="LX15" s="1737"/>
      <c r="LY15" s="1737"/>
      <c r="LZ15" s="1737"/>
      <c r="MA15" s="1737"/>
      <c r="MB15" s="1737"/>
      <c r="MC15" s="1737"/>
      <c r="MD15" s="1737"/>
      <c r="ME15" s="1737"/>
      <c r="MF15" s="1737"/>
      <c r="MG15" s="1737"/>
      <c r="MH15" s="1737"/>
      <c r="MI15" s="1737"/>
      <c r="MJ15" s="1737"/>
      <c r="MK15" s="1737"/>
      <c r="ML15" s="1737"/>
      <c r="MM15" s="1737"/>
      <c r="MN15" s="1737"/>
      <c r="MO15" s="1737"/>
      <c r="MP15" s="1737"/>
      <c r="MQ15" s="1737"/>
      <c r="MR15" s="1737"/>
      <c r="MS15" s="1737"/>
      <c r="MT15" s="1737"/>
      <c r="MU15" s="1737"/>
      <c r="MV15" s="1737"/>
      <c r="MW15" s="1737"/>
      <c r="MX15" s="1737"/>
      <c r="MY15" s="1737"/>
      <c r="MZ15" s="1737"/>
      <c r="NA15" s="1737"/>
      <c r="NB15" s="1737"/>
      <c r="NC15" s="1737"/>
      <c r="ND15" s="1737"/>
      <c r="NE15" s="1737"/>
      <c r="NF15" s="1737"/>
      <c r="NG15" s="1737"/>
      <c r="NH15" s="1737"/>
      <c r="NI15" s="1737"/>
      <c r="NJ15" s="1737"/>
      <c r="NK15" s="1737"/>
      <c r="NL15" s="1737"/>
      <c r="NM15" s="1737"/>
      <c r="NN15" s="1737"/>
      <c r="NO15" s="1737"/>
      <c r="NP15" s="1737"/>
      <c r="NQ15" s="1737"/>
      <c r="NR15" s="1737"/>
      <c r="NS15" s="1737"/>
      <c r="NT15" s="1737"/>
      <c r="NU15" s="1737"/>
      <c r="NV15" s="1737"/>
      <c r="NW15" s="1737"/>
      <c r="NX15" s="1737"/>
      <c r="NY15" s="1737"/>
      <c r="NZ15" s="1737"/>
      <c r="OA15" s="1737"/>
      <c r="OB15" s="1737"/>
      <c r="OC15" s="1737"/>
      <c r="OD15" s="1737"/>
      <c r="OE15" s="1737"/>
      <c r="OF15" s="1737"/>
      <c r="OG15" s="1737"/>
      <c r="OH15" s="1737"/>
      <c r="OI15" s="1737"/>
      <c r="OJ15" s="1737"/>
      <c r="OK15" s="1737"/>
      <c r="OL15" s="1737"/>
      <c r="OM15" s="1737"/>
      <c r="ON15" s="1737"/>
      <c r="OO15" s="1737"/>
      <c r="OP15" s="1737"/>
      <c r="OQ15" s="1737"/>
      <c r="OR15" s="1737"/>
      <c r="OS15" s="1737"/>
      <c r="OT15" s="1737"/>
      <c r="OU15" s="1737"/>
      <c r="OV15" s="1737"/>
      <c r="OW15" s="1737"/>
      <c r="OX15" s="1737"/>
      <c r="OY15" s="1737"/>
      <c r="OZ15" s="1737"/>
      <c r="PA15" s="1737"/>
      <c r="PB15" s="1737"/>
      <c r="PC15" s="1737"/>
      <c r="PD15" s="1737"/>
      <c r="PE15" s="1737"/>
      <c r="PF15" s="1737"/>
      <c r="PG15" s="1737"/>
      <c r="PH15" s="1737"/>
      <c r="PI15" s="1737"/>
      <c r="PJ15" s="1737"/>
      <c r="PK15" s="1737"/>
      <c r="PL15" s="1737"/>
      <c r="PM15" s="1737"/>
      <c r="PN15" s="1737"/>
      <c r="PO15" s="1737"/>
      <c r="PP15" s="1737"/>
      <c r="PQ15" s="1737"/>
      <c r="PR15" s="1737"/>
      <c r="PS15" s="1737"/>
      <c r="PT15" s="1737"/>
      <c r="PU15" s="1737"/>
      <c r="PV15" s="1737"/>
      <c r="PW15" s="1737"/>
      <c r="PX15" s="1737"/>
      <c r="PY15" s="1737"/>
      <c r="PZ15" s="1737"/>
      <c r="QA15" s="1737"/>
      <c r="QB15" s="1737"/>
      <c r="QC15" s="1737"/>
      <c r="QD15" s="1737"/>
      <c r="QE15" s="1737"/>
      <c r="QF15" s="1737"/>
      <c r="QG15" s="1737"/>
      <c r="QH15" s="1737"/>
      <c r="QI15" s="1737"/>
      <c r="QJ15" s="1737"/>
      <c r="QK15" s="1737"/>
      <c r="QL15" s="1737"/>
      <c r="QM15" s="1737"/>
      <c r="QN15" s="1737"/>
      <c r="QO15" s="1737"/>
      <c r="QP15" s="1737"/>
      <c r="QQ15" s="1737"/>
      <c r="QR15" s="1737"/>
      <c r="QS15" s="1737"/>
      <c r="QT15" s="1737"/>
      <c r="QU15" s="1737"/>
      <c r="QV15" s="1737"/>
      <c r="QW15" s="1737"/>
      <c r="QX15" s="1737"/>
      <c r="QY15" s="1737"/>
      <c r="QZ15" s="1737"/>
      <c r="RA15" s="1737"/>
      <c r="RB15" s="1737"/>
      <c r="RC15" s="1737"/>
      <c r="RD15" s="1737"/>
      <c r="RE15" s="1737"/>
      <c r="RF15" s="1737"/>
      <c r="RG15" s="1737"/>
      <c r="RH15" s="1737"/>
      <c r="RI15" s="1737"/>
      <c r="RJ15" s="1737"/>
      <c r="RK15" s="1737"/>
      <c r="RL15" s="1737"/>
      <c r="RM15" s="1737"/>
      <c r="RN15" s="1737"/>
      <c r="RO15" s="1737"/>
      <c r="RP15" s="1737"/>
      <c r="RQ15" s="1737"/>
      <c r="RR15" s="1737"/>
      <c r="RS15" s="1737"/>
      <c r="RT15" s="1737"/>
      <c r="RU15" s="1737"/>
      <c r="RV15" s="1737"/>
      <c r="RW15" s="1737"/>
      <c r="RX15" s="1737"/>
      <c r="RY15" s="1737"/>
      <c r="RZ15" s="1737"/>
      <c r="SA15" s="1737"/>
      <c r="SB15" s="1737"/>
      <c r="SC15" s="1737"/>
      <c r="SD15" s="1737"/>
      <c r="SE15" s="1737"/>
      <c r="SF15" s="1737"/>
      <c r="SG15" s="1737"/>
      <c r="SH15" s="1737"/>
      <c r="SI15" s="1737"/>
      <c r="SJ15" s="1737"/>
      <c r="SK15" s="1737"/>
      <c r="SL15" s="1737"/>
      <c r="SM15" s="1737"/>
      <c r="SN15" s="1737"/>
      <c r="SO15" s="1737"/>
      <c r="SP15" s="1737"/>
      <c r="SQ15" s="1737"/>
      <c r="SR15" s="1737"/>
      <c r="SS15" s="1737"/>
      <c r="ST15" s="1737"/>
      <c r="SU15" s="1737"/>
      <c r="SV15" s="1737"/>
      <c r="SW15" s="1737"/>
      <c r="SX15" s="1737"/>
      <c r="SY15" s="1737"/>
      <c r="SZ15" s="1737"/>
      <c r="TA15" s="1737"/>
      <c r="TB15" s="1737"/>
      <c r="TC15" s="1737"/>
      <c r="TD15" s="1737"/>
      <c r="TE15" s="1737"/>
      <c r="TF15" s="1737"/>
      <c r="TG15" s="1737"/>
      <c r="TH15" s="1737"/>
      <c r="TI15" s="1737"/>
      <c r="TJ15" s="1737"/>
      <c r="TK15" s="1737"/>
      <c r="TL15" s="1737"/>
      <c r="TM15" s="1737"/>
      <c r="TN15" s="1737"/>
      <c r="TO15" s="1737"/>
      <c r="TP15" s="1737"/>
      <c r="TQ15" s="1737"/>
      <c r="TR15" s="1737"/>
      <c r="TS15" s="1737"/>
      <c r="TT15" s="1737"/>
      <c r="TU15" s="1737"/>
      <c r="TV15" s="1737"/>
      <c r="TW15" s="1737"/>
      <c r="TX15" s="1737"/>
      <c r="TY15" s="1737"/>
      <c r="TZ15" s="1737"/>
      <c r="UA15" s="1737"/>
      <c r="UB15" s="1737"/>
      <c r="UC15" s="1737"/>
      <c r="UD15" s="1737"/>
      <c r="UE15" s="1737"/>
      <c r="UF15" s="1737"/>
      <c r="UG15" s="1737"/>
      <c r="UH15" s="1737"/>
      <c r="UI15" s="1737"/>
      <c r="UJ15" s="1737"/>
      <c r="UK15" s="1737"/>
      <c r="UL15" s="1737"/>
      <c r="UM15" s="1737"/>
      <c r="UN15" s="1737"/>
      <c r="UO15" s="1737"/>
      <c r="UP15" s="1737"/>
      <c r="UQ15" s="1737"/>
      <c r="UR15" s="1737"/>
      <c r="US15" s="1737"/>
      <c r="UT15" s="1737"/>
      <c r="UU15" s="1737"/>
      <c r="UV15" s="1737"/>
      <c r="UW15" s="1737"/>
      <c r="UX15" s="1737"/>
      <c r="UY15" s="1737"/>
      <c r="UZ15" s="1737"/>
      <c r="VA15" s="1737"/>
      <c r="VB15" s="1737"/>
      <c r="VC15" s="1737"/>
      <c r="VD15" s="1737"/>
      <c r="VE15" s="1737"/>
      <c r="VF15" s="1737"/>
      <c r="VG15" s="1737"/>
      <c r="VH15" s="1737"/>
      <c r="VI15" s="1737"/>
      <c r="VJ15" s="1737"/>
      <c r="VK15" s="1737"/>
      <c r="VL15" s="1737"/>
      <c r="VM15" s="1737"/>
      <c r="VN15" s="1737"/>
      <c r="VO15" s="1737"/>
      <c r="VP15" s="1737"/>
      <c r="VQ15" s="1737"/>
      <c r="VR15" s="1737"/>
      <c r="VS15" s="1737"/>
      <c r="VT15" s="1737"/>
      <c r="VU15" s="1737"/>
      <c r="VV15" s="1737"/>
      <c r="VW15" s="1737"/>
      <c r="VX15" s="1737"/>
      <c r="VY15" s="1737"/>
      <c r="VZ15" s="1737"/>
      <c r="WA15" s="1737"/>
      <c r="WB15" s="1737"/>
      <c r="WC15" s="1737"/>
      <c r="WD15" s="1737"/>
      <c r="WE15" s="1737"/>
      <c r="WF15" s="1737"/>
      <c r="WG15" s="1737"/>
      <c r="WH15" s="1737"/>
      <c r="WI15" s="1737"/>
      <c r="WJ15" s="1737"/>
      <c r="WK15" s="1737"/>
      <c r="WL15" s="1737"/>
      <c r="WM15" s="1737"/>
      <c r="WN15" s="1737"/>
      <c r="WO15" s="1737"/>
      <c r="WP15" s="1737"/>
      <c r="WQ15" s="1737"/>
      <c r="WR15" s="1737"/>
      <c r="WS15" s="1737"/>
      <c r="WT15" s="1737"/>
      <c r="WU15" s="1737"/>
      <c r="WV15" s="1737"/>
      <c r="WW15" s="1737"/>
      <c r="WX15" s="1737"/>
      <c r="WY15" s="1737"/>
      <c r="WZ15" s="1737"/>
      <c r="XA15" s="1737"/>
      <c r="XB15" s="1737"/>
      <c r="XC15" s="1737"/>
      <c r="XD15" s="1737"/>
      <c r="XE15" s="1737"/>
      <c r="XF15" s="1737"/>
      <c r="XG15" s="1737"/>
      <c r="XH15" s="1737"/>
      <c r="XI15" s="1737"/>
      <c r="XJ15" s="1737"/>
      <c r="XK15" s="1737"/>
      <c r="XL15" s="1737"/>
      <c r="XM15" s="1737"/>
      <c r="XN15" s="1737"/>
      <c r="XO15" s="1737"/>
      <c r="XP15" s="1737"/>
      <c r="XQ15" s="1737"/>
      <c r="XR15" s="1737"/>
      <c r="XS15" s="1737"/>
      <c r="XT15" s="1737"/>
      <c r="XU15" s="1737"/>
      <c r="XV15" s="1737"/>
      <c r="XW15" s="1737"/>
      <c r="XX15" s="1737"/>
      <c r="XY15" s="1737"/>
      <c r="XZ15" s="1737"/>
      <c r="YA15" s="1737"/>
      <c r="YB15" s="1737"/>
      <c r="YC15" s="1737"/>
      <c r="YD15" s="1737"/>
      <c r="YE15" s="1737"/>
      <c r="YF15" s="1737"/>
      <c r="YG15" s="1737"/>
      <c r="YH15" s="1737"/>
      <c r="YI15" s="1737"/>
      <c r="YJ15" s="1737"/>
      <c r="YK15" s="1737"/>
      <c r="YL15" s="1737"/>
      <c r="YM15" s="1737"/>
      <c r="YN15" s="1737"/>
      <c r="YO15" s="1737"/>
      <c r="YP15" s="1737"/>
      <c r="YQ15" s="1737"/>
      <c r="YR15" s="1737"/>
      <c r="YS15" s="1737"/>
      <c r="YT15" s="1737"/>
      <c r="YU15" s="1737"/>
      <c r="YV15" s="1737"/>
      <c r="YW15" s="1737"/>
      <c r="YX15" s="1737"/>
      <c r="YY15" s="1737"/>
      <c r="YZ15" s="1737"/>
      <c r="ZA15" s="1737"/>
      <c r="ZB15" s="1737"/>
      <c r="ZC15" s="1737"/>
      <c r="ZD15" s="1737"/>
      <c r="ZE15" s="1737"/>
      <c r="ZF15" s="1737"/>
      <c r="ZG15" s="1737"/>
      <c r="ZH15" s="1737"/>
      <c r="ZI15" s="1737"/>
      <c r="ZJ15" s="1737"/>
      <c r="ZK15" s="1737"/>
      <c r="ZL15" s="1737"/>
      <c r="ZM15" s="1737"/>
      <c r="ZN15" s="1737"/>
      <c r="ZO15" s="1737"/>
      <c r="ZP15" s="1737"/>
      <c r="ZQ15" s="1737"/>
      <c r="ZR15" s="1737"/>
      <c r="ZS15" s="1737"/>
      <c r="ZT15" s="1737"/>
      <c r="ZU15" s="1737"/>
      <c r="ZV15" s="1737"/>
      <c r="ZW15" s="1737"/>
      <c r="ZX15" s="1737"/>
      <c r="ZY15" s="1737"/>
      <c r="ZZ15" s="1737"/>
      <c r="AAA15" s="1737"/>
      <c r="AAB15" s="1737"/>
      <c r="AAC15" s="1737"/>
      <c r="AAD15" s="1737"/>
      <c r="AAE15" s="1737"/>
      <c r="AAF15" s="1737"/>
      <c r="AAG15" s="1737"/>
      <c r="AAH15" s="1737"/>
      <c r="AAI15" s="1737"/>
      <c r="AAJ15" s="1737"/>
      <c r="AAK15" s="1737"/>
      <c r="AAL15" s="1737"/>
      <c r="AAM15" s="1737"/>
      <c r="AAN15" s="1737"/>
      <c r="AAO15" s="1737"/>
      <c r="AAP15" s="1737"/>
      <c r="AAQ15" s="1737"/>
      <c r="AAR15" s="1737"/>
      <c r="AAS15" s="1737"/>
      <c r="AAT15" s="1737"/>
      <c r="AAU15" s="1737"/>
      <c r="AAV15" s="1737"/>
      <c r="AAW15" s="1737"/>
      <c r="AAX15" s="1737"/>
      <c r="AAY15" s="1737"/>
      <c r="AAZ15" s="1737"/>
      <c r="ABA15" s="1737"/>
      <c r="ABB15" s="1737"/>
      <c r="ABC15" s="1737"/>
      <c r="ABD15" s="1737"/>
      <c r="ABE15" s="1737"/>
      <c r="ABF15" s="1737"/>
      <c r="ABG15" s="1737"/>
      <c r="ABH15" s="1737"/>
      <c r="ABI15" s="1737"/>
      <c r="ABJ15" s="1737"/>
      <c r="ABK15" s="1737"/>
      <c r="ABL15" s="1737"/>
      <c r="ABM15" s="1737"/>
      <c r="ABN15" s="1737"/>
      <c r="ABO15" s="1737"/>
      <c r="ABP15" s="1737"/>
      <c r="ABQ15" s="1737"/>
      <c r="ABR15" s="1737"/>
      <c r="ABS15" s="1737"/>
      <c r="ABT15" s="1737"/>
      <c r="ABU15" s="1737"/>
      <c r="ABV15" s="1737"/>
      <c r="ABW15" s="1737"/>
      <c r="ABX15" s="1737"/>
      <c r="ABY15" s="1737"/>
      <c r="ABZ15" s="1737"/>
      <c r="ACA15" s="1737"/>
      <c r="ACB15" s="1737"/>
      <c r="ACC15" s="1737"/>
      <c r="ACD15" s="1737"/>
      <c r="ACE15" s="1737"/>
      <c r="ACF15" s="1737"/>
      <c r="ACG15" s="1737"/>
      <c r="ACH15" s="1737"/>
      <c r="ACI15" s="1737"/>
      <c r="ACJ15" s="1737"/>
      <c r="ACK15" s="1737"/>
      <c r="ACL15" s="1737"/>
      <c r="ACM15" s="1737"/>
      <c r="ACN15" s="1737"/>
      <c r="ACO15" s="1737"/>
      <c r="ACP15" s="1737"/>
      <c r="ACQ15" s="1737"/>
      <c r="ACR15" s="1737"/>
      <c r="ACS15" s="1737"/>
      <c r="ACT15" s="1737"/>
      <c r="ACU15" s="1737"/>
      <c r="ACV15" s="1737"/>
      <c r="ACW15" s="1737"/>
      <c r="ACX15" s="1737"/>
      <c r="ACY15" s="1737"/>
      <c r="ACZ15" s="1737"/>
      <c r="ADA15" s="1737"/>
      <c r="ADB15" s="1737"/>
      <c r="ADC15" s="1737"/>
      <c r="ADD15" s="1737"/>
      <c r="ADE15" s="1737"/>
      <c r="ADF15" s="1737"/>
      <c r="ADG15" s="1737"/>
      <c r="ADH15" s="1737"/>
      <c r="ADI15" s="1737"/>
      <c r="ADJ15" s="1737"/>
      <c r="ADK15" s="1737"/>
      <c r="ADL15" s="1737"/>
      <c r="ADM15" s="1737"/>
      <c r="ADN15" s="1737"/>
      <c r="ADO15" s="1737"/>
      <c r="ADP15" s="1737"/>
      <c r="ADQ15" s="1737"/>
      <c r="ADR15" s="1737"/>
      <c r="ADS15" s="1737"/>
      <c r="ADT15" s="1737"/>
      <c r="ADU15" s="1737"/>
      <c r="ADV15" s="1737"/>
      <c r="ADW15" s="1737"/>
      <c r="ADX15" s="1737"/>
      <c r="ADY15" s="1737"/>
      <c r="ADZ15" s="1737"/>
      <c r="AEA15" s="1737"/>
      <c r="AEB15" s="1737"/>
      <c r="AEC15" s="1737"/>
      <c r="AED15" s="1737"/>
      <c r="AEE15" s="1737"/>
      <c r="AEF15" s="1737"/>
      <c r="AEG15" s="1737"/>
      <c r="AEH15" s="1737"/>
      <c r="AEI15" s="1737"/>
      <c r="AEJ15" s="1737"/>
      <c r="AEK15" s="1737"/>
      <c r="AEL15" s="1737"/>
      <c r="AEM15" s="1737"/>
      <c r="AEN15" s="1737"/>
      <c r="AEO15" s="1737"/>
      <c r="AEP15" s="1737"/>
      <c r="AEQ15" s="1737"/>
      <c r="AER15" s="1737"/>
      <c r="AES15" s="1737"/>
      <c r="AET15" s="1737"/>
      <c r="AEU15" s="1737"/>
      <c r="AEV15" s="1737"/>
      <c r="AEW15" s="1737"/>
      <c r="AEX15" s="1737"/>
      <c r="AEY15" s="1737"/>
      <c r="AEZ15" s="1737"/>
      <c r="AFA15" s="1737"/>
      <c r="AFB15" s="1737"/>
      <c r="AFC15" s="1737"/>
      <c r="AFD15" s="1737"/>
      <c r="AFE15" s="1737"/>
      <c r="AFF15" s="1737"/>
      <c r="AFG15" s="1737"/>
      <c r="AFH15" s="1737"/>
      <c r="AFI15" s="1737"/>
      <c r="AFJ15" s="1737"/>
      <c r="AFK15" s="1737"/>
      <c r="AFL15" s="1737"/>
      <c r="AFM15" s="1737"/>
      <c r="AFN15" s="1737"/>
      <c r="AFO15" s="1737"/>
      <c r="AFP15" s="1737"/>
      <c r="AFQ15" s="1737"/>
      <c r="AFR15" s="1737"/>
      <c r="AFS15" s="1737"/>
      <c r="AFT15" s="1737"/>
      <c r="AFU15" s="1737"/>
      <c r="AFV15" s="1737"/>
      <c r="AFW15" s="1737"/>
      <c r="AFX15" s="1737"/>
      <c r="AFY15" s="1737"/>
      <c r="AFZ15" s="1737"/>
      <c r="AGA15" s="1737"/>
      <c r="AGB15" s="1737"/>
      <c r="AGC15" s="1737"/>
      <c r="AGD15" s="1737"/>
      <c r="AGE15" s="1737"/>
    </row>
    <row r="16" spans="1:863" s="888" customFormat="1" ht="39.4" hidden="1" thickBot="1" x14ac:dyDescent="0.5">
      <c r="B16" s="1304" t="s">
        <v>1073</v>
      </c>
      <c r="C16" s="1305" t="s">
        <v>1211</v>
      </c>
      <c r="D16" s="1305" t="s">
        <v>1231</v>
      </c>
      <c r="E16" s="1305" t="s">
        <v>390</v>
      </c>
      <c r="F16" s="1305" t="s">
        <v>341</v>
      </c>
      <c r="G16" s="1305" t="s">
        <v>342</v>
      </c>
      <c r="H16" s="1306" t="s">
        <v>1687</v>
      </c>
      <c r="I16" s="1307" t="s">
        <v>226</v>
      </c>
      <c r="J16" s="1307"/>
      <c r="K16" s="1133"/>
      <c r="L16" s="1310">
        <v>23921.999999999993</v>
      </c>
      <c r="M16" s="1311">
        <f>37*GWP_CH4</f>
        <v>925</v>
      </c>
      <c r="N16" s="1311">
        <f>47.6*GWP_N2O</f>
        <v>14184.800000000001</v>
      </c>
      <c r="O16" s="1100"/>
      <c r="P16" s="1312">
        <f t="shared" si="0"/>
        <v>39031.799999999996</v>
      </c>
      <c r="Q16" s="1737"/>
      <c r="R16" s="1737"/>
      <c r="S16" s="1760"/>
      <c r="T16" s="1737"/>
      <c r="U16" s="1751"/>
      <c r="V16" s="1751"/>
      <c r="W16" s="1737"/>
      <c r="X16" s="1737"/>
      <c r="Y16" s="1737"/>
      <c r="Z16" s="1737"/>
      <c r="AA16" s="1737"/>
      <c r="AB16" s="1737"/>
      <c r="AC16" s="1737"/>
      <c r="AD16" s="1737"/>
      <c r="AE16" s="1737"/>
      <c r="AF16" s="1737"/>
      <c r="AG16" s="1737"/>
      <c r="AH16" s="1737"/>
      <c r="AI16" s="1737"/>
      <c r="AJ16" s="1737"/>
      <c r="AK16" s="1737"/>
      <c r="AL16" s="1737"/>
      <c r="AM16" s="1737"/>
      <c r="AN16" s="1737"/>
      <c r="AO16" s="1737"/>
      <c r="AP16" s="1737"/>
      <c r="AQ16" s="1737"/>
      <c r="AR16" s="1737"/>
      <c r="AS16" s="1737"/>
      <c r="AT16" s="1737"/>
      <c r="AU16" s="1737"/>
      <c r="AV16" s="1737"/>
      <c r="AW16" s="1737"/>
      <c r="AX16" s="1737"/>
      <c r="AY16" s="1737"/>
      <c r="AZ16" s="1737"/>
      <c r="BA16" s="1737"/>
      <c r="BB16" s="1737"/>
      <c r="BC16" s="1737"/>
      <c r="BD16" s="1737"/>
      <c r="BE16" s="1737"/>
      <c r="BF16" s="1737"/>
      <c r="BG16" s="1737"/>
      <c r="BH16" s="1737"/>
      <c r="BI16" s="1737"/>
      <c r="BJ16" s="1737"/>
      <c r="BK16" s="1737"/>
      <c r="BL16" s="1737"/>
      <c r="BM16" s="1737"/>
      <c r="BN16" s="1737"/>
      <c r="BO16" s="1737"/>
      <c r="BP16" s="1737"/>
      <c r="BQ16" s="1737"/>
      <c r="BR16" s="1737"/>
      <c r="BS16" s="1737"/>
      <c r="BT16" s="1737"/>
      <c r="BU16" s="1737"/>
      <c r="BV16" s="1737"/>
      <c r="BW16" s="1737"/>
      <c r="BX16" s="1737"/>
      <c r="BY16" s="1737"/>
      <c r="BZ16" s="1737"/>
      <c r="CA16" s="1737"/>
      <c r="CB16" s="1737"/>
      <c r="CC16" s="1737"/>
      <c r="CD16" s="1737"/>
      <c r="CE16" s="1737"/>
      <c r="CF16" s="1737"/>
      <c r="CG16" s="1737"/>
      <c r="CH16" s="1737"/>
      <c r="CI16" s="1737"/>
      <c r="CJ16" s="1737"/>
      <c r="CK16" s="1737"/>
      <c r="CL16" s="1737"/>
      <c r="CM16" s="1737"/>
      <c r="CN16" s="1737"/>
      <c r="CO16" s="1737"/>
      <c r="CP16" s="1737"/>
      <c r="CQ16" s="1737"/>
      <c r="CR16" s="1737"/>
      <c r="CS16" s="1737"/>
      <c r="CT16" s="1737"/>
      <c r="CU16" s="1737"/>
      <c r="CV16" s="1737"/>
      <c r="CW16" s="1737"/>
      <c r="CX16" s="1737"/>
      <c r="CY16" s="1737"/>
      <c r="CZ16" s="1737"/>
      <c r="DA16" s="1737"/>
      <c r="DB16" s="1737"/>
      <c r="DC16" s="1737"/>
      <c r="DD16" s="1737"/>
      <c r="DE16" s="1737"/>
      <c r="DF16" s="1737"/>
      <c r="DG16" s="1737"/>
      <c r="DH16" s="1737"/>
      <c r="DI16" s="1737"/>
      <c r="DJ16" s="1737"/>
      <c r="DK16" s="1737"/>
      <c r="DL16" s="1737"/>
      <c r="DM16" s="1737"/>
      <c r="DN16" s="1737"/>
      <c r="DO16" s="1737"/>
      <c r="DP16" s="1737"/>
      <c r="DQ16" s="1737"/>
      <c r="DR16" s="1737"/>
      <c r="DS16" s="1737"/>
      <c r="DT16" s="1737"/>
      <c r="DU16" s="1737"/>
      <c r="DV16" s="1737"/>
      <c r="DW16" s="1737"/>
      <c r="DX16" s="1737"/>
      <c r="DY16" s="1737"/>
      <c r="DZ16" s="1737"/>
      <c r="EA16" s="1737"/>
      <c r="EB16" s="1737"/>
      <c r="EC16" s="1737"/>
      <c r="ED16" s="1737"/>
      <c r="EE16" s="1737"/>
      <c r="EF16" s="1737"/>
      <c r="EG16" s="1737"/>
      <c r="EH16" s="1737"/>
      <c r="EI16" s="1737"/>
      <c r="EJ16" s="1737"/>
      <c r="EK16" s="1737"/>
      <c r="EL16" s="1737"/>
      <c r="EM16" s="1737"/>
      <c r="EN16" s="1737"/>
      <c r="EO16" s="1737"/>
      <c r="EP16" s="1737"/>
      <c r="EQ16" s="1737"/>
      <c r="ER16" s="1737"/>
      <c r="ES16" s="1737"/>
      <c r="ET16" s="1737"/>
      <c r="EU16" s="1737"/>
      <c r="EV16" s="1737"/>
      <c r="EW16" s="1737"/>
      <c r="EX16" s="1737"/>
      <c r="EY16" s="1737"/>
      <c r="EZ16" s="1737"/>
      <c r="FA16" s="1737"/>
      <c r="FB16" s="1737"/>
      <c r="FC16" s="1737"/>
      <c r="FD16" s="1737"/>
      <c r="FE16" s="1737"/>
      <c r="FF16" s="1737"/>
      <c r="FG16" s="1737"/>
      <c r="FH16" s="1737"/>
      <c r="FI16" s="1737"/>
      <c r="FJ16" s="1737"/>
      <c r="FK16" s="1737"/>
      <c r="FL16" s="1737"/>
      <c r="FM16" s="1737"/>
      <c r="FN16" s="1737"/>
      <c r="FO16" s="1737"/>
      <c r="FP16" s="1737"/>
      <c r="FQ16" s="1737"/>
      <c r="FR16" s="1737"/>
      <c r="FS16" s="1737"/>
      <c r="FT16" s="1737"/>
      <c r="FU16" s="1737"/>
      <c r="FV16" s="1737"/>
      <c r="FW16" s="1737"/>
      <c r="FX16" s="1737"/>
      <c r="FY16" s="1737"/>
      <c r="FZ16" s="1737"/>
      <c r="GA16" s="1737"/>
      <c r="GB16" s="1737"/>
      <c r="GC16" s="1737"/>
      <c r="GD16" s="1737"/>
      <c r="GE16" s="1737"/>
      <c r="GF16" s="1737"/>
      <c r="GG16" s="1737"/>
      <c r="GH16" s="1737"/>
      <c r="GI16" s="1737"/>
      <c r="GJ16" s="1737"/>
      <c r="GK16" s="1737"/>
      <c r="GL16" s="1737"/>
      <c r="GM16" s="1737"/>
      <c r="GN16" s="1737"/>
      <c r="GO16" s="1737"/>
      <c r="GP16" s="1737"/>
      <c r="GQ16" s="1737"/>
      <c r="GR16" s="1737"/>
      <c r="GS16" s="1737"/>
      <c r="GT16" s="1737"/>
      <c r="GU16" s="1737"/>
      <c r="GV16" s="1737"/>
      <c r="GW16" s="1737"/>
      <c r="GX16" s="1737"/>
      <c r="GY16" s="1737"/>
      <c r="GZ16" s="1737"/>
      <c r="HA16" s="1737"/>
      <c r="HB16" s="1737"/>
      <c r="HC16" s="1737"/>
      <c r="HD16" s="1737"/>
      <c r="HE16" s="1737"/>
      <c r="HF16" s="1737"/>
      <c r="HG16" s="1737"/>
      <c r="HH16" s="1737"/>
      <c r="HI16" s="1737"/>
      <c r="HJ16" s="1737"/>
      <c r="HK16" s="1737"/>
      <c r="HL16" s="1737"/>
      <c r="HM16" s="1737"/>
      <c r="HN16" s="1737"/>
      <c r="HO16" s="1737"/>
      <c r="HP16" s="1737"/>
      <c r="HQ16" s="1737"/>
      <c r="HR16" s="1737"/>
      <c r="HS16" s="1737"/>
      <c r="HT16" s="1737"/>
      <c r="HU16" s="1737"/>
      <c r="HV16" s="1737"/>
      <c r="HW16" s="1737"/>
      <c r="HX16" s="1737"/>
      <c r="HY16" s="1737"/>
      <c r="HZ16" s="1737"/>
      <c r="IA16" s="1737"/>
      <c r="IB16" s="1737"/>
      <c r="IC16" s="1737"/>
      <c r="ID16" s="1737"/>
      <c r="IE16" s="1737"/>
      <c r="IF16" s="1737"/>
      <c r="IG16" s="1737"/>
      <c r="IH16" s="1737"/>
      <c r="II16" s="1737"/>
      <c r="IJ16" s="1737"/>
      <c r="IK16" s="1737"/>
      <c r="IL16" s="1737"/>
      <c r="IM16" s="1737"/>
      <c r="IN16" s="1737"/>
      <c r="IO16" s="1737"/>
      <c r="IP16" s="1737"/>
      <c r="IQ16" s="1737"/>
      <c r="IR16" s="1737"/>
      <c r="IS16" s="1737"/>
      <c r="IT16" s="1737"/>
      <c r="IU16" s="1737"/>
      <c r="IV16" s="1737"/>
      <c r="IW16" s="1737"/>
      <c r="IX16" s="1737"/>
      <c r="IY16" s="1737"/>
      <c r="IZ16" s="1737"/>
      <c r="JA16" s="1737"/>
      <c r="JB16" s="1737"/>
      <c r="JC16" s="1737"/>
      <c r="JD16" s="1737"/>
      <c r="JE16" s="1737"/>
      <c r="JF16" s="1737"/>
      <c r="JG16" s="1737"/>
      <c r="JH16" s="1737"/>
      <c r="JI16" s="1737"/>
      <c r="JJ16" s="1737"/>
      <c r="JK16" s="1737"/>
      <c r="JL16" s="1737"/>
      <c r="JM16" s="1737"/>
      <c r="JN16" s="1737"/>
      <c r="JO16" s="1737"/>
      <c r="JP16" s="1737"/>
      <c r="JQ16" s="1737"/>
      <c r="JR16" s="1737"/>
      <c r="JS16" s="1737"/>
      <c r="JT16" s="1737"/>
      <c r="JU16" s="1737"/>
      <c r="JV16" s="1737"/>
      <c r="JW16" s="1737"/>
      <c r="JX16" s="1737"/>
      <c r="JY16" s="1737"/>
      <c r="JZ16" s="1737"/>
      <c r="KA16" s="1737"/>
      <c r="KB16" s="1737"/>
      <c r="KC16" s="1737"/>
      <c r="KD16" s="1737"/>
      <c r="KE16" s="1737"/>
      <c r="KF16" s="1737"/>
      <c r="KG16" s="1737"/>
      <c r="KH16" s="1737"/>
      <c r="KI16" s="1737"/>
      <c r="KJ16" s="1737"/>
      <c r="KK16" s="1737"/>
      <c r="KL16" s="1737"/>
      <c r="KM16" s="1737"/>
      <c r="KN16" s="1737"/>
      <c r="KO16" s="1737"/>
      <c r="KP16" s="1737"/>
      <c r="KQ16" s="1737"/>
      <c r="KR16" s="1737"/>
      <c r="KS16" s="1737"/>
      <c r="KT16" s="1737"/>
      <c r="KU16" s="1737"/>
      <c r="KV16" s="1737"/>
      <c r="KW16" s="1737"/>
      <c r="KX16" s="1737"/>
      <c r="KY16" s="1737"/>
      <c r="KZ16" s="1737"/>
      <c r="LA16" s="1737"/>
      <c r="LB16" s="1737"/>
      <c r="LC16" s="1737"/>
      <c r="LD16" s="1737"/>
      <c r="LE16" s="1737"/>
      <c r="LF16" s="1737"/>
      <c r="LG16" s="1737"/>
      <c r="LH16" s="1737"/>
      <c r="LI16" s="1737"/>
      <c r="LJ16" s="1737"/>
      <c r="LK16" s="1737"/>
      <c r="LL16" s="1737"/>
      <c r="LM16" s="1737"/>
      <c r="LN16" s="1737"/>
      <c r="LO16" s="1737"/>
      <c r="LP16" s="1737"/>
      <c r="LQ16" s="1737"/>
      <c r="LR16" s="1737"/>
      <c r="LS16" s="1737"/>
      <c r="LT16" s="1737"/>
      <c r="LU16" s="1737"/>
      <c r="LV16" s="1737"/>
      <c r="LW16" s="1737"/>
      <c r="LX16" s="1737"/>
      <c r="LY16" s="1737"/>
      <c r="LZ16" s="1737"/>
      <c r="MA16" s="1737"/>
      <c r="MB16" s="1737"/>
      <c r="MC16" s="1737"/>
      <c r="MD16" s="1737"/>
      <c r="ME16" s="1737"/>
      <c r="MF16" s="1737"/>
      <c r="MG16" s="1737"/>
      <c r="MH16" s="1737"/>
      <c r="MI16" s="1737"/>
      <c r="MJ16" s="1737"/>
      <c r="MK16" s="1737"/>
      <c r="ML16" s="1737"/>
      <c r="MM16" s="1737"/>
      <c r="MN16" s="1737"/>
      <c r="MO16" s="1737"/>
      <c r="MP16" s="1737"/>
      <c r="MQ16" s="1737"/>
      <c r="MR16" s="1737"/>
      <c r="MS16" s="1737"/>
      <c r="MT16" s="1737"/>
      <c r="MU16" s="1737"/>
      <c r="MV16" s="1737"/>
      <c r="MW16" s="1737"/>
      <c r="MX16" s="1737"/>
      <c r="MY16" s="1737"/>
      <c r="MZ16" s="1737"/>
      <c r="NA16" s="1737"/>
      <c r="NB16" s="1737"/>
      <c r="NC16" s="1737"/>
      <c r="ND16" s="1737"/>
      <c r="NE16" s="1737"/>
      <c r="NF16" s="1737"/>
      <c r="NG16" s="1737"/>
      <c r="NH16" s="1737"/>
      <c r="NI16" s="1737"/>
      <c r="NJ16" s="1737"/>
      <c r="NK16" s="1737"/>
      <c r="NL16" s="1737"/>
      <c r="NM16" s="1737"/>
      <c r="NN16" s="1737"/>
      <c r="NO16" s="1737"/>
      <c r="NP16" s="1737"/>
      <c r="NQ16" s="1737"/>
      <c r="NR16" s="1737"/>
      <c r="NS16" s="1737"/>
      <c r="NT16" s="1737"/>
      <c r="NU16" s="1737"/>
      <c r="NV16" s="1737"/>
      <c r="NW16" s="1737"/>
      <c r="NX16" s="1737"/>
      <c r="NY16" s="1737"/>
      <c r="NZ16" s="1737"/>
      <c r="OA16" s="1737"/>
      <c r="OB16" s="1737"/>
      <c r="OC16" s="1737"/>
      <c r="OD16" s="1737"/>
      <c r="OE16" s="1737"/>
      <c r="OF16" s="1737"/>
      <c r="OG16" s="1737"/>
      <c r="OH16" s="1737"/>
      <c r="OI16" s="1737"/>
      <c r="OJ16" s="1737"/>
      <c r="OK16" s="1737"/>
      <c r="OL16" s="1737"/>
      <c r="OM16" s="1737"/>
      <c r="ON16" s="1737"/>
      <c r="OO16" s="1737"/>
      <c r="OP16" s="1737"/>
      <c r="OQ16" s="1737"/>
      <c r="OR16" s="1737"/>
      <c r="OS16" s="1737"/>
      <c r="OT16" s="1737"/>
      <c r="OU16" s="1737"/>
      <c r="OV16" s="1737"/>
      <c r="OW16" s="1737"/>
      <c r="OX16" s="1737"/>
      <c r="OY16" s="1737"/>
      <c r="OZ16" s="1737"/>
      <c r="PA16" s="1737"/>
      <c r="PB16" s="1737"/>
      <c r="PC16" s="1737"/>
      <c r="PD16" s="1737"/>
      <c r="PE16" s="1737"/>
      <c r="PF16" s="1737"/>
      <c r="PG16" s="1737"/>
      <c r="PH16" s="1737"/>
      <c r="PI16" s="1737"/>
      <c r="PJ16" s="1737"/>
      <c r="PK16" s="1737"/>
      <c r="PL16" s="1737"/>
      <c r="PM16" s="1737"/>
      <c r="PN16" s="1737"/>
      <c r="PO16" s="1737"/>
      <c r="PP16" s="1737"/>
      <c r="PQ16" s="1737"/>
      <c r="PR16" s="1737"/>
      <c r="PS16" s="1737"/>
      <c r="PT16" s="1737"/>
      <c r="PU16" s="1737"/>
      <c r="PV16" s="1737"/>
      <c r="PW16" s="1737"/>
      <c r="PX16" s="1737"/>
      <c r="PY16" s="1737"/>
      <c r="PZ16" s="1737"/>
      <c r="QA16" s="1737"/>
      <c r="QB16" s="1737"/>
      <c r="QC16" s="1737"/>
      <c r="QD16" s="1737"/>
      <c r="QE16" s="1737"/>
      <c r="QF16" s="1737"/>
      <c r="QG16" s="1737"/>
      <c r="QH16" s="1737"/>
      <c r="QI16" s="1737"/>
      <c r="QJ16" s="1737"/>
      <c r="QK16" s="1737"/>
      <c r="QL16" s="1737"/>
      <c r="QM16" s="1737"/>
      <c r="QN16" s="1737"/>
      <c r="QO16" s="1737"/>
      <c r="QP16" s="1737"/>
      <c r="QQ16" s="1737"/>
      <c r="QR16" s="1737"/>
      <c r="QS16" s="1737"/>
      <c r="QT16" s="1737"/>
      <c r="QU16" s="1737"/>
      <c r="QV16" s="1737"/>
      <c r="QW16" s="1737"/>
      <c r="QX16" s="1737"/>
      <c r="QY16" s="1737"/>
      <c r="QZ16" s="1737"/>
      <c r="RA16" s="1737"/>
      <c r="RB16" s="1737"/>
      <c r="RC16" s="1737"/>
      <c r="RD16" s="1737"/>
      <c r="RE16" s="1737"/>
      <c r="RF16" s="1737"/>
      <c r="RG16" s="1737"/>
      <c r="RH16" s="1737"/>
      <c r="RI16" s="1737"/>
      <c r="RJ16" s="1737"/>
      <c r="RK16" s="1737"/>
      <c r="RL16" s="1737"/>
      <c r="RM16" s="1737"/>
      <c r="RN16" s="1737"/>
      <c r="RO16" s="1737"/>
      <c r="RP16" s="1737"/>
      <c r="RQ16" s="1737"/>
      <c r="RR16" s="1737"/>
      <c r="RS16" s="1737"/>
      <c r="RT16" s="1737"/>
      <c r="RU16" s="1737"/>
      <c r="RV16" s="1737"/>
      <c r="RW16" s="1737"/>
      <c r="RX16" s="1737"/>
      <c r="RY16" s="1737"/>
      <c r="RZ16" s="1737"/>
      <c r="SA16" s="1737"/>
      <c r="SB16" s="1737"/>
      <c r="SC16" s="1737"/>
      <c r="SD16" s="1737"/>
      <c r="SE16" s="1737"/>
      <c r="SF16" s="1737"/>
      <c r="SG16" s="1737"/>
      <c r="SH16" s="1737"/>
      <c r="SI16" s="1737"/>
      <c r="SJ16" s="1737"/>
      <c r="SK16" s="1737"/>
      <c r="SL16" s="1737"/>
      <c r="SM16" s="1737"/>
      <c r="SN16" s="1737"/>
      <c r="SO16" s="1737"/>
      <c r="SP16" s="1737"/>
      <c r="SQ16" s="1737"/>
      <c r="SR16" s="1737"/>
      <c r="SS16" s="1737"/>
      <c r="ST16" s="1737"/>
      <c r="SU16" s="1737"/>
      <c r="SV16" s="1737"/>
      <c r="SW16" s="1737"/>
      <c r="SX16" s="1737"/>
      <c r="SY16" s="1737"/>
      <c r="SZ16" s="1737"/>
      <c r="TA16" s="1737"/>
      <c r="TB16" s="1737"/>
      <c r="TC16" s="1737"/>
      <c r="TD16" s="1737"/>
      <c r="TE16" s="1737"/>
      <c r="TF16" s="1737"/>
      <c r="TG16" s="1737"/>
      <c r="TH16" s="1737"/>
      <c r="TI16" s="1737"/>
      <c r="TJ16" s="1737"/>
      <c r="TK16" s="1737"/>
      <c r="TL16" s="1737"/>
      <c r="TM16" s="1737"/>
      <c r="TN16" s="1737"/>
      <c r="TO16" s="1737"/>
      <c r="TP16" s="1737"/>
      <c r="TQ16" s="1737"/>
      <c r="TR16" s="1737"/>
      <c r="TS16" s="1737"/>
      <c r="TT16" s="1737"/>
      <c r="TU16" s="1737"/>
      <c r="TV16" s="1737"/>
      <c r="TW16" s="1737"/>
      <c r="TX16" s="1737"/>
      <c r="TY16" s="1737"/>
      <c r="TZ16" s="1737"/>
      <c r="UA16" s="1737"/>
      <c r="UB16" s="1737"/>
      <c r="UC16" s="1737"/>
      <c r="UD16" s="1737"/>
      <c r="UE16" s="1737"/>
      <c r="UF16" s="1737"/>
      <c r="UG16" s="1737"/>
      <c r="UH16" s="1737"/>
      <c r="UI16" s="1737"/>
      <c r="UJ16" s="1737"/>
      <c r="UK16" s="1737"/>
      <c r="UL16" s="1737"/>
      <c r="UM16" s="1737"/>
      <c r="UN16" s="1737"/>
      <c r="UO16" s="1737"/>
      <c r="UP16" s="1737"/>
      <c r="UQ16" s="1737"/>
      <c r="UR16" s="1737"/>
      <c r="US16" s="1737"/>
      <c r="UT16" s="1737"/>
      <c r="UU16" s="1737"/>
      <c r="UV16" s="1737"/>
      <c r="UW16" s="1737"/>
      <c r="UX16" s="1737"/>
      <c r="UY16" s="1737"/>
      <c r="UZ16" s="1737"/>
      <c r="VA16" s="1737"/>
      <c r="VB16" s="1737"/>
      <c r="VC16" s="1737"/>
      <c r="VD16" s="1737"/>
      <c r="VE16" s="1737"/>
      <c r="VF16" s="1737"/>
      <c r="VG16" s="1737"/>
      <c r="VH16" s="1737"/>
      <c r="VI16" s="1737"/>
      <c r="VJ16" s="1737"/>
      <c r="VK16" s="1737"/>
      <c r="VL16" s="1737"/>
      <c r="VM16" s="1737"/>
      <c r="VN16" s="1737"/>
      <c r="VO16" s="1737"/>
      <c r="VP16" s="1737"/>
      <c r="VQ16" s="1737"/>
      <c r="VR16" s="1737"/>
      <c r="VS16" s="1737"/>
      <c r="VT16" s="1737"/>
      <c r="VU16" s="1737"/>
      <c r="VV16" s="1737"/>
      <c r="VW16" s="1737"/>
      <c r="VX16" s="1737"/>
      <c r="VY16" s="1737"/>
      <c r="VZ16" s="1737"/>
      <c r="WA16" s="1737"/>
      <c r="WB16" s="1737"/>
      <c r="WC16" s="1737"/>
      <c r="WD16" s="1737"/>
      <c r="WE16" s="1737"/>
      <c r="WF16" s="1737"/>
      <c r="WG16" s="1737"/>
      <c r="WH16" s="1737"/>
      <c r="WI16" s="1737"/>
      <c r="WJ16" s="1737"/>
      <c r="WK16" s="1737"/>
      <c r="WL16" s="1737"/>
      <c r="WM16" s="1737"/>
      <c r="WN16" s="1737"/>
      <c r="WO16" s="1737"/>
      <c r="WP16" s="1737"/>
      <c r="WQ16" s="1737"/>
      <c r="WR16" s="1737"/>
      <c r="WS16" s="1737"/>
      <c r="WT16" s="1737"/>
      <c r="WU16" s="1737"/>
      <c r="WV16" s="1737"/>
      <c r="WW16" s="1737"/>
      <c r="WX16" s="1737"/>
      <c r="WY16" s="1737"/>
      <c r="WZ16" s="1737"/>
      <c r="XA16" s="1737"/>
      <c r="XB16" s="1737"/>
      <c r="XC16" s="1737"/>
      <c r="XD16" s="1737"/>
      <c r="XE16" s="1737"/>
      <c r="XF16" s="1737"/>
      <c r="XG16" s="1737"/>
      <c r="XH16" s="1737"/>
      <c r="XI16" s="1737"/>
      <c r="XJ16" s="1737"/>
      <c r="XK16" s="1737"/>
      <c r="XL16" s="1737"/>
      <c r="XM16" s="1737"/>
      <c r="XN16" s="1737"/>
      <c r="XO16" s="1737"/>
      <c r="XP16" s="1737"/>
      <c r="XQ16" s="1737"/>
      <c r="XR16" s="1737"/>
      <c r="XS16" s="1737"/>
      <c r="XT16" s="1737"/>
      <c r="XU16" s="1737"/>
      <c r="XV16" s="1737"/>
      <c r="XW16" s="1737"/>
      <c r="XX16" s="1737"/>
      <c r="XY16" s="1737"/>
      <c r="XZ16" s="1737"/>
      <c r="YA16" s="1737"/>
      <c r="YB16" s="1737"/>
      <c r="YC16" s="1737"/>
      <c r="YD16" s="1737"/>
      <c r="YE16" s="1737"/>
      <c r="YF16" s="1737"/>
      <c r="YG16" s="1737"/>
      <c r="YH16" s="1737"/>
      <c r="YI16" s="1737"/>
      <c r="YJ16" s="1737"/>
      <c r="YK16" s="1737"/>
      <c r="YL16" s="1737"/>
      <c r="YM16" s="1737"/>
      <c r="YN16" s="1737"/>
      <c r="YO16" s="1737"/>
      <c r="YP16" s="1737"/>
      <c r="YQ16" s="1737"/>
      <c r="YR16" s="1737"/>
      <c r="YS16" s="1737"/>
      <c r="YT16" s="1737"/>
      <c r="YU16" s="1737"/>
      <c r="YV16" s="1737"/>
      <c r="YW16" s="1737"/>
      <c r="YX16" s="1737"/>
      <c r="YY16" s="1737"/>
      <c r="YZ16" s="1737"/>
      <c r="ZA16" s="1737"/>
      <c r="ZB16" s="1737"/>
      <c r="ZC16" s="1737"/>
      <c r="ZD16" s="1737"/>
      <c r="ZE16" s="1737"/>
      <c r="ZF16" s="1737"/>
      <c r="ZG16" s="1737"/>
      <c r="ZH16" s="1737"/>
      <c r="ZI16" s="1737"/>
      <c r="ZJ16" s="1737"/>
      <c r="ZK16" s="1737"/>
      <c r="ZL16" s="1737"/>
      <c r="ZM16" s="1737"/>
      <c r="ZN16" s="1737"/>
      <c r="ZO16" s="1737"/>
      <c r="ZP16" s="1737"/>
      <c r="ZQ16" s="1737"/>
      <c r="ZR16" s="1737"/>
      <c r="ZS16" s="1737"/>
      <c r="ZT16" s="1737"/>
      <c r="ZU16" s="1737"/>
      <c r="ZV16" s="1737"/>
      <c r="ZW16" s="1737"/>
      <c r="ZX16" s="1737"/>
      <c r="ZY16" s="1737"/>
      <c r="ZZ16" s="1737"/>
      <c r="AAA16" s="1737"/>
      <c r="AAB16" s="1737"/>
      <c r="AAC16" s="1737"/>
      <c r="AAD16" s="1737"/>
      <c r="AAE16" s="1737"/>
      <c r="AAF16" s="1737"/>
      <c r="AAG16" s="1737"/>
      <c r="AAH16" s="1737"/>
      <c r="AAI16" s="1737"/>
      <c r="AAJ16" s="1737"/>
      <c r="AAK16" s="1737"/>
      <c r="AAL16" s="1737"/>
      <c r="AAM16" s="1737"/>
      <c r="AAN16" s="1737"/>
      <c r="AAO16" s="1737"/>
      <c r="AAP16" s="1737"/>
      <c r="AAQ16" s="1737"/>
      <c r="AAR16" s="1737"/>
      <c r="AAS16" s="1737"/>
      <c r="AAT16" s="1737"/>
      <c r="AAU16" s="1737"/>
      <c r="AAV16" s="1737"/>
      <c r="AAW16" s="1737"/>
      <c r="AAX16" s="1737"/>
      <c r="AAY16" s="1737"/>
      <c r="AAZ16" s="1737"/>
      <c r="ABA16" s="1737"/>
      <c r="ABB16" s="1737"/>
      <c r="ABC16" s="1737"/>
      <c r="ABD16" s="1737"/>
      <c r="ABE16" s="1737"/>
      <c r="ABF16" s="1737"/>
      <c r="ABG16" s="1737"/>
      <c r="ABH16" s="1737"/>
      <c r="ABI16" s="1737"/>
      <c r="ABJ16" s="1737"/>
      <c r="ABK16" s="1737"/>
      <c r="ABL16" s="1737"/>
      <c r="ABM16" s="1737"/>
      <c r="ABN16" s="1737"/>
      <c r="ABO16" s="1737"/>
      <c r="ABP16" s="1737"/>
      <c r="ABQ16" s="1737"/>
      <c r="ABR16" s="1737"/>
      <c r="ABS16" s="1737"/>
      <c r="ABT16" s="1737"/>
      <c r="ABU16" s="1737"/>
      <c r="ABV16" s="1737"/>
      <c r="ABW16" s="1737"/>
      <c r="ABX16" s="1737"/>
      <c r="ABY16" s="1737"/>
      <c r="ABZ16" s="1737"/>
      <c r="ACA16" s="1737"/>
      <c r="ACB16" s="1737"/>
      <c r="ACC16" s="1737"/>
      <c r="ACD16" s="1737"/>
      <c r="ACE16" s="1737"/>
      <c r="ACF16" s="1737"/>
      <c r="ACG16" s="1737"/>
      <c r="ACH16" s="1737"/>
      <c r="ACI16" s="1737"/>
      <c r="ACJ16" s="1737"/>
      <c r="ACK16" s="1737"/>
      <c r="ACL16" s="1737"/>
      <c r="ACM16" s="1737"/>
      <c r="ACN16" s="1737"/>
      <c r="ACO16" s="1737"/>
      <c r="ACP16" s="1737"/>
      <c r="ACQ16" s="1737"/>
      <c r="ACR16" s="1737"/>
      <c r="ACS16" s="1737"/>
      <c r="ACT16" s="1737"/>
      <c r="ACU16" s="1737"/>
      <c r="ACV16" s="1737"/>
      <c r="ACW16" s="1737"/>
      <c r="ACX16" s="1737"/>
      <c r="ACY16" s="1737"/>
      <c r="ACZ16" s="1737"/>
      <c r="ADA16" s="1737"/>
      <c r="ADB16" s="1737"/>
      <c r="ADC16" s="1737"/>
      <c r="ADD16" s="1737"/>
      <c r="ADE16" s="1737"/>
      <c r="ADF16" s="1737"/>
      <c r="ADG16" s="1737"/>
      <c r="ADH16" s="1737"/>
      <c r="ADI16" s="1737"/>
      <c r="ADJ16" s="1737"/>
      <c r="ADK16" s="1737"/>
      <c r="ADL16" s="1737"/>
      <c r="ADM16" s="1737"/>
      <c r="ADN16" s="1737"/>
      <c r="ADO16" s="1737"/>
      <c r="ADP16" s="1737"/>
      <c r="ADQ16" s="1737"/>
      <c r="ADR16" s="1737"/>
      <c r="ADS16" s="1737"/>
      <c r="ADT16" s="1737"/>
      <c r="ADU16" s="1737"/>
      <c r="ADV16" s="1737"/>
      <c r="ADW16" s="1737"/>
      <c r="ADX16" s="1737"/>
      <c r="ADY16" s="1737"/>
      <c r="ADZ16" s="1737"/>
      <c r="AEA16" s="1737"/>
      <c r="AEB16" s="1737"/>
      <c r="AEC16" s="1737"/>
      <c r="AED16" s="1737"/>
      <c r="AEE16" s="1737"/>
      <c r="AEF16" s="1737"/>
      <c r="AEG16" s="1737"/>
      <c r="AEH16" s="1737"/>
      <c r="AEI16" s="1737"/>
      <c r="AEJ16" s="1737"/>
      <c r="AEK16" s="1737"/>
      <c r="AEL16" s="1737"/>
      <c r="AEM16" s="1737"/>
      <c r="AEN16" s="1737"/>
      <c r="AEO16" s="1737"/>
      <c r="AEP16" s="1737"/>
      <c r="AEQ16" s="1737"/>
      <c r="AER16" s="1737"/>
      <c r="AES16" s="1737"/>
      <c r="AET16" s="1737"/>
      <c r="AEU16" s="1737"/>
      <c r="AEV16" s="1737"/>
      <c r="AEW16" s="1737"/>
      <c r="AEX16" s="1737"/>
      <c r="AEY16" s="1737"/>
      <c r="AEZ16" s="1737"/>
      <c r="AFA16" s="1737"/>
      <c r="AFB16" s="1737"/>
      <c r="AFC16" s="1737"/>
      <c r="AFD16" s="1737"/>
      <c r="AFE16" s="1737"/>
      <c r="AFF16" s="1737"/>
      <c r="AFG16" s="1737"/>
      <c r="AFH16" s="1737"/>
      <c r="AFI16" s="1737"/>
      <c r="AFJ16" s="1737"/>
      <c r="AFK16" s="1737"/>
      <c r="AFL16" s="1737"/>
      <c r="AFM16" s="1737"/>
      <c r="AFN16" s="1737"/>
      <c r="AFO16" s="1737"/>
      <c r="AFP16" s="1737"/>
      <c r="AFQ16" s="1737"/>
      <c r="AFR16" s="1737"/>
      <c r="AFS16" s="1737"/>
      <c r="AFT16" s="1737"/>
      <c r="AFU16" s="1737"/>
      <c r="AFV16" s="1737"/>
      <c r="AFW16" s="1737"/>
      <c r="AFX16" s="1737"/>
      <c r="AFY16" s="1737"/>
      <c r="AFZ16" s="1737"/>
      <c r="AGA16" s="1737"/>
      <c r="AGB16" s="1737"/>
      <c r="AGC16" s="1737"/>
      <c r="AGD16" s="1737"/>
      <c r="AGE16" s="1737"/>
    </row>
    <row r="17" spans="3:394" s="888" customFormat="1" x14ac:dyDescent="0.45">
      <c r="C17" s="1736"/>
      <c r="D17" s="1745"/>
      <c r="E17" s="1745"/>
      <c r="F17" s="1746"/>
      <c r="P17" s="1743"/>
      <c r="Q17" s="1737"/>
      <c r="R17" s="1737"/>
      <c r="S17" s="1760"/>
      <c r="T17" s="1207"/>
    </row>
    <row r="18" spans="3:394" s="888" customFormat="1" x14ac:dyDescent="0.45">
      <c r="C18" s="1736"/>
      <c r="D18" s="1745"/>
      <c r="E18" s="1745"/>
      <c r="F18" s="1746"/>
      <c r="P18" s="1743"/>
      <c r="Q18" s="1737"/>
      <c r="R18" s="1737"/>
      <c r="S18" s="1760"/>
      <c r="T18" s="1207"/>
    </row>
    <row r="19" spans="3:394" s="888" customFormat="1" x14ac:dyDescent="0.45">
      <c r="Q19" s="1737"/>
      <c r="R19" s="1737"/>
      <c r="S19" s="1760"/>
      <c r="OD19" s="1743"/>
    </row>
    <row r="20" spans="3:394" s="1207" customFormat="1" x14ac:dyDescent="0.45">
      <c r="Q20" s="1737"/>
      <c r="R20" s="1737"/>
      <c r="S20" s="1760"/>
    </row>
    <row r="21" spans="3:394" s="1207" customFormat="1" x14ac:dyDescent="0.45">
      <c r="C21" s="1877"/>
      <c r="D21" s="1878"/>
      <c r="E21" s="1878"/>
      <c r="F21" s="1879"/>
      <c r="G21" s="1879"/>
      <c r="H21" s="1879"/>
      <c r="I21" s="1879"/>
      <c r="J21" s="1880"/>
      <c r="K21" s="1754"/>
      <c r="L21" s="1832"/>
      <c r="M21" s="1832"/>
      <c r="N21" s="1832"/>
      <c r="O21" s="1832"/>
      <c r="P21" s="1832"/>
      <c r="Q21" s="1737"/>
      <c r="R21" s="1737"/>
      <c r="S21" s="1760"/>
    </row>
    <row r="22" spans="3:394" s="1207" customFormat="1" x14ac:dyDescent="0.45">
      <c r="C22" s="1878"/>
      <c r="D22" s="1879"/>
      <c r="E22" s="1879"/>
      <c r="F22" s="1879"/>
      <c r="G22" s="1879"/>
      <c r="H22" s="1879"/>
      <c r="I22" s="1879"/>
      <c r="J22" s="1879"/>
      <c r="K22" s="1832"/>
      <c r="L22" s="1832"/>
      <c r="M22" s="1832"/>
      <c r="N22" s="1832"/>
      <c r="O22" s="1832"/>
      <c r="P22" s="1832"/>
      <c r="Q22" s="1737"/>
      <c r="R22" s="1737"/>
      <c r="S22" s="1760"/>
    </row>
    <row r="23" spans="3:394" s="1207" customFormat="1" x14ac:dyDescent="0.45">
      <c r="C23" s="1878"/>
      <c r="D23" s="1887"/>
      <c r="E23" s="1878"/>
      <c r="F23" s="1878"/>
      <c r="G23" s="1888"/>
      <c r="H23" s="1878"/>
      <c r="I23" s="1878"/>
      <c r="J23" s="1878"/>
      <c r="L23" s="1797"/>
      <c r="N23" s="1797"/>
      <c r="O23" s="1797"/>
      <c r="P23" s="1797"/>
      <c r="Q23" s="1737"/>
      <c r="R23" s="1737"/>
      <c r="S23" s="1760"/>
    </row>
    <row r="24" spans="3:394" s="1207" customFormat="1" x14ac:dyDescent="0.45">
      <c r="C24" s="1878"/>
      <c r="D24" s="1887"/>
      <c r="E24" s="1878"/>
      <c r="F24" s="1878"/>
      <c r="G24" s="1888"/>
      <c r="H24" s="1878"/>
      <c r="I24" s="1878"/>
      <c r="J24" s="1878"/>
      <c r="L24" s="1797"/>
      <c r="N24" s="1797"/>
      <c r="O24" s="1797"/>
      <c r="P24" s="1797"/>
      <c r="Q24" s="1737"/>
      <c r="R24" s="1737"/>
      <c r="S24" s="1760"/>
    </row>
    <row r="25" spans="3:394" s="1207" customFormat="1" x14ac:dyDescent="0.45">
      <c r="C25" s="1878"/>
      <c r="D25" s="1887"/>
      <c r="E25" s="1878"/>
      <c r="F25" s="1878"/>
      <c r="G25" s="1888"/>
      <c r="H25" s="1878"/>
      <c r="I25" s="1878"/>
      <c r="J25" s="1878"/>
      <c r="L25" s="1797"/>
      <c r="N25" s="1797"/>
      <c r="O25" s="1797"/>
      <c r="P25" s="1797"/>
      <c r="Q25" s="1737"/>
      <c r="R25" s="1737"/>
      <c r="S25" s="1760"/>
    </row>
    <row r="26" spans="3:394" s="1207" customFormat="1" x14ac:dyDescent="0.45">
      <c r="C26" s="1878"/>
      <c r="D26" s="1887"/>
      <c r="E26" s="1878"/>
      <c r="F26" s="1878"/>
      <c r="G26" s="1888"/>
      <c r="H26" s="1878"/>
      <c r="I26" s="1878"/>
      <c r="J26" s="1878"/>
      <c r="L26" s="1797"/>
      <c r="N26" s="1797"/>
      <c r="O26" s="1797"/>
      <c r="P26" s="1797"/>
      <c r="Q26" s="1737"/>
      <c r="R26" s="1737"/>
      <c r="S26" s="1760"/>
    </row>
    <row r="27" spans="3:394" s="1207" customFormat="1" x14ac:dyDescent="0.45">
      <c r="C27" s="1878"/>
      <c r="D27" s="1887"/>
      <c r="E27" s="1878"/>
      <c r="F27" s="1878"/>
      <c r="G27" s="1888"/>
      <c r="H27" s="1878"/>
      <c r="I27" s="1878"/>
      <c r="J27" s="1878"/>
      <c r="L27" s="1797"/>
      <c r="N27" s="1797"/>
      <c r="O27" s="1797"/>
      <c r="P27" s="1797"/>
      <c r="Q27" s="1737"/>
      <c r="R27" s="1737"/>
      <c r="S27" s="1760"/>
    </row>
    <row r="28" spans="3:394" s="1207" customFormat="1" x14ac:dyDescent="0.45">
      <c r="C28" s="1878"/>
      <c r="D28" s="1887"/>
      <c r="E28" s="1878"/>
      <c r="F28" s="1878"/>
      <c r="G28" s="1888"/>
      <c r="H28" s="1878"/>
      <c r="I28" s="1878"/>
      <c r="J28" s="1878"/>
      <c r="L28" s="1797"/>
      <c r="N28" s="1797"/>
      <c r="O28" s="1797"/>
      <c r="P28" s="1797"/>
      <c r="Q28" s="1737"/>
      <c r="R28" s="1737"/>
      <c r="S28" s="1760"/>
    </row>
    <row r="29" spans="3:394" s="1207" customFormat="1" x14ac:dyDescent="0.45">
      <c r="C29" s="1878"/>
      <c r="D29" s="1887"/>
      <c r="E29" s="1878"/>
      <c r="F29" s="1878"/>
      <c r="G29" s="1888"/>
      <c r="H29" s="1878"/>
      <c r="I29" s="1878"/>
      <c r="J29" s="1878"/>
      <c r="L29" s="1797"/>
      <c r="N29" s="1797"/>
      <c r="O29" s="1797"/>
      <c r="P29" s="1797"/>
      <c r="Q29" s="1737"/>
      <c r="R29" s="1737"/>
      <c r="S29" s="1760"/>
    </row>
    <row r="30" spans="3:394" s="1207" customFormat="1" x14ac:dyDescent="0.45">
      <c r="C30" s="1878"/>
      <c r="D30" s="1887"/>
      <c r="E30" s="1878"/>
      <c r="F30" s="1878"/>
      <c r="G30" s="1888"/>
      <c r="H30" s="1878"/>
      <c r="I30" s="1878"/>
      <c r="J30" s="1878"/>
      <c r="L30" s="1797"/>
      <c r="N30" s="1797"/>
      <c r="O30" s="1797"/>
      <c r="P30" s="1797"/>
      <c r="Q30" s="1737"/>
      <c r="R30" s="1737"/>
      <c r="S30" s="1760"/>
    </row>
    <row r="31" spans="3:394" s="1207" customFormat="1" x14ac:dyDescent="0.45">
      <c r="C31" s="1878"/>
      <c r="D31" s="1887"/>
      <c r="E31" s="1878"/>
      <c r="F31" s="1878"/>
      <c r="G31" s="1888"/>
      <c r="H31" s="1878"/>
      <c r="I31" s="1878"/>
      <c r="J31" s="1878"/>
      <c r="L31" s="1797"/>
      <c r="N31" s="1797"/>
      <c r="O31" s="1797"/>
      <c r="P31" s="1797"/>
      <c r="Q31" s="1737"/>
      <c r="R31" s="1737"/>
      <c r="S31" s="1760"/>
    </row>
    <row r="32" spans="3:394" s="1207" customFormat="1" x14ac:dyDescent="0.45">
      <c r="C32" s="1878"/>
      <c r="D32" s="1887"/>
      <c r="E32" s="1878"/>
      <c r="F32" s="1878"/>
      <c r="G32" s="1888"/>
      <c r="H32" s="1878"/>
      <c r="I32" s="1878"/>
      <c r="J32" s="1878"/>
      <c r="L32" s="1797"/>
      <c r="N32" s="1797"/>
      <c r="O32" s="1797"/>
      <c r="P32" s="1797"/>
      <c r="Q32" s="1737"/>
      <c r="R32" s="1737"/>
      <c r="S32" s="1760"/>
    </row>
    <row r="33" spans="3:19" s="1207" customFormat="1" x14ac:dyDescent="0.45">
      <c r="C33" s="1878"/>
      <c r="D33" s="1887"/>
      <c r="E33" s="1878"/>
      <c r="F33" s="1878"/>
      <c r="G33" s="1888"/>
      <c r="H33" s="1878"/>
      <c r="I33" s="1878"/>
      <c r="J33" s="1878"/>
      <c r="L33" s="1797"/>
      <c r="N33" s="1797"/>
      <c r="O33" s="1797"/>
      <c r="P33" s="1797"/>
      <c r="Q33" s="1737"/>
      <c r="R33" s="1737"/>
      <c r="S33" s="1760"/>
    </row>
    <row r="34" spans="3:19" s="1207" customFormat="1" x14ac:dyDescent="0.45">
      <c r="C34" s="1878"/>
      <c r="D34" s="1887"/>
      <c r="E34" s="1878"/>
      <c r="F34" s="1878"/>
      <c r="G34" s="1888"/>
      <c r="H34" s="1878"/>
      <c r="I34" s="1878"/>
      <c r="J34" s="1878"/>
      <c r="L34" s="1797"/>
      <c r="N34" s="1797"/>
      <c r="O34" s="1797"/>
      <c r="P34" s="1797"/>
      <c r="Q34" s="1737"/>
      <c r="R34" s="1737"/>
      <c r="S34" s="1760"/>
    </row>
    <row r="35" spans="3:19" s="1207" customFormat="1" x14ac:dyDescent="0.45">
      <c r="C35" s="1878"/>
      <c r="D35" s="1887"/>
      <c r="E35" s="1878"/>
      <c r="F35" s="1878"/>
      <c r="G35" s="1888"/>
      <c r="H35" s="1878"/>
      <c r="I35" s="1878"/>
      <c r="J35" s="1878"/>
      <c r="L35" s="1797"/>
      <c r="N35" s="1797"/>
      <c r="O35" s="1797"/>
      <c r="P35" s="1797"/>
      <c r="Q35" s="1737"/>
      <c r="R35" s="1737"/>
      <c r="S35" s="1760"/>
    </row>
    <row r="36" spans="3:19" s="1207" customFormat="1" x14ac:dyDescent="0.45">
      <c r="C36" s="1878"/>
      <c r="D36" s="1887"/>
      <c r="E36" s="1878"/>
      <c r="F36" s="1878"/>
      <c r="G36" s="1888"/>
      <c r="H36" s="1878"/>
      <c r="I36" s="1878"/>
      <c r="J36" s="1878"/>
      <c r="L36" s="1797"/>
      <c r="N36" s="1797"/>
      <c r="O36" s="1797"/>
      <c r="P36" s="1797"/>
      <c r="Q36" s="1737"/>
      <c r="R36" s="1737"/>
      <c r="S36" s="1760"/>
    </row>
    <row r="37" spans="3:19" s="1207" customFormat="1" x14ac:dyDescent="0.45">
      <c r="C37" s="1878"/>
      <c r="D37" s="1887"/>
      <c r="E37" s="1878"/>
      <c r="F37" s="1878"/>
      <c r="G37" s="1888"/>
      <c r="H37" s="1878"/>
      <c r="I37" s="1878"/>
      <c r="J37" s="1878"/>
      <c r="L37" s="1797"/>
      <c r="N37" s="1797"/>
      <c r="O37" s="1797"/>
      <c r="P37" s="1797"/>
      <c r="Q37" s="1737"/>
      <c r="R37" s="1737"/>
      <c r="S37" s="1760"/>
    </row>
    <row r="38" spans="3:19" s="1207" customFormat="1" x14ac:dyDescent="0.45">
      <c r="C38" s="1878"/>
      <c r="D38" s="1887"/>
      <c r="E38" s="1878"/>
      <c r="F38" s="1878"/>
      <c r="G38" s="1888"/>
      <c r="H38" s="1878"/>
      <c r="I38" s="1878"/>
      <c r="J38" s="1878"/>
      <c r="L38" s="1797"/>
      <c r="N38" s="1797"/>
      <c r="O38" s="1797"/>
      <c r="P38" s="1797"/>
      <c r="Q38" s="1737"/>
      <c r="R38" s="1737"/>
      <c r="S38" s="1760"/>
    </row>
    <row r="39" spans="3:19" s="1207" customFormat="1" x14ac:dyDescent="0.45">
      <c r="C39" s="1878"/>
      <c r="D39" s="1887"/>
      <c r="E39" s="1878"/>
      <c r="F39" s="1878"/>
      <c r="G39" s="1888"/>
      <c r="H39" s="1878"/>
      <c r="I39" s="1878"/>
      <c r="J39" s="1878"/>
      <c r="L39" s="1797"/>
      <c r="N39" s="1797"/>
      <c r="O39" s="1797"/>
      <c r="P39" s="1797"/>
      <c r="Q39" s="1737"/>
      <c r="R39" s="1737"/>
      <c r="S39" s="1760"/>
    </row>
    <row r="40" spans="3:19" s="1207" customFormat="1" x14ac:dyDescent="0.45">
      <c r="C40" s="1878"/>
      <c r="D40" s="1887"/>
      <c r="E40" s="1878"/>
      <c r="F40" s="1878"/>
      <c r="G40" s="1888"/>
      <c r="H40" s="1878"/>
      <c r="I40" s="1878"/>
      <c r="J40" s="1878"/>
      <c r="L40" s="1797"/>
      <c r="N40" s="1797"/>
      <c r="O40" s="1797"/>
      <c r="P40" s="1797"/>
      <c r="Q40" s="1737"/>
      <c r="R40" s="1737"/>
      <c r="S40" s="1760"/>
    </row>
    <row r="41" spans="3:19" s="1207" customFormat="1" x14ac:dyDescent="0.45">
      <c r="C41" s="1878"/>
      <c r="D41" s="1887"/>
      <c r="E41" s="1878"/>
      <c r="F41" s="1878"/>
      <c r="G41" s="1888"/>
      <c r="H41" s="1878"/>
      <c r="I41" s="1878"/>
      <c r="J41" s="1878"/>
      <c r="L41" s="1797"/>
      <c r="N41" s="1797"/>
      <c r="O41" s="1797"/>
      <c r="P41" s="1797"/>
      <c r="Q41" s="1737"/>
      <c r="R41" s="1737"/>
      <c r="S41" s="1760"/>
    </row>
    <row r="42" spans="3:19" s="1207" customFormat="1" x14ac:dyDescent="0.45">
      <c r="C42" s="1878"/>
      <c r="D42" s="1887"/>
      <c r="E42" s="1878"/>
      <c r="F42" s="1878"/>
      <c r="G42" s="1888"/>
      <c r="H42" s="1878"/>
      <c r="I42" s="1878"/>
      <c r="J42" s="1878"/>
      <c r="L42" s="1797"/>
      <c r="N42" s="1797"/>
      <c r="O42" s="1797"/>
      <c r="P42" s="1797"/>
      <c r="Q42" s="1737"/>
      <c r="R42" s="1737"/>
      <c r="S42" s="1760"/>
    </row>
    <row r="43" spans="3:19" s="1207" customFormat="1" x14ac:dyDescent="0.45">
      <c r="C43" s="1878"/>
      <c r="D43" s="1887"/>
      <c r="E43" s="1878"/>
      <c r="F43" s="1878"/>
      <c r="G43" s="1888"/>
      <c r="H43" s="1878"/>
      <c r="I43" s="1878"/>
      <c r="J43" s="1878"/>
      <c r="L43" s="1797"/>
      <c r="N43" s="1797"/>
      <c r="O43" s="1797"/>
      <c r="P43" s="1797"/>
      <c r="Q43" s="1737"/>
      <c r="R43" s="1737"/>
      <c r="S43" s="1760"/>
    </row>
    <row r="44" spans="3:19" s="1207" customFormat="1" x14ac:dyDescent="0.45">
      <c r="C44" s="1878"/>
      <c r="D44" s="1887"/>
      <c r="E44" s="1878"/>
      <c r="F44" s="1878"/>
      <c r="G44" s="1888"/>
      <c r="H44" s="1878"/>
      <c r="I44" s="1878"/>
      <c r="J44" s="1878"/>
      <c r="L44" s="1797"/>
      <c r="N44" s="1797"/>
      <c r="O44" s="1797"/>
      <c r="P44" s="1797"/>
      <c r="Q44" s="1737"/>
      <c r="R44" s="1737"/>
      <c r="S44" s="1760"/>
    </row>
    <row r="45" spans="3:19" s="1207" customFormat="1" x14ac:dyDescent="0.45">
      <c r="C45" s="1878"/>
      <c r="D45" s="1887"/>
      <c r="E45" s="1878"/>
      <c r="F45" s="1878"/>
      <c r="G45" s="1888"/>
      <c r="H45" s="1878"/>
      <c r="I45" s="1878"/>
      <c r="J45" s="1878"/>
      <c r="L45" s="1797"/>
      <c r="N45" s="1797"/>
      <c r="O45" s="1797"/>
      <c r="P45" s="1797"/>
      <c r="Q45" s="1737"/>
      <c r="R45" s="1737"/>
      <c r="S45" s="1760"/>
    </row>
    <row r="46" spans="3:19" s="1207" customFormat="1" x14ac:dyDescent="0.45">
      <c r="C46" s="1878"/>
      <c r="D46" s="1887"/>
      <c r="E46" s="1878"/>
      <c r="F46" s="1878"/>
      <c r="G46" s="1888"/>
      <c r="H46" s="1878"/>
      <c r="I46" s="1878"/>
      <c r="J46" s="1878"/>
      <c r="L46" s="1797"/>
      <c r="N46" s="1797"/>
      <c r="O46" s="1797"/>
      <c r="P46" s="1797"/>
      <c r="Q46" s="1737"/>
      <c r="R46" s="1737"/>
      <c r="S46" s="1760"/>
    </row>
    <row r="47" spans="3:19" s="1207" customFormat="1" x14ac:dyDescent="0.45">
      <c r="C47" s="1878"/>
      <c r="D47" s="1887"/>
      <c r="E47" s="1878"/>
      <c r="F47" s="1878"/>
      <c r="G47" s="1888"/>
      <c r="H47" s="1878"/>
      <c r="I47" s="1878"/>
      <c r="J47" s="1878"/>
      <c r="L47" s="1797"/>
      <c r="N47" s="1797"/>
      <c r="O47" s="1797"/>
      <c r="P47" s="1797"/>
      <c r="Q47" s="1737"/>
      <c r="R47" s="1737"/>
      <c r="S47" s="1760"/>
    </row>
    <row r="48" spans="3:19" s="1207" customFormat="1" x14ac:dyDescent="0.45">
      <c r="C48" s="1878"/>
      <c r="D48" s="1887"/>
      <c r="E48" s="1878"/>
      <c r="F48" s="1878"/>
      <c r="G48" s="1888"/>
      <c r="H48" s="1878"/>
      <c r="I48" s="1878"/>
      <c r="J48" s="1878"/>
      <c r="L48" s="1797"/>
      <c r="N48" s="1797"/>
      <c r="O48" s="1797"/>
      <c r="P48" s="1797"/>
      <c r="Q48" s="1737"/>
      <c r="R48" s="1737"/>
      <c r="S48" s="1760"/>
    </row>
    <row r="49" spans="3:19" s="1207" customFormat="1" x14ac:dyDescent="0.45">
      <c r="C49" s="1878"/>
      <c r="D49" s="1887"/>
      <c r="E49" s="1878"/>
      <c r="F49" s="1878"/>
      <c r="G49" s="1888"/>
      <c r="H49" s="1878"/>
      <c r="I49" s="1878"/>
      <c r="J49" s="1878"/>
      <c r="L49" s="1797"/>
      <c r="N49" s="1797"/>
      <c r="O49" s="1797"/>
      <c r="P49" s="1797"/>
      <c r="Q49" s="1737"/>
      <c r="R49" s="1737"/>
      <c r="S49" s="1760"/>
    </row>
    <row r="50" spans="3:19" s="1207" customFormat="1" x14ac:dyDescent="0.45">
      <c r="C50" s="1878"/>
      <c r="D50" s="1887"/>
      <c r="E50" s="1878"/>
      <c r="F50" s="1878"/>
      <c r="G50" s="1888"/>
      <c r="H50" s="1878"/>
      <c r="I50" s="1878"/>
      <c r="J50" s="1878"/>
      <c r="L50" s="1797"/>
      <c r="N50" s="1797"/>
      <c r="O50" s="1797"/>
      <c r="P50" s="1797"/>
      <c r="Q50" s="1737"/>
      <c r="R50" s="1737"/>
      <c r="S50" s="1760"/>
    </row>
    <row r="51" spans="3:19" s="1207" customFormat="1" x14ac:dyDescent="0.45">
      <c r="C51" s="1878"/>
      <c r="D51" s="1887"/>
      <c r="E51" s="1878"/>
      <c r="F51" s="1878"/>
      <c r="G51" s="1888"/>
      <c r="H51" s="1878"/>
      <c r="I51" s="1878"/>
      <c r="J51" s="1878"/>
      <c r="L51" s="1797"/>
      <c r="N51" s="1797"/>
      <c r="O51" s="1797"/>
      <c r="P51" s="1797"/>
      <c r="Q51" s="1737"/>
      <c r="R51" s="1737"/>
      <c r="S51" s="1760"/>
    </row>
    <row r="52" spans="3:19" s="1207" customFormat="1" x14ac:dyDescent="0.45">
      <c r="C52" s="1878"/>
      <c r="D52" s="1887"/>
      <c r="E52" s="1878"/>
      <c r="F52" s="1878"/>
      <c r="G52" s="1888"/>
      <c r="H52" s="1878"/>
      <c r="I52" s="1878"/>
      <c r="J52" s="1878"/>
      <c r="L52" s="1797"/>
      <c r="N52" s="1797"/>
      <c r="O52" s="1797"/>
      <c r="P52" s="1797"/>
      <c r="Q52" s="1737"/>
      <c r="R52" s="1737"/>
      <c r="S52" s="1760"/>
    </row>
    <row r="53" spans="3:19" s="1207" customFormat="1" x14ac:dyDescent="0.45">
      <c r="C53" s="1878"/>
      <c r="D53" s="1887"/>
      <c r="E53" s="1878"/>
      <c r="F53" s="1878"/>
      <c r="G53" s="1888"/>
      <c r="H53" s="1878"/>
      <c r="I53" s="1878"/>
      <c r="J53" s="1878"/>
      <c r="L53" s="1797"/>
      <c r="N53" s="1797"/>
      <c r="O53" s="1797"/>
      <c r="P53" s="1797"/>
      <c r="Q53" s="1737"/>
      <c r="R53" s="1737"/>
      <c r="S53" s="1760"/>
    </row>
    <row r="54" spans="3:19" s="1207" customFormat="1" x14ac:dyDescent="0.45">
      <c r="C54" s="1878"/>
      <c r="D54" s="1887"/>
      <c r="E54" s="1878"/>
      <c r="F54" s="1878"/>
      <c r="G54" s="1888"/>
      <c r="H54" s="1878"/>
      <c r="I54" s="1878"/>
      <c r="J54" s="1878"/>
      <c r="L54" s="1797"/>
      <c r="N54" s="1797"/>
      <c r="O54" s="1797"/>
      <c r="P54" s="1797"/>
      <c r="Q54" s="1737"/>
      <c r="R54" s="1737"/>
      <c r="S54" s="1760"/>
    </row>
    <row r="55" spans="3:19" s="1207" customFormat="1" x14ac:dyDescent="0.45">
      <c r="C55" s="1878"/>
      <c r="D55" s="1887"/>
      <c r="E55" s="1878"/>
      <c r="F55" s="1878"/>
      <c r="G55" s="1888"/>
      <c r="H55" s="1878"/>
      <c r="I55" s="1878"/>
      <c r="J55" s="1878"/>
      <c r="L55" s="1797"/>
      <c r="N55" s="1797"/>
      <c r="O55" s="1797"/>
      <c r="P55" s="1797"/>
      <c r="Q55" s="1797"/>
    </row>
    <row r="56" spans="3:19" s="1207" customFormat="1" x14ac:dyDescent="0.45">
      <c r="C56" s="1878"/>
      <c r="D56" s="1878"/>
      <c r="E56" s="1878"/>
      <c r="F56" s="1878"/>
      <c r="G56" s="1878"/>
      <c r="H56" s="1878"/>
      <c r="I56" s="1878"/>
      <c r="J56" s="1878"/>
    </row>
    <row r="57" spans="3:19" s="1207" customFormat="1" x14ac:dyDescent="0.45">
      <c r="C57" s="1878"/>
      <c r="D57" s="1878"/>
      <c r="E57" s="1878"/>
      <c r="F57" s="1878"/>
      <c r="G57" s="1878"/>
      <c r="H57" s="1878"/>
      <c r="I57" s="1878"/>
      <c r="J57" s="1878"/>
    </row>
    <row r="58" spans="3:19" s="1207" customFormat="1" x14ac:dyDescent="0.45">
      <c r="C58" s="1878"/>
      <c r="D58" s="1878"/>
      <c r="E58" s="1878"/>
      <c r="F58" s="1878"/>
      <c r="G58" s="1878"/>
      <c r="H58" s="1878"/>
      <c r="I58" s="1878"/>
      <c r="J58" s="1878"/>
    </row>
    <row r="59" spans="3:19" s="1207" customFormat="1" x14ac:dyDescent="0.45">
      <c r="C59" s="1878"/>
      <c r="D59" s="1878"/>
      <c r="E59" s="1878"/>
      <c r="F59" s="1878"/>
      <c r="G59" s="1878"/>
      <c r="H59" s="1878"/>
      <c r="I59" s="1878"/>
      <c r="J59" s="1878"/>
    </row>
    <row r="60" spans="3:19" s="1207" customFormat="1" x14ac:dyDescent="0.45">
      <c r="C60" s="1878"/>
      <c r="D60" s="1878"/>
      <c r="E60" s="1878"/>
      <c r="F60" s="1878"/>
      <c r="G60" s="1878"/>
      <c r="H60" s="1878"/>
      <c r="I60" s="1878"/>
      <c r="J60" s="1878"/>
    </row>
    <row r="61" spans="3:19" s="1207" customFormat="1" x14ac:dyDescent="0.45">
      <c r="C61" s="1878"/>
      <c r="D61" s="1878"/>
      <c r="E61" s="1878"/>
      <c r="F61" s="1878"/>
      <c r="G61" s="1878"/>
      <c r="H61" s="1878"/>
      <c r="I61" s="1878"/>
      <c r="J61" s="1878"/>
    </row>
    <row r="62" spans="3:19" s="1207" customFormat="1" x14ac:dyDescent="0.45">
      <c r="C62" s="1878"/>
      <c r="D62" s="1878"/>
      <c r="E62" s="1878"/>
      <c r="F62" s="1878"/>
      <c r="G62" s="1878"/>
      <c r="H62" s="1878"/>
      <c r="I62" s="1878"/>
      <c r="J62" s="1878"/>
    </row>
    <row r="63" spans="3:19" s="1207" customFormat="1" x14ac:dyDescent="0.45">
      <c r="C63" s="1878"/>
      <c r="D63" s="1878"/>
      <c r="E63" s="1878"/>
      <c r="F63" s="1878"/>
      <c r="G63" s="1878"/>
      <c r="H63" s="1878"/>
      <c r="I63" s="1878"/>
      <c r="J63" s="1878"/>
    </row>
    <row r="64" spans="3:19" s="1207" customFormat="1" x14ac:dyDescent="0.45">
      <c r="C64" s="1878"/>
      <c r="D64" s="1878"/>
      <c r="E64" s="1878"/>
      <c r="F64" s="1878"/>
      <c r="G64" s="1878"/>
      <c r="H64" s="1878"/>
      <c r="I64" s="1878"/>
      <c r="J64" s="1878"/>
    </row>
    <row r="65" spans="3:10" s="1207" customFormat="1" x14ac:dyDescent="0.45">
      <c r="C65" s="1878"/>
      <c r="D65" s="1878"/>
      <c r="E65" s="1878"/>
      <c r="F65" s="1878"/>
      <c r="G65" s="1878"/>
      <c r="H65" s="1878"/>
      <c r="I65" s="1878"/>
      <c r="J65" s="1878"/>
    </row>
    <row r="66" spans="3:10" s="1207" customFormat="1" x14ac:dyDescent="0.45">
      <c r="C66" s="1878"/>
      <c r="D66" s="1878"/>
      <c r="E66" s="1878"/>
      <c r="F66" s="1878"/>
      <c r="G66" s="1878"/>
      <c r="H66" s="1878"/>
      <c r="I66" s="1878"/>
      <c r="J66" s="1878"/>
    </row>
    <row r="67" spans="3:10" s="1207" customFormat="1" x14ac:dyDescent="0.45">
      <c r="C67" s="1878"/>
      <c r="D67" s="1878"/>
      <c r="E67" s="1878"/>
      <c r="F67" s="1878"/>
      <c r="G67" s="1878"/>
      <c r="H67" s="1878"/>
      <c r="I67" s="1878"/>
      <c r="J67" s="1878"/>
    </row>
    <row r="68" spans="3:10" s="1207" customFormat="1" x14ac:dyDescent="0.45">
      <c r="C68" s="1878"/>
      <c r="D68" s="1878"/>
      <c r="E68" s="1878"/>
      <c r="F68" s="1878"/>
      <c r="G68" s="1878"/>
      <c r="H68" s="1878"/>
      <c r="I68" s="1878"/>
      <c r="J68" s="1878"/>
    </row>
    <row r="69" spans="3:10" s="1207" customFormat="1" x14ac:dyDescent="0.45">
      <c r="C69" s="1878"/>
      <c r="D69" s="1878"/>
      <c r="E69" s="1878"/>
      <c r="F69" s="1878"/>
      <c r="G69" s="1878"/>
      <c r="H69" s="1878"/>
      <c r="I69" s="1878"/>
      <c r="J69" s="1878"/>
    </row>
    <row r="70" spans="3:10" s="1207" customFormat="1" x14ac:dyDescent="0.45">
      <c r="C70" s="1878"/>
      <c r="D70" s="1878"/>
      <c r="E70" s="1878"/>
      <c r="F70" s="1878"/>
      <c r="G70" s="1878"/>
      <c r="H70" s="1878"/>
      <c r="I70" s="1878"/>
      <c r="J70" s="1878"/>
    </row>
    <row r="71" spans="3:10" s="1207" customFormat="1" x14ac:dyDescent="0.45">
      <c r="C71" s="1878"/>
      <c r="D71" s="1878"/>
      <c r="E71" s="1878"/>
      <c r="F71" s="1878"/>
      <c r="G71" s="1878"/>
      <c r="H71" s="1878"/>
      <c r="I71" s="1878"/>
      <c r="J71" s="1878"/>
    </row>
    <row r="72" spans="3:10" s="1207" customFormat="1" x14ac:dyDescent="0.45">
      <c r="C72" s="1878"/>
      <c r="D72" s="1878"/>
      <c r="E72" s="1878"/>
      <c r="F72" s="1878"/>
      <c r="G72" s="1878"/>
      <c r="H72" s="1878"/>
      <c r="I72" s="1878"/>
      <c r="J72" s="1878"/>
    </row>
    <row r="73" spans="3:10" s="1207" customFormat="1" x14ac:dyDescent="0.45">
      <c r="C73" s="1878"/>
      <c r="D73" s="1878"/>
      <c r="E73" s="1878"/>
      <c r="F73" s="1878"/>
      <c r="G73" s="1878"/>
      <c r="H73" s="1878"/>
      <c r="I73" s="1878"/>
      <c r="J73" s="1878"/>
    </row>
    <row r="74" spans="3:10" s="1207" customFormat="1" x14ac:dyDescent="0.45">
      <c r="C74" s="1878"/>
      <c r="D74" s="1878"/>
      <c r="E74" s="1878"/>
      <c r="F74" s="1878"/>
      <c r="G74" s="1878"/>
      <c r="H74" s="1878"/>
      <c r="I74" s="1878"/>
      <c r="J74" s="1878"/>
    </row>
    <row r="75" spans="3:10" s="1207" customFormat="1" x14ac:dyDescent="0.45">
      <c r="C75" s="1878"/>
      <c r="D75" s="1878"/>
      <c r="E75" s="1878"/>
      <c r="F75" s="1878"/>
      <c r="G75" s="1878"/>
      <c r="H75" s="1878"/>
      <c r="I75" s="1878"/>
      <c r="J75" s="1878"/>
    </row>
    <row r="76" spans="3:10" s="1207" customFormat="1" x14ac:dyDescent="0.45">
      <c r="C76" s="1878"/>
      <c r="D76" s="1878"/>
      <c r="E76" s="1878"/>
      <c r="F76" s="1878"/>
      <c r="G76" s="1878"/>
      <c r="H76" s="1878"/>
      <c r="I76" s="1878"/>
      <c r="J76" s="1878"/>
    </row>
    <row r="77" spans="3:10" s="1207" customFormat="1" x14ac:dyDescent="0.45">
      <c r="C77" s="1878"/>
      <c r="D77" s="1878"/>
      <c r="E77" s="1878"/>
      <c r="F77" s="1878"/>
      <c r="G77" s="1878"/>
      <c r="H77" s="1878"/>
      <c r="I77" s="1878"/>
      <c r="J77" s="1878"/>
    </row>
    <row r="78" spans="3:10" s="1207" customFormat="1" x14ac:dyDescent="0.45">
      <c r="C78" s="1878"/>
      <c r="D78" s="1878"/>
      <c r="E78" s="1878"/>
      <c r="F78" s="1878"/>
      <c r="G78" s="1878"/>
      <c r="H78" s="1878"/>
      <c r="I78" s="1878"/>
      <c r="J78" s="1878"/>
    </row>
    <row r="79" spans="3:10" s="1207" customFormat="1" x14ac:dyDescent="0.45">
      <c r="C79" s="1878"/>
      <c r="D79" s="1878"/>
      <c r="E79" s="1878"/>
      <c r="F79" s="1878"/>
      <c r="G79" s="1878"/>
      <c r="H79" s="1878"/>
      <c r="I79" s="1878"/>
      <c r="J79" s="1878"/>
    </row>
    <row r="80" spans="3:10" s="1207" customFormat="1" x14ac:dyDescent="0.45">
      <c r="C80" s="1878"/>
      <c r="D80" s="1878"/>
      <c r="E80" s="1878"/>
      <c r="F80" s="1878"/>
      <c r="G80" s="1878"/>
      <c r="H80" s="1878"/>
      <c r="I80" s="1878"/>
      <c r="J80" s="1878"/>
    </row>
    <row r="81" spans="3:10" s="1207" customFormat="1" x14ac:dyDescent="0.45">
      <c r="C81" s="1878"/>
      <c r="D81" s="1878"/>
      <c r="E81" s="1878"/>
      <c r="F81" s="1878"/>
      <c r="G81" s="1878"/>
      <c r="H81" s="1878"/>
      <c r="I81" s="1878"/>
      <c r="J81" s="1878"/>
    </row>
    <row r="82" spans="3:10" s="1207" customFormat="1" x14ac:dyDescent="0.45">
      <c r="C82" s="1878"/>
      <c r="D82" s="1878"/>
      <c r="E82" s="1878"/>
      <c r="F82" s="1878"/>
      <c r="G82" s="1878"/>
      <c r="H82" s="1878"/>
      <c r="I82" s="1878"/>
      <c r="J82" s="1878"/>
    </row>
    <row r="83" spans="3:10" s="1207" customFormat="1" x14ac:dyDescent="0.45">
      <c r="C83" s="1878"/>
      <c r="D83" s="1878"/>
      <c r="E83" s="1878"/>
      <c r="F83" s="1878"/>
      <c r="G83" s="1878"/>
      <c r="H83" s="1878"/>
      <c r="I83" s="1878"/>
      <c r="J83" s="1878"/>
    </row>
    <row r="84" spans="3:10" s="1207" customFormat="1" x14ac:dyDescent="0.45">
      <c r="C84" s="1878"/>
      <c r="D84" s="1878"/>
      <c r="E84" s="1878"/>
      <c r="F84" s="1878"/>
      <c r="G84" s="1878"/>
      <c r="H84" s="1878"/>
      <c r="I84" s="1878"/>
      <c r="J84" s="1878"/>
    </row>
    <row r="85" spans="3:10" s="1207" customFormat="1" x14ac:dyDescent="0.45">
      <c r="C85" s="1878"/>
      <c r="D85" s="1878"/>
      <c r="E85" s="1878"/>
      <c r="F85" s="1878"/>
      <c r="G85" s="1878"/>
      <c r="H85" s="1878"/>
      <c r="I85" s="1878"/>
      <c r="J85" s="1878"/>
    </row>
    <row r="86" spans="3:10" s="1207" customFormat="1" x14ac:dyDescent="0.45">
      <c r="C86" s="1878"/>
      <c r="D86" s="1878"/>
      <c r="E86" s="1878"/>
      <c r="F86" s="1878"/>
      <c r="G86" s="1878"/>
      <c r="H86" s="1878"/>
      <c r="I86" s="1878"/>
      <c r="J86" s="1878"/>
    </row>
    <row r="87" spans="3:10" s="1207" customFormat="1" x14ac:dyDescent="0.45">
      <c r="C87" s="1878"/>
      <c r="D87" s="1878"/>
      <c r="E87" s="1878"/>
      <c r="F87" s="1878"/>
      <c r="G87" s="1878"/>
      <c r="H87" s="1878"/>
      <c r="I87" s="1878"/>
      <c r="J87" s="1878"/>
    </row>
    <row r="88" spans="3:10" s="1207" customFormat="1" x14ac:dyDescent="0.45">
      <c r="C88" s="1878"/>
      <c r="D88" s="1878"/>
      <c r="E88" s="1878"/>
      <c r="F88" s="1878"/>
      <c r="G88" s="1878"/>
      <c r="H88" s="1878"/>
      <c r="I88" s="1878"/>
      <c r="J88" s="1878"/>
    </row>
    <row r="89" spans="3:10" s="1207" customFormat="1" x14ac:dyDescent="0.45">
      <c r="C89" s="1878"/>
      <c r="D89" s="1878"/>
      <c r="E89" s="1878"/>
      <c r="F89" s="1878"/>
      <c r="G89" s="1878"/>
      <c r="H89" s="1878"/>
      <c r="I89" s="1878"/>
      <c r="J89" s="1878"/>
    </row>
    <row r="90" spans="3:10" s="1207" customFormat="1" x14ac:dyDescent="0.45">
      <c r="C90" s="1878"/>
      <c r="D90" s="1878"/>
      <c r="E90" s="1878"/>
      <c r="F90" s="1878"/>
      <c r="G90" s="1878"/>
      <c r="H90" s="1878"/>
      <c r="I90" s="1878"/>
      <c r="J90" s="1878"/>
    </row>
    <row r="91" spans="3:10" s="1207" customFormat="1" x14ac:dyDescent="0.45">
      <c r="C91" s="1878"/>
      <c r="D91" s="1878"/>
      <c r="E91" s="1878"/>
      <c r="F91" s="1878"/>
      <c r="G91" s="1878"/>
      <c r="H91" s="1878"/>
      <c r="I91" s="1878"/>
      <c r="J91" s="1878"/>
    </row>
    <row r="92" spans="3:10" s="1207" customFormat="1" x14ac:dyDescent="0.45">
      <c r="C92" s="1878"/>
      <c r="D92" s="1878"/>
      <c r="E92" s="1878"/>
      <c r="F92" s="1878"/>
      <c r="G92" s="1878"/>
      <c r="H92" s="1878"/>
      <c r="I92" s="1878"/>
      <c r="J92" s="1878"/>
    </row>
    <row r="93" spans="3:10" s="1207" customFormat="1" x14ac:dyDescent="0.45">
      <c r="C93" s="1878"/>
      <c r="D93" s="1878"/>
      <c r="E93" s="1878"/>
      <c r="F93" s="1878"/>
      <c r="G93" s="1878"/>
      <c r="H93" s="1878"/>
      <c r="I93" s="1878"/>
      <c r="J93" s="1878"/>
    </row>
    <row r="94" spans="3:10" s="1207" customFormat="1" x14ac:dyDescent="0.45">
      <c r="C94" s="1878"/>
      <c r="D94" s="1878"/>
      <c r="E94" s="1878"/>
      <c r="F94" s="1878"/>
      <c r="G94" s="1878"/>
      <c r="H94" s="1878"/>
      <c r="I94" s="1878"/>
      <c r="J94" s="1878"/>
    </row>
    <row r="95" spans="3:10" s="1207" customFormat="1" x14ac:dyDescent="0.45">
      <c r="C95" s="1878"/>
      <c r="D95" s="1878"/>
      <c r="E95" s="1878"/>
      <c r="F95" s="1878"/>
      <c r="G95" s="1878"/>
      <c r="H95" s="1878"/>
      <c r="I95" s="1878"/>
      <c r="J95" s="1878"/>
    </row>
    <row r="96" spans="3:10" s="1207" customFormat="1" x14ac:dyDescent="0.45">
      <c r="C96" s="1878"/>
      <c r="D96" s="1878"/>
      <c r="E96" s="1878"/>
      <c r="F96" s="1878"/>
      <c r="G96" s="1878"/>
      <c r="H96" s="1878"/>
      <c r="I96" s="1878"/>
      <c r="J96" s="1878"/>
    </row>
    <row r="97" spans="2:19" s="1207" customFormat="1" x14ac:dyDescent="0.45">
      <c r="C97" s="1878"/>
      <c r="D97" s="1878"/>
      <c r="E97" s="1878"/>
      <c r="F97" s="1878"/>
      <c r="G97" s="1878"/>
      <c r="H97" s="1878"/>
      <c r="I97" s="1878"/>
      <c r="J97" s="1878"/>
    </row>
    <row r="98" spans="2:19" x14ac:dyDescent="0.45">
      <c r="C98" s="1879"/>
      <c r="D98" s="1878"/>
      <c r="E98" s="1878"/>
      <c r="F98" s="1878"/>
      <c r="G98" s="1878"/>
      <c r="H98" s="1878"/>
      <c r="I98" s="1878"/>
      <c r="J98" s="1878"/>
    </row>
    <row r="99" spans="2:19" ht="14.65" hidden="1" thickBot="1" x14ac:dyDescent="0.5">
      <c r="C99" s="1878"/>
      <c r="D99" s="1878"/>
      <c r="E99" s="1878"/>
      <c r="F99" s="1878"/>
      <c r="G99" s="1878"/>
      <c r="H99" s="1878"/>
      <c r="I99" s="1878"/>
      <c r="J99" s="1878"/>
    </row>
    <row r="100" spans="2:19" ht="27" hidden="1" thickBot="1" x14ac:dyDescent="0.5">
      <c r="B100" s="888"/>
      <c r="C100" s="1739" t="s">
        <v>616</v>
      </c>
      <c r="F100" s="1913" t="s">
        <v>612</v>
      </c>
      <c r="G100" s="1913" t="s">
        <v>613</v>
      </c>
      <c r="H100" s="1913"/>
      <c r="I100" s="1913" t="s">
        <v>792</v>
      </c>
      <c r="J100" s="1914" t="s">
        <v>793</v>
      </c>
      <c r="K100" s="1881"/>
      <c r="L100" s="1882" t="str">
        <f>F100</f>
        <v xml:space="preserve">Solid waste disposal </v>
      </c>
      <c r="M100" s="1882" t="str">
        <f t="shared" ref="M100" si="1">G100</f>
        <v xml:space="preserve">Biological treatment of solid waste </v>
      </c>
      <c r="N100" s="1882"/>
      <c r="O100" s="1882" t="str">
        <f t="shared" ref="O100" si="2">I100</f>
        <v xml:space="preserve">Waste incineration </v>
      </c>
      <c r="P100" s="1882" t="str">
        <f t="shared" ref="P100" si="3">J100</f>
        <v>Wastewater treatment</v>
      </c>
      <c r="Q100" s="1883"/>
    </row>
    <row r="101" spans="2:19" ht="14.65" hidden="1" thickBot="1" x14ac:dyDescent="0.5">
      <c r="B101" s="888"/>
      <c r="D101" s="1913" t="s">
        <v>561</v>
      </c>
      <c r="E101" s="1913"/>
      <c r="F101" s="1913" t="s">
        <v>320</v>
      </c>
      <c r="G101" s="1913" t="s">
        <v>796</v>
      </c>
      <c r="H101" s="1913" t="s">
        <v>293</v>
      </c>
      <c r="I101" s="1913" t="s">
        <v>795</v>
      </c>
      <c r="J101" s="1913" t="s">
        <v>189</v>
      </c>
      <c r="K101" s="1884" t="str">
        <f>D101</f>
        <v>Local Authority</v>
      </c>
      <c r="L101" s="1885" t="s">
        <v>320</v>
      </c>
      <c r="M101" s="1885" t="s">
        <v>796</v>
      </c>
      <c r="N101" s="1885" t="s">
        <v>293</v>
      </c>
      <c r="O101" s="1885" t="s">
        <v>795</v>
      </c>
      <c r="P101" s="1885" t="s">
        <v>189</v>
      </c>
      <c r="Q101" s="1886" t="s">
        <v>667</v>
      </c>
      <c r="R101" s="2400"/>
      <c r="S101" s="2400"/>
    </row>
    <row r="102" spans="2:19" hidden="1" x14ac:dyDescent="0.45">
      <c r="B102" s="888"/>
      <c r="D102" s="1915" t="s">
        <v>528</v>
      </c>
      <c r="F102" s="1912">
        <v>1.737198229696672E-2</v>
      </c>
      <c r="G102" s="1916">
        <v>1</v>
      </c>
      <c r="H102" s="1912">
        <v>0</v>
      </c>
      <c r="I102" s="1912">
        <v>0</v>
      </c>
      <c r="K102" s="1889" t="str">
        <f>D102</f>
        <v>Barking and Dagenham</v>
      </c>
      <c r="L102" s="1890">
        <f>F102*$P$10</f>
        <v>11726.088050452536</v>
      </c>
      <c r="M102" s="1845">
        <f>$P$11*G102</f>
        <v>1628.6086</v>
      </c>
      <c r="N102" s="1891">
        <f>H102*$P$13</f>
        <v>0</v>
      </c>
      <c r="O102" s="1891">
        <f>I102*('Ia.Energy-Stationary '!$P$56+'Ia.Energy-Stationary '!$P$57+'Ia.Energy-Stationary '!$P$59)</f>
        <v>0</v>
      </c>
      <c r="P102" s="1892">
        <f>$P$15*J102</f>
        <v>0</v>
      </c>
      <c r="Q102" s="1893">
        <f>SUM(L102:P102)</f>
        <v>13354.696650452535</v>
      </c>
      <c r="R102" s="2400"/>
      <c r="S102" s="2400"/>
    </row>
    <row r="103" spans="2:19" hidden="1" x14ac:dyDescent="0.45">
      <c r="B103" s="888"/>
      <c r="D103" s="1915" t="s">
        <v>529</v>
      </c>
      <c r="F103" s="1912">
        <v>0</v>
      </c>
      <c r="G103" s="1916">
        <v>0</v>
      </c>
      <c r="H103" s="1912">
        <v>0</v>
      </c>
      <c r="I103" s="1912">
        <v>0</v>
      </c>
      <c r="K103" s="1889" t="str">
        <f t="shared" ref="K103:K134" si="4">D103</f>
        <v>Barnet</v>
      </c>
      <c r="L103" s="1894">
        <f t="shared" ref="L103:L134" si="5">F103*$P$10</f>
        <v>0</v>
      </c>
      <c r="M103" s="1207">
        <f t="shared" ref="M103:M134" si="6">$P$11*G103</f>
        <v>0</v>
      </c>
      <c r="N103" s="1797">
        <f t="shared" ref="N103:N134" si="7">H103*$P$13</f>
        <v>0</v>
      </c>
      <c r="O103" s="1797">
        <f>I103*('Ia.Energy-Stationary '!$P$56+'Ia.Energy-Stationary '!$P$57+'Ia.Energy-Stationary '!$P$59)</f>
        <v>0</v>
      </c>
      <c r="P103" s="1895">
        <f t="shared" ref="P103:P134" si="8">$P$15*J103</f>
        <v>0</v>
      </c>
      <c r="Q103" s="1893">
        <f t="shared" ref="Q103:Q134" si="9">SUM(L103:P103)</f>
        <v>0</v>
      </c>
      <c r="R103" s="2400"/>
      <c r="S103" s="2400"/>
    </row>
    <row r="104" spans="2:19" hidden="1" x14ac:dyDescent="0.45">
      <c r="B104" s="888"/>
      <c r="D104" s="1915" t="s">
        <v>530</v>
      </c>
      <c r="F104" s="1912">
        <v>0</v>
      </c>
      <c r="G104" s="1916">
        <v>0</v>
      </c>
      <c r="H104" s="1912">
        <v>0</v>
      </c>
      <c r="I104" s="1912">
        <v>0.41463478851395763</v>
      </c>
      <c r="J104" s="1912">
        <v>0.18036377861912109</v>
      </c>
      <c r="K104" s="1889" t="str">
        <f t="shared" si="4"/>
        <v>Bexley</v>
      </c>
      <c r="L104" s="1894">
        <f t="shared" si="5"/>
        <v>0</v>
      </c>
      <c r="M104" s="1207">
        <f t="shared" si="6"/>
        <v>0</v>
      </c>
      <c r="N104" s="1797">
        <f t="shared" si="7"/>
        <v>0</v>
      </c>
      <c r="O104" s="1797">
        <f>I104*('Ia.Energy-Stationary '!$P$56+'Ia.Energy-Stationary '!$P$57+'Ia.Energy-Stationary '!$P$59)</f>
        <v>288771.69336050644</v>
      </c>
      <c r="P104" s="1895">
        <f t="shared" si="8"/>
        <v>83506.301208065357</v>
      </c>
      <c r="Q104" s="1893">
        <f t="shared" si="9"/>
        <v>372277.9945685718</v>
      </c>
      <c r="R104" s="1902"/>
      <c r="S104" s="1903"/>
    </row>
    <row r="105" spans="2:19" hidden="1" x14ac:dyDescent="0.45">
      <c r="B105" s="888"/>
      <c r="D105" s="1915" t="s">
        <v>531</v>
      </c>
      <c r="F105" s="1912">
        <v>0</v>
      </c>
      <c r="G105" s="1916">
        <v>0</v>
      </c>
      <c r="H105" s="1912">
        <v>0</v>
      </c>
      <c r="I105" s="1912">
        <v>0</v>
      </c>
      <c r="K105" s="1889" t="str">
        <f t="shared" si="4"/>
        <v>Brent</v>
      </c>
      <c r="L105" s="1894">
        <f t="shared" si="5"/>
        <v>0</v>
      </c>
      <c r="M105" s="1207">
        <f t="shared" si="6"/>
        <v>0</v>
      </c>
      <c r="N105" s="1797">
        <f t="shared" si="7"/>
        <v>0</v>
      </c>
      <c r="O105" s="1797">
        <f>I105*('Ia.Energy-Stationary '!$P$56+'Ia.Energy-Stationary '!$P$57+'Ia.Energy-Stationary '!$P$59)</f>
        <v>0</v>
      </c>
      <c r="P105" s="1895">
        <f t="shared" si="8"/>
        <v>0</v>
      </c>
      <c r="Q105" s="1893">
        <f t="shared" si="9"/>
        <v>0</v>
      </c>
      <c r="R105" s="1902"/>
      <c r="S105" s="1903"/>
    </row>
    <row r="106" spans="2:19" hidden="1" x14ac:dyDescent="0.45">
      <c r="B106" s="888"/>
      <c r="D106" s="1915" t="s">
        <v>532</v>
      </c>
      <c r="F106" s="1912">
        <v>0</v>
      </c>
      <c r="G106" s="1916">
        <v>0</v>
      </c>
      <c r="H106" s="1912">
        <v>0</v>
      </c>
      <c r="I106" s="1912">
        <v>0</v>
      </c>
      <c r="K106" s="1889" t="str">
        <f t="shared" si="4"/>
        <v>Bromley</v>
      </c>
      <c r="L106" s="1894">
        <f t="shared" si="5"/>
        <v>0</v>
      </c>
      <c r="M106" s="1207">
        <f t="shared" si="6"/>
        <v>0</v>
      </c>
      <c r="N106" s="1797">
        <f t="shared" si="7"/>
        <v>0</v>
      </c>
      <c r="O106" s="1797">
        <f>I106*('Ia.Energy-Stationary '!$P$56+'Ia.Energy-Stationary '!$P$57+'Ia.Energy-Stationary '!$P$59)</f>
        <v>0</v>
      </c>
      <c r="P106" s="1895">
        <f t="shared" si="8"/>
        <v>0</v>
      </c>
      <c r="Q106" s="1893">
        <f t="shared" si="9"/>
        <v>0</v>
      </c>
      <c r="R106" s="1902"/>
      <c r="S106" s="1903"/>
    </row>
    <row r="107" spans="2:19" hidden="1" x14ac:dyDescent="0.45">
      <c r="B107" s="888"/>
      <c r="D107" s="1915" t="s">
        <v>533</v>
      </c>
      <c r="F107" s="1912">
        <v>0</v>
      </c>
      <c r="G107" s="1916">
        <v>0</v>
      </c>
      <c r="H107" s="1912">
        <v>0</v>
      </c>
      <c r="I107" s="1912">
        <v>0</v>
      </c>
      <c r="K107" s="1889" t="str">
        <f t="shared" si="4"/>
        <v>Camden</v>
      </c>
      <c r="L107" s="1894">
        <f t="shared" si="5"/>
        <v>0</v>
      </c>
      <c r="M107" s="1207">
        <f t="shared" si="6"/>
        <v>0</v>
      </c>
      <c r="N107" s="1797">
        <f t="shared" si="7"/>
        <v>0</v>
      </c>
      <c r="O107" s="1797">
        <f>I107*('Ia.Energy-Stationary '!$P$56+'Ia.Energy-Stationary '!$P$57+'Ia.Energy-Stationary '!$P$59)</f>
        <v>0</v>
      </c>
      <c r="P107" s="1895">
        <f t="shared" si="8"/>
        <v>0</v>
      </c>
      <c r="Q107" s="1893">
        <f t="shared" si="9"/>
        <v>0</v>
      </c>
      <c r="R107" s="1902"/>
      <c r="S107" s="1903"/>
    </row>
    <row r="108" spans="2:19" hidden="1" x14ac:dyDescent="0.45">
      <c r="B108" s="888"/>
      <c r="D108" s="1915" t="s">
        <v>534</v>
      </c>
      <c r="F108" s="1912">
        <v>0</v>
      </c>
      <c r="G108" s="1916">
        <v>0</v>
      </c>
      <c r="H108" s="1912">
        <v>0</v>
      </c>
      <c r="I108" s="1912">
        <v>0</v>
      </c>
      <c r="K108" s="1889" t="str">
        <f t="shared" si="4"/>
        <v>City of London</v>
      </c>
      <c r="L108" s="1894">
        <f t="shared" si="5"/>
        <v>0</v>
      </c>
      <c r="M108" s="1207">
        <f t="shared" si="6"/>
        <v>0</v>
      </c>
      <c r="N108" s="1797">
        <f t="shared" si="7"/>
        <v>0</v>
      </c>
      <c r="O108" s="1797">
        <f>I108*('Ia.Energy-Stationary '!$P$56+'Ia.Energy-Stationary '!$P$57+'Ia.Energy-Stationary '!$P$59)</f>
        <v>0</v>
      </c>
      <c r="P108" s="1895">
        <f t="shared" si="8"/>
        <v>0</v>
      </c>
      <c r="Q108" s="1893">
        <f t="shared" si="9"/>
        <v>0</v>
      </c>
      <c r="R108" s="1902"/>
      <c r="S108" s="1903"/>
    </row>
    <row r="109" spans="2:19" hidden="1" x14ac:dyDescent="0.45">
      <c r="B109" s="888"/>
      <c r="D109" s="1915" t="s">
        <v>535</v>
      </c>
      <c r="F109" s="1912">
        <v>0</v>
      </c>
      <c r="G109" s="1916">
        <v>0</v>
      </c>
      <c r="H109" s="1912">
        <v>0</v>
      </c>
      <c r="I109" s="1912">
        <v>0</v>
      </c>
      <c r="K109" s="1889" t="str">
        <f t="shared" si="4"/>
        <v>Croydon</v>
      </c>
      <c r="L109" s="1894">
        <f t="shared" si="5"/>
        <v>0</v>
      </c>
      <c r="M109" s="1207">
        <f t="shared" si="6"/>
        <v>0</v>
      </c>
      <c r="N109" s="1797">
        <f t="shared" si="7"/>
        <v>0</v>
      </c>
      <c r="O109" s="1797">
        <f>I109*('Ia.Energy-Stationary '!$P$56+'Ia.Energy-Stationary '!$P$57+'Ia.Energy-Stationary '!$P$59)</f>
        <v>0</v>
      </c>
      <c r="P109" s="1895">
        <f t="shared" si="8"/>
        <v>0</v>
      </c>
      <c r="Q109" s="1893">
        <f t="shared" si="9"/>
        <v>0</v>
      </c>
      <c r="R109" s="1902"/>
      <c r="S109" s="1903"/>
    </row>
    <row r="110" spans="2:19" hidden="1" x14ac:dyDescent="0.45">
      <c r="B110" s="888"/>
      <c r="D110" s="1915" t="s">
        <v>536</v>
      </c>
      <c r="F110" s="1912">
        <v>0</v>
      </c>
      <c r="G110" s="1916">
        <v>0</v>
      </c>
      <c r="H110" s="1912">
        <v>0</v>
      </c>
      <c r="I110" s="1912">
        <v>0</v>
      </c>
      <c r="K110" s="1889" t="str">
        <f t="shared" si="4"/>
        <v>Ealing</v>
      </c>
      <c r="L110" s="1894">
        <f t="shared" si="5"/>
        <v>0</v>
      </c>
      <c r="M110" s="1207">
        <f t="shared" si="6"/>
        <v>0</v>
      </c>
      <c r="N110" s="1797">
        <f t="shared" si="7"/>
        <v>0</v>
      </c>
      <c r="O110" s="1797">
        <f>I110*('Ia.Energy-Stationary '!$P$56+'Ia.Energy-Stationary '!$P$57+'Ia.Energy-Stationary '!$P$59)</f>
        <v>0</v>
      </c>
      <c r="P110" s="1895">
        <f t="shared" si="8"/>
        <v>0</v>
      </c>
      <c r="Q110" s="1893">
        <f t="shared" si="9"/>
        <v>0</v>
      </c>
      <c r="R110" s="1902"/>
      <c r="S110" s="1903"/>
    </row>
    <row r="111" spans="2:19" hidden="1" x14ac:dyDescent="0.45">
      <c r="B111" s="888"/>
      <c r="D111" s="1915" t="s">
        <v>537</v>
      </c>
      <c r="F111" s="1912">
        <v>0</v>
      </c>
      <c r="G111" s="1916">
        <v>0</v>
      </c>
      <c r="H111" s="1912">
        <v>0.31876999608700496</v>
      </c>
      <c r="I111" s="1912">
        <v>0.28513369459621535</v>
      </c>
      <c r="J111" s="1912">
        <v>6.9986178307946595E-2</v>
      </c>
      <c r="K111" s="1889" t="str">
        <f t="shared" si="4"/>
        <v>Enfield</v>
      </c>
      <c r="L111" s="1894">
        <f t="shared" si="5"/>
        <v>0</v>
      </c>
      <c r="M111" s="1207">
        <f t="shared" si="6"/>
        <v>0</v>
      </c>
      <c r="N111" s="1797">
        <f t="shared" si="7"/>
        <v>8700.4934781906359</v>
      </c>
      <c r="O111" s="1797">
        <f>I111*('Ia.Energy-Stationary '!$P$56+'Ia.Energy-Stationary '!$P$57+'Ia.Energy-Stationary '!$P$59)</f>
        <v>198580.8767223469</v>
      </c>
      <c r="P111" s="1895">
        <f t="shared" si="8"/>
        <v>32402.774719675239</v>
      </c>
      <c r="Q111" s="1893">
        <f t="shared" si="9"/>
        <v>239684.1449202128</v>
      </c>
      <c r="R111" s="1902"/>
      <c r="S111" s="1903"/>
    </row>
    <row r="112" spans="2:19" hidden="1" x14ac:dyDescent="0.45">
      <c r="B112" s="888"/>
      <c r="D112" s="1915" t="s">
        <v>538</v>
      </c>
      <c r="F112" s="1912">
        <v>0</v>
      </c>
      <c r="G112" s="1916">
        <v>0</v>
      </c>
      <c r="H112" s="1912">
        <v>5.2708770527764735E-4</v>
      </c>
      <c r="I112" s="1912">
        <v>0</v>
      </c>
      <c r="K112" s="1889" t="str">
        <f t="shared" si="4"/>
        <v>Greenwich</v>
      </c>
      <c r="L112" s="1894">
        <f t="shared" si="5"/>
        <v>0</v>
      </c>
      <c r="M112" s="1207">
        <f t="shared" si="6"/>
        <v>0</v>
      </c>
      <c r="N112" s="1797">
        <f t="shared" si="7"/>
        <v>14.386307364231854</v>
      </c>
      <c r="O112" s="1797">
        <f>I112*('Ia.Energy-Stationary '!$P$56+'Ia.Energy-Stationary '!$P$57+'Ia.Energy-Stationary '!$P$59)</f>
        <v>0</v>
      </c>
      <c r="P112" s="1895">
        <f t="shared" si="8"/>
        <v>0</v>
      </c>
      <c r="Q112" s="1893">
        <f t="shared" si="9"/>
        <v>14.386307364231854</v>
      </c>
      <c r="R112" s="1902"/>
      <c r="S112" s="1903"/>
    </row>
    <row r="113" spans="2:19" hidden="1" x14ac:dyDescent="0.45">
      <c r="B113" s="888"/>
      <c r="D113" s="1915" t="s">
        <v>539</v>
      </c>
      <c r="F113" s="1912">
        <v>0</v>
      </c>
      <c r="G113" s="1916">
        <v>0</v>
      </c>
      <c r="H113" s="1912">
        <v>0</v>
      </c>
      <c r="I113" s="1912">
        <v>0</v>
      </c>
      <c r="K113" s="1889" t="str">
        <f t="shared" si="4"/>
        <v>Hackney</v>
      </c>
      <c r="L113" s="1894">
        <f t="shared" si="5"/>
        <v>0</v>
      </c>
      <c r="M113" s="1207">
        <f t="shared" si="6"/>
        <v>0</v>
      </c>
      <c r="N113" s="1797">
        <f t="shared" si="7"/>
        <v>0</v>
      </c>
      <c r="O113" s="1797">
        <f>I113*('Ia.Energy-Stationary '!$P$56+'Ia.Energy-Stationary '!$P$57+'Ia.Energy-Stationary '!$P$59)</f>
        <v>0</v>
      </c>
      <c r="P113" s="1895">
        <f t="shared" si="8"/>
        <v>0</v>
      </c>
      <c r="Q113" s="1893">
        <f t="shared" si="9"/>
        <v>0</v>
      </c>
      <c r="R113" s="1902"/>
      <c r="S113" s="1903"/>
    </row>
    <row r="114" spans="2:19" hidden="1" x14ac:dyDescent="0.45">
      <c r="B114" s="888"/>
      <c r="D114" s="1915" t="s">
        <v>540</v>
      </c>
      <c r="F114" s="1912">
        <v>0</v>
      </c>
      <c r="G114" s="1916">
        <v>0</v>
      </c>
      <c r="H114" s="1912">
        <v>0</v>
      </c>
      <c r="I114" s="1912">
        <v>0</v>
      </c>
      <c r="K114" s="1889" t="str">
        <f t="shared" si="4"/>
        <v>Hammersmith and Fulham</v>
      </c>
      <c r="L114" s="1894">
        <f t="shared" si="5"/>
        <v>0</v>
      </c>
      <c r="M114" s="1207">
        <f t="shared" si="6"/>
        <v>0</v>
      </c>
      <c r="N114" s="1797">
        <f t="shared" si="7"/>
        <v>0</v>
      </c>
      <c r="O114" s="1797">
        <f>I114*('Ia.Energy-Stationary '!$P$56+'Ia.Energy-Stationary '!$P$57+'Ia.Energy-Stationary '!$P$59)</f>
        <v>0</v>
      </c>
      <c r="P114" s="1895">
        <f t="shared" si="8"/>
        <v>0</v>
      </c>
      <c r="Q114" s="1893">
        <f t="shared" si="9"/>
        <v>0</v>
      </c>
      <c r="R114" s="1902"/>
      <c r="S114" s="1903"/>
    </row>
    <row r="115" spans="2:19" hidden="1" x14ac:dyDescent="0.45">
      <c r="B115" s="888"/>
      <c r="D115" s="1915" t="s">
        <v>541</v>
      </c>
      <c r="F115" s="1912">
        <v>0</v>
      </c>
      <c r="G115" s="1916">
        <v>0</v>
      </c>
      <c r="H115" s="1912">
        <v>0</v>
      </c>
      <c r="I115" s="1912">
        <v>0</v>
      </c>
      <c r="K115" s="1889" t="str">
        <f t="shared" si="4"/>
        <v>Haringey</v>
      </c>
      <c r="L115" s="1894">
        <f t="shared" si="5"/>
        <v>0</v>
      </c>
      <c r="M115" s="1207">
        <f t="shared" si="6"/>
        <v>0</v>
      </c>
      <c r="N115" s="1797">
        <f t="shared" si="7"/>
        <v>0</v>
      </c>
      <c r="O115" s="1797">
        <f>I115*('Ia.Energy-Stationary '!$P$56+'Ia.Energy-Stationary '!$P$57+'Ia.Energy-Stationary '!$P$59)</f>
        <v>0</v>
      </c>
      <c r="P115" s="1895">
        <f t="shared" si="8"/>
        <v>0</v>
      </c>
      <c r="Q115" s="1893">
        <f t="shared" si="9"/>
        <v>0</v>
      </c>
      <c r="R115" s="1904"/>
      <c r="S115" s="1904"/>
    </row>
    <row r="116" spans="2:19" hidden="1" x14ac:dyDescent="0.45">
      <c r="B116" s="888"/>
      <c r="D116" s="1915" t="s">
        <v>542</v>
      </c>
      <c r="F116" s="1912">
        <v>0</v>
      </c>
      <c r="G116" s="1916">
        <v>0</v>
      </c>
      <c r="H116" s="1912">
        <v>0</v>
      </c>
      <c r="I116" s="1912">
        <v>0</v>
      </c>
      <c r="K116" s="1889" t="str">
        <f t="shared" si="4"/>
        <v>Harrow</v>
      </c>
      <c r="L116" s="1894">
        <f t="shared" si="5"/>
        <v>0</v>
      </c>
      <c r="M116" s="1207">
        <f t="shared" si="6"/>
        <v>0</v>
      </c>
      <c r="N116" s="1797">
        <f t="shared" si="7"/>
        <v>0</v>
      </c>
      <c r="O116" s="1797">
        <f>I116*('Ia.Energy-Stationary '!$P$56+'Ia.Energy-Stationary '!$P$57+'Ia.Energy-Stationary '!$P$59)</f>
        <v>0</v>
      </c>
      <c r="P116" s="1895">
        <f t="shared" si="8"/>
        <v>0</v>
      </c>
      <c r="Q116" s="1893">
        <f t="shared" si="9"/>
        <v>0</v>
      </c>
    </row>
    <row r="117" spans="2:19" hidden="1" x14ac:dyDescent="0.45">
      <c r="B117" s="888"/>
      <c r="D117" s="1915" t="s">
        <v>543</v>
      </c>
      <c r="F117" s="1912">
        <v>1.8540722615388142E-2</v>
      </c>
      <c r="G117" s="1916">
        <v>0</v>
      </c>
      <c r="H117" s="1912">
        <v>0</v>
      </c>
      <c r="I117" s="1912">
        <v>0</v>
      </c>
      <c r="J117" s="1912">
        <v>4.1600361855519186E-2</v>
      </c>
      <c r="K117" s="1889" t="str">
        <f t="shared" si="4"/>
        <v>Havering</v>
      </c>
      <c r="L117" s="1894">
        <f t="shared" si="5"/>
        <v>12514.987765386995</v>
      </c>
      <c r="M117" s="1207">
        <f t="shared" si="6"/>
        <v>0</v>
      </c>
      <c r="N117" s="1797">
        <f t="shared" si="7"/>
        <v>0</v>
      </c>
      <c r="O117" s="1797">
        <f>I117*('Ia.Energy-Stationary '!$P$56+'Ia.Energy-Stationary '!$P$57+'Ia.Energy-Stationary '!$P$59)</f>
        <v>0</v>
      </c>
      <c r="P117" s="1895">
        <f t="shared" si="8"/>
        <v>19260.476654835489</v>
      </c>
      <c r="Q117" s="1893">
        <f t="shared" si="9"/>
        <v>31775.464420222484</v>
      </c>
      <c r="R117" s="1905"/>
      <c r="S117" s="1905"/>
    </row>
    <row r="118" spans="2:19" hidden="1" x14ac:dyDescent="0.45">
      <c r="B118" s="888"/>
      <c r="D118" s="1915" t="s">
        <v>544</v>
      </c>
      <c r="F118" s="1912">
        <v>0.35496699675910387</v>
      </c>
      <c r="G118" s="1916">
        <v>0</v>
      </c>
      <c r="H118" s="1912">
        <v>6.4502581059497285E-2</v>
      </c>
      <c r="I118" s="1912">
        <v>3.562206358070176E-3</v>
      </c>
      <c r="K118" s="1889" t="str">
        <f t="shared" si="4"/>
        <v>Hillingdon</v>
      </c>
      <c r="L118" s="1894">
        <f t="shared" si="5"/>
        <v>239602.72281239511</v>
      </c>
      <c r="M118" s="1207">
        <f t="shared" si="6"/>
        <v>0</v>
      </c>
      <c r="N118" s="1797">
        <f t="shared" si="7"/>
        <v>1760.5304536925241</v>
      </c>
      <c r="O118" s="1797">
        <f>I118*('Ia.Energy-Stationary '!$P$56+'Ia.Energy-Stationary '!$P$57+'Ia.Energy-Stationary '!$P$59)</f>
        <v>2480.8925604293813</v>
      </c>
      <c r="P118" s="1895">
        <f t="shared" si="8"/>
        <v>0</v>
      </c>
      <c r="Q118" s="1893">
        <f t="shared" si="9"/>
        <v>243844.14582651699</v>
      </c>
    </row>
    <row r="119" spans="2:19" hidden="1" x14ac:dyDescent="0.45">
      <c r="B119" s="888"/>
      <c r="D119" s="1915" t="s">
        <v>545</v>
      </c>
      <c r="F119" s="1912">
        <v>0</v>
      </c>
      <c r="G119" s="1916">
        <v>0</v>
      </c>
      <c r="H119" s="1912">
        <v>0</v>
      </c>
      <c r="I119" s="1912">
        <v>0</v>
      </c>
      <c r="J119" s="1912">
        <v>0.20849643722598882</v>
      </c>
      <c r="K119" s="1889" t="str">
        <f t="shared" si="4"/>
        <v>Hounslow</v>
      </c>
      <c r="L119" s="1894">
        <f t="shared" si="5"/>
        <v>0</v>
      </c>
      <c r="M119" s="1207">
        <f t="shared" si="6"/>
        <v>0</v>
      </c>
      <c r="N119" s="1797">
        <f t="shared" si="7"/>
        <v>0</v>
      </c>
      <c r="O119" s="1797">
        <f>I119*('Ia.Energy-Stationary '!$P$56+'Ia.Energy-Stationary '!$P$57+'Ia.Energy-Stationary '!$P$59)</f>
        <v>0</v>
      </c>
      <c r="P119" s="1895">
        <f t="shared" si="8"/>
        <v>96531.390177673558</v>
      </c>
      <c r="Q119" s="1893">
        <f t="shared" si="9"/>
        <v>96531.390177673558</v>
      </c>
    </row>
    <row r="120" spans="2:19" hidden="1" x14ac:dyDescent="0.45">
      <c r="B120" s="888"/>
      <c r="D120" s="1915" t="s">
        <v>546</v>
      </c>
      <c r="F120" s="1912">
        <v>0</v>
      </c>
      <c r="G120" s="1916">
        <v>0</v>
      </c>
      <c r="H120" s="1912">
        <v>0</v>
      </c>
      <c r="I120" s="1912">
        <v>0</v>
      </c>
      <c r="K120" s="1889" t="str">
        <f t="shared" si="4"/>
        <v>Islington</v>
      </c>
      <c r="L120" s="1894">
        <f t="shared" si="5"/>
        <v>0</v>
      </c>
      <c r="M120" s="1207">
        <f t="shared" si="6"/>
        <v>0</v>
      </c>
      <c r="N120" s="1797">
        <f t="shared" si="7"/>
        <v>0</v>
      </c>
      <c r="O120" s="1797">
        <f>I120*('Ia.Energy-Stationary '!$P$56+'Ia.Energy-Stationary '!$P$57+'Ia.Energy-Stationary '!$P$59)</f>
        <v>0</v>
      </c>
      <c r="P120" s="1895">
        <f t="shared" si="8"/>
        <v>0</v>
      </c>
      <c r="Q120" s="1893">
        <f t="shared" si="9"/>
        <v>0</v>
      </c>
    </row>
    <row r="121" spans="2:19" hidden="1" x14ac:dyDescent="0.45">
      <c r="B121" s="888"/>
      <c r="D121" s="1915" t="s">
        <v>547</v>
      </c>
      <c r="F121" s="1912">
        <v>0</v>
      </c>
      <c r="G121" s="1916">
        <v>0</v>
      </c>
      <c r="H121" s="1912">
        <v>0</v>
      </c>
      <c r="I121" s="1912">
        <v>0</v>
      </c>
      <c r="K121" s="1889" t="str">
        <f t="shared" si="4"/>
        <v>Kensington and Chelsea</v>
      </c>
      <c r="L121" s="1894">
        <f t="shared" si="5"/>
        <v>0</v>
      </c>
      <c r="M121" s="1207">
        <f t="shared" si="6"/>
        <v>0</v>
      </c>
      <c r="N121" s="1797">
        <f t="shared" si="7"/>
        <v>0</v>
      </c>
      <c r="O121" s="1797">
        <f>I121*('Ia.Energy-Stationary '!$P$56+'Ia.Energy-Stationary '!$P$57+'Ia.Energy-Stationary '!$P$59)</f>
        <v>0</v>
      </c>
      <c r="P121" s="1895">
        <f t="shared" si="8"/>
        <v>0</v>
      </c>
      <c r="Q121" s="1893">
        <f t="shared" si="9"/>
        <v>0</v>
      </c>
    </row>
    <row r="122" spans="2:19" hidden="1" x14ac:dyDescent="0.45">
      <c r="B122" s="888"/>
      <c r="D122" s="1915" t="s">
        <v>548</v>
      </c>
      <c r="F122" s="1912">
        <v>0</v>
      </c>
      <c r="G122" s="1916">
        <v>0</v>
      </c>
      <c r="H122" s="1912">
        <v>0</v>
      </c>
      <c r="I122" s="1912">
        <v>0</v>
      </c>
      <c r="J122" s="1912">
        <v>1.9718884368208504E-2</v>
      </c>
      <c r="K122" s="1889" t="str">
        <f t="shared" si="4"/>
        <v>Kingston</v>
      </c>
      <c r="L122" s="1894">
        <f t="shared" si="5"/>
        <v>0</v>
      </c>
      <c r="M122" s="1207">
        <f t="shared" si="6"/>
        <v>0</v>
      </c>
      <c r="N122" s="1797">
        <f t="shared" si="7"/>
        <v>0</v>
      </c>
      <c r="O122" s="1797">
        <f>I122*('Ia.Energy-Stationary '!$P$56+'Ia.Energy-Stationary '!$P$57+'Ia.Energy-Stationary '!$P$59)</f>
        <v>0</v>
      </c>
      <c r="P122" s="1895">
        <f t="shared" si="8"/>
        <v>9129.6107796449924</v>
      </c>
      <c r="Q122" s="1893">
        <f t="shared" si="9"/>
        <v>9129.6107796449924</v>
      </c>
    </row>
    <row r="123" spans="2:19" hidden="1" x14ac:dyDescent="0.45">
      <c r="B123" s="888"/>
      <c r="D123" s="1915" t="s">
        <v>549</v>
      </c>
      <c r="F123" s="1912">
        <v>0</v>
      </c>
      <c r="G123" s="1916">
        <v>0</v>
      </c>
      <c r="H123" s="1912">
        <v>0</v>
      </c>
      <c r="I123" s="1912">
        <v>0</v>
      </c>
      <c r="K123" s="1889" t="str">
        <f t="shared" si="4"/>
        <v>Lambeth</v>
      </c>
      <c r="L123" s="1894">
        <f t="shared" si="5"/>
        <v>0</v>
      </c>
      <c r="M123" s="1207">
        <f t="shared" si="6"/>
        <v>0</v>
      </c>
      <c r="N123" s="1797">
        <f t="shared" si="7"/>
        <v>0</v>
      </c>
      <c r="O123" s="1797">
        <f>I123*('Ia.Energy-Stationary '!$P$56+'Ia.Energy-Stationary '!$P$57+'Ia.Energy-Stationary '!$P$59)</f>
        <v>0</v>
      </c>
      <c r="P123" s="1895">
        <f t="shared" si="8"/>
        <v>0</v>
      </c>
      <c r="Q123" s="1893">
        <f t="shared" si="9"/>
        <v>0</v>
      </c>
    </row>
    <row r="124" spans="2:19" hidden="1" x14ac:dyDescent="0.45">
      <c r="B124" s="888"/>
      <c r="D124" s="1915" t="s">
        <v>550</v>
      </c>
      <c r="F124" s="1912">
        <v>0</v>
      </c>
      <c r="G124" s="1916">
        <v>0</v>
      </c>
      <c r="H124" s="1912">
        <v>0</v>
      </c>
      <c r="I124" s="1912">
        <v>0.23864711513427003</v>
      </c>
      <c r="K124" s="1889" t="str">
        <f t="shared" si="4"/>
        <v>Lewisham</v>
      </c>
      <c r="L124" s="1894">
        <f t="shared" si="5"/>
        <v>0</v>
      </c>
      <c r="M124" s="1207">
        <f t="shared" si="6"/>
        <v>0</v>
      </c>
      <c r="N124" s="1797">
        <f t="shared" si="7"/>
        <v>0</v>
      </c>
      <c r="O124" s="1797">
        <f>I124*('Ia.Energy-Stationary '!$P$56+'Ia.Energy-Stationary '!$P$57+'Ia.Energy-Stationary '!$P$59)</f>
        <v>166205.37750802614</v>
      </c>
      <c r="P124" s="1895">
        <f t="shared" si="8"/>
        <v>0</v>
      </c>
      <c r="Q124" s="1893">
        <f t="shared" si="9"/>
        <v>166205.37750802614</v>
      </c>
    </row>
    <row r="125" spans="2:19" hidden="1" x14ac:dyDescent="0.45">
      <c r="B125" s="888"/>
      <c r="D125" s="1915" t="s">
        <v>551</v>
      </c>
      <c r="F125" s="1912">
        <v>0</v>
      </c>
      <c r="G125" s="1916">
        <v>0</v>
      </c>
      <c r="H125" s="1912">
        <v>0.6137242724398283</v>
      </c>
      <c r="I125" s="1912">
        <v>0</v>
      </c>
      <c r="K125" s="1889" t="str">
        <f t="shared" si="4"/>
        <v>Merton</v>
      </c>
      <c r="L125" s="1894">
        <f t="shared" si="5"/>
        <v>0</v>
      </c>
      <c r="M125" s="1207">
        <f t="shared" si="6"/>
        <v>0</v>
      </c>
      <c r="N125" s="1797">
        <f t="shared" si="7"/>
        <v>16750.961807310756</v>
      </c>
      <c r="O125" s="1797">
        <f>I125*('Ia.Energy-Stationary '!$P$56+'Ia.Energy-Stationary '!$P$57+'Ia.Energy-Stationary '!$P$59)</f>
        <v>0</v>
      </c>
      <c r="P125" s="1895">
        <f t="shared" si="8"/>
        <v>0</v>
      </c>
      <c r="Q125" s="1893">
        <f t="shared" si="9"/>
        <v>16750.961807310756</v>
      </c>
    </row>
    <row r="126" spans="2:19" hidden="1" x14ac:dyDescent="0.45">
      <c r="B126" s="888"/>
      <c r="D126" s="1915" t="s">
        <v>552</v>
      </c>
      <c r="F126" s="1912">
        <v>0</v>
      </c>
      <c r="G126" s="1916">
        <v>0</v>
      </c>
      <c r="H126" s="1912">
        <v>0</v>
      </c>
      <c r="I126" s="1912">
        <v>1.3921995939129215E-2</v>
      </c>
      <c r="J126" s="1912">
        <v>0.43296032944176682</v>
      </c>
      <c r="K126" s="1889" t="str">
        <f t="shared" si="4"/>
        <v>Newham</v>
      </c>
      <c r="L126" s="1894">
        <f t="shared" si="5"/>
        <v>0</v>
      </c>
      <c r="M126" s="1207">
        <f t="shared" si="6"/>
        <v>0</v>
      </c>
      <c r="N126" s="1797">
        <f t="shared" si="7"/>
        <v>0</v>
      </c>
      <c r="O126" s="1797">
        <f>I126*('Ia.Energy-Stationary '!$P$56+'Ia.Energy-Stationary '!$P$57+'Ia.Energy-Stationary '!$P$59)</f>
        <v>9695.9503969964298</v>
      </c>
      <c r="P126" s="1895">
        <f t="shared" si="8"/>
        <v>200455.52359965062</v>
      </c>
      <c r="Q126" s="1893">
        <f t="shared" si="9"/>
        <v>210151.47399664705</v>
      </c>
    </row>
    <row r="127" spans="2:19" hidden="1" x14ac:dyDescent="0.45">
      <c r="B127" s="888"/>
      <c r="D127" s="1915" t="s">
        <v>553</v>
      </c>
      <c r="F127" s="1912">
        <v>0</v>
      </c>
      <c r="G127" s="1916">
        <v>0</v>
      </c>
      <c r="H127" s="1912">
        <v>0</v>
      </c>
      <c r="I127" s="1912">
        <v>0</v>
      </c>
      <c r="K127" s="1889" t="str">
        <f t="shared" si="4"/>
        <v>Redbridge</v>
      </c>
      <c r="L127" s="1894">
        <f t="shared" si="5"/>
        <v>0</v>
      </c>
      <c r="M127" s="1207">
        <f t="shared" si="6"/>
        <v>0</v>
      </c>
      <c r="N127" s="1797">
        <f t="shared" si="7"/>
        <v>0</v>
      </c>
      <c r="O127" s="1797">
        <f>I127*('Ia.Energy-Stationary '!$P$56+'Ia.Energy-Stationary '!$P$57+'Ia.Energy-Stationary '!$P$59)</f>
        <v>0</v>
      </c>
      <c r="P127" s="1895">
        <f t="shared" si="8"/>
        <v>0</v>
      </c>
      <c r="Q127" s="1893">
        <f t="shared" si="9"/>
        <v>0</v>
      </c>
    </row>
    <row r="128" spans="2:19" hidden="1" x14ac:dyDescent="0.45">
      <c r="B128" s="888"/>
      <c r="D128" s="1915" t="s">
        <v>554</v>
      </c>
      <c r="F128" s="1912">
        <v>0</v>
      </c>
      <c r="G128" s="1916">
        <v>0</v>
      </c>
      <c r="H128" s="1912">
        <v>0</v>
      </c>
      <c r="I128" s="1912">
        <v>0</v>
      </c>
      <c r="K128" s="1889" t="str">
        <f t="shared" si="4"/>
        <v>Richmond</v>
      </c>
      <c r="L128" s="1894">
        <f t="shared" si="5"/>
        <v>0</v>
      </c>
      <c r="M128" s="1207">
        <f t="shared" si="6"/>
        <v>0</v>
      </c>
      <c r="N128" s="1797">
        <f t="shared" si="7"/>
        <v>0</v>
      </c>
      <c r="O128" s="1797">
        <f>I128*('Ia.Energy-Stationary '!$P$56+'Ia.Energy-Stationary '!$P$57+'Ia.Energy-Stationary '!$P$59)</f>
        <v>0</v>
      </c>
      <c r="P128" s="1895">
        <f t="shared" si="8"/>
        <v>0</v>
      </c>
      <c r="Q128" s="1893">
        <f t="shared" si="9"/>
        <v>0</v>
      </c>
    </row>
    <row r="129" spans="2:17" hidden="1" x14ac:dyDescent="0.45">
      <c r="B129" s="888"/>
      <c r="D129" s="1915" t="s">
        <v>555</v>
      </c>
      <c r="F129" s="1912">
        <v>0</v>
      </c>
      <c r="G129" s="1916">
        <v>0</v>
      </c>
      <c r="H129" s="1912">
        <v>0</v>
      </c>
      <c r="I129" s="1912">
        <v>0</v>
      </c>
      <c r="K129" s="1889" t="str">
        <f t="shared" si="4"/>
        <v>Southwark</v>
      </c>
      <c r="L129" s="1894">
        <f t="shared" si="5"/>
        <v>0</v>
      </c>
      <c r="M129" s="1207">
        <f t="shared" si="6"/>
        <v>0</v>
      </c>
      <c r="N129" s="1797">
        <f t="shared" si="7"/>
        <v>0</v>
      </c>
      <c r="O129" s="1797">
        <f>I129*('Ia.Energy-Stationary '!$P$56+'Ia.Energy-Stationary '!$P$57+'Ia.Energy-Stationary '!$P$59)</f>
        <v>0</v>
      </c>
      <c r="P129" s="1895">
        <f t="shared" si="8"/>
        <v>0</v>
      </c>
      <c r="Q129" s="1893">
        <f t="shared" si="9"/>
        <v>0</v>
      </c>
    </row>
    <row r="130" spans="2:17" hidden="1" x14ac:dyDescent="0.45">
      <c r="B130" s="888"/>
      <c r="D130" s="1915" t="s">
        <v>556</v>
      </c>
      <c r="F130" s="1912">
        <v>0.60912029832854131</v>
      </c>
      <c r="G130" s="1916">
        <v>0</v>
      </c>
      <c r="H130" s="1912">
        <v>0</v>
      </c>
      <c r="I130" s="1912">
        <v>4.4100199458357539E-2</v>
      </c>
      <c r="J130" s="1912">
        <v>4.6874030181448957E-2</v>
      </c>
      <c r="K130" s="1889" t="str">
        <f t="shared" si="4"/>
        <v>Sutton</v>
      </c>
      <c r="L130" s="1894">
        <f t="shared" si="5"/>
        <v>411156.2013717654</v>
      </c>
      <c r="M130" s="1207">
        <f t="shared" si="6"/>
        <v>0</v>
      </c>
      <c r="N130" s="1797">
        <f t="shared" si="7"/>
        <v>0</v>
      </c>
      <c r="O130" s="1797">
        <f>I130*('Ia.Energy-Stationary '!$P$56+'Ia.Energy-Stationary '!$P$57+'Ia.Energy-Stationary '!$P$59)</f>
        <v>30713.508918939417</v>
      </c>
      <c r="P130" s="1895">
        <f t="shared" si="8"/>
        <v>21702.122860454725</v>
      </c>
      <c r="Q130" s="1893">
        <f t="shared" si="9"/>
        <v>463571.83315115952</v>
      </c>
    </row>
    <row r="131" spans="2:17" hidden="1" x14ac:dyDescent="0.45">
      <c r="B131" s="888"/>
      <c r="D131" s="1915" t="s">
        <v>557</v>
      </c>
      <c r="F131" s="1912">
        <v>0</v>
      </c>
      <c r="G131" s="1916">
        <v>0</v>
      </c>
      <c r="H131" s="1912">
        <v>0</v>
      </c>
      <c r="I131" s="1912">
        <v>0</v>
      </c>
      <c r="K131" s="1889" t="str">
        <f t="shared" si="4"/>
        <v>Tower Hamlets</v>
      </c>
      <c r="L131" s="1894">
        <f t="shared" si="5"/>
        <v>0</v>
      </c>
      <c r="M131" s="1207">
        <f t="shared" si="6"/>
        <v>0</v>
      </c>
      <c r="N131" s="1797">
        <f t="shared" si="7"/>
        <v>0</v>
      </c>
      <c r="O131" s="1797">
        <f>I131*('Ia.Energy-Stationary '!$P$56+'Ia.Energy-Stationary '!$P$57+'Ia.Energy-Stationary '!$P$59)</f>
        <v>0</v>
      </c>
      <c r="P131" s="1895">
        <f t="shared" si="8"/>
        <v>0</v>
      </c>
      <c r="Q131" s="1893">
        <f t="shared" si="9"/>
        <v>0</v>
      </c>
    </row>
    <row r="132" spans="2:17" hidden="1" x14ac:dyDescent="0.45">
      <c r="B132" s="888"/>
      <c r="D132" s="1915" t="s">
        <v>558</v>
      </c>
      <c r="F132" s="1912">
        <v>0</v>
      </c>
      <c r="G132" s="1916">
        <v>0</v>
      </c>
      <c r="H132" s="1912">
        <v>0</v>
      </c>
      <c r="I132" s="1912">
        <v>0</v>
      </c>
      <c r="K132" s="1889" t="str">
        <f t="shared" si="4"/>
        <v>Waltham Forest</v>
      </c>
      <c r="L132" s="1894">
        <f t="shared" si="5"/>
        <v>0</v>
      </c>
      <c r="M132" s="1207">
        <f t="shared" si="6"/>
        <v>0</v>
      </c>
      <c r="N132" s="1797">
        <f t="shared" si="7"/>
        <v>0</v>
      </c>
      <c r="O132" s="1797">
        <f>I132*('Ia.Energy-Stationary '!$P$56+'Ia.Energy-Stationary '!$P$57+'Ia.Energy-Stationary '!$P$59)</f>
        <v>0</v>
      </c>
      <c r="P132" s="1895">
        <f t="shared" si="8"/>
        <v>0</v>
      </c>
      <c r="Q132" s="1893">
        <f t="shared" si="9"/>
        <v>0</v>
      </c>
    </row>
    <row r="133" spans="2:17" hidden="1" x14ac:dyDescent="0.45">
      <c r="B133" s="888"/>
      <c r="D133" s="1915" t="s">
        <v>559</v>
      </c>
      <c r="F133" s="1912">
        <v>0</v>
      </c>
      <c r="G133" s="1916">
        <v>0</v>
      </c>
      <c r="H133" s="1912">
        <v>0</v>
      </c>
      <c r="I133" s="1912">
        <v>0</v>
      </c>
      <c r="K133" s="1889" t="str">
        <f t="shared" si="4"/>
        <v>Wandsworth</v>
      </c>
      <c r="L133" s="1894">
        <f t="shared" si="5"/>
        <v>0</v>
      </c>
      <c r="M133" s="1207">
        <f t="shared" si="6"/>
        <v>0</v>
      </c>
      <c r="N133" s="1797">
        <f t="shared" si="7"/>
        <v>0</v>
      </c>
      <c r="O133" s="1797">
        <f>I133*('Ia.Energy-Stationary '!$P$56+'Ia.Energy-Stationary '!$P$57+'Ia.Energy-Stationary '!$P$59)</f>
        <v>0</v>
      </c>
      <c r="P133" s="1895">
        <f t="shared" si="8"/>
        <v>0</v>
      </c>
      <c r="Q133" s="1893">
        <f t="shared" si="9"/>
        <v>0</v>
      </c>
    </row>
    <row r="134" spans="2:17" ht="14.65" hidden="1" thickBot="1" x14ac:dyDescent="0.5">
      <c r="B134" s="888"/>
      <c r="D134" s="1915" t="s">
        <v>560</v>
      </c>
      <c r="F134" s="1912">
        <v>0</v>
      </c>
      <c r="G134" s="1916">
        <v>0</v>
      </c>
      <c r="H134" s="1912">
        <v>2.4760627083918506E-3</v>
      </c>
      <c r="I134" s="1912">
        <v>0</v>
      </c>
      <c r="K134" s="1896" t="str">
        <f t="shared" si="4"/>
        <v>Westminster</v>
      </c>
      <c r="L134" s="1897">
        <f t="shared" si="5"/>
        <v>0</v>
      </c>
      <c r="M134" s="1898">
        <f t="shared" si="6"/>
        <v>0</v>
      </c>
      <c r="N134" s="1899">
        <f t="shared" si="7"/>
        <v>67.581540641843873</v>
      </c>
      <c r="O134" s="1899">
        <f>I134*('Ia.Energy-Stationary '!$P$56+'Ia.Energy-Stationary '!$P$57+'Ia.Energy-Stationary '!$P$59)</f>
        <v>0</v>
      </c>
      <c r="P134" s="1900">
        <f t="shared" si="8"/>
        <v>0</v>
      </c>
      <c r="Q134" s="1901">
        <f t="shared" si="9"/>
        <v>67.581540641843873</v>
      </c>
    </row>
    <row r="135" spans="2:17" x14ac:dyDescent="0.45">
      <c r="C135" s="1917"/>
      <c r="D135" s="1917"/>
      <c r="E135" s="1917"/>
      <c r="F135" s="1917"/>
      <c r="G135" s="1917"/>
      <c r="H135" s="1917"/>
      <c r="I135" s="1917"/>
      <c r="J135" s="1917"/>
      <c r="K135" s="1906"/>
    </row>
    <row r="136" spans="2:17" x14ac:dyDescent="0.45">
      <c r="C136" s="1917"/>
      <c r="D136" s="1918"/>
      <c r="E136" s="1918"/>
      <c r="F136" s="1918"/>
      <c r="G136" s="1918"/>
      <c r="H136" s="1918"/>
      <c r="I136" s="1918"/>
      <c r="J136" s="1917"/>
      <c r="K136" s="1906"/>
    </row>
    <row r="137" spans="2:17" x14ac:dyDescent="0.45">
      <c r="C137" s="1917"/>
      <c r="D137" s="1918"/>
      <c r="E137" s="1918"/>
      <c r="F137" s="1918"/>
      <c r="G137" s="1918"/>
      <c r="H137" s="1918"/>
      <c r="I137" s="1918"/>
      <c r="J137" s="1917"/>
      <c r="K137" s="1906"/>
    </row>
    <row r="138" spans="2:17" x14ac:dyDescent="0.45">
      <c r="C138" s="1917"/>
      <c r="D138" s="1918"/>
      <c r="E138" s="1918"/>
      <c r="F138" s="1918"/>
      <c r="G138" s="1918"/>
      <c r="H138" s="1918"/>
      <c r="I138" s="1918"/>
      <c r="J138" s="1917"/>
      <c r="K138" s="1906"/>
    </row>
    <row r="139" spans="2:17" x14ac:dyDescent="0.45">
      <c r="C139" s="1917"/>
      <c r="D139" s="1917"/>
      <c r="E139" s="1917"/>
      <c r="F139" s="1917"/>
      <c r="G139" s="1917"/>
      <c r="H139" s="1917"/>
      <c r="I139" s="1917"/>
      <c r="J139" s="1917"/>
      <c r="K139" s="1906"/>
    </row>
    <row r="140" spans="2:17" x14ac:dyDescent="0.45">
      <c r="C140" s="1917"/>
      <c r="D140" s="1917"/>
      <c r="E140" s="1917"/>
      <c r="F140" s="1917"/>
      <c r="G140" s="1917"/>
      <c r="H140" s="1917"/>
      <c r="I140" s="1917"/>
      <c r="J140" s="1917"/>
      <c r="K140" s="1906"/>
    </row>
    <row r="141" spans="2:17" x14ac:dyDescent="0.45">
      <c r="C141" s="1917"/>
      <c r="D141" s="1917"/>
      <c r="E141" s="1917"/>
      <c r="F141" s="1917"/>
      <c r="G141" s="1917"/>
      <c r="H141" s="1917"/>
      <c r="I141" s="1917"/>
      <c r="J141" s="1917"/>
      <c r="K141" s="1906"/>
    </row>
    <row r="142" spans="2:17" x14ac:dyDescent="0.45">
      <c r="C142" s="1917"/>
      <c r="D142" s="1917"/>
      <c r="E142" s="1917"/>
      <c r="F142" s="1917"/>
      <c r="G142" s="1917"/>
      <c r="H142" s="1917"/>
      <c r="I142" s="1917"/>
      <c r="J142" s="1917"/>
      <c r="K142" s="1906"/>
    </row>
    <row r="143" spans="2:17" x14ac:dyDescent="0.45">
      <c r="C143" s="1919"/>
      <c r="D143" s="1919"/>
      <c r="E143" s="1919"/>
      <c r="F143" s="1919"/>
      <c r="G143" s="1919"/>
      <c r="H143" s="1919"/>
      <c r="I143" s="1919"/>
      <c r="J143" s="1919"/>
      <c r="K143" s="1907"/>
    </row>
    <row r="144" spans="2:17" x14ac:dyDescent="0.45">
      <c r="C144" s="1917"/>
      <c r="D144" s="1918"/>
      <c r="E144" s="1918"/>
      <c r="F144" s="1918"/>
      <c r="G144" s="1918"/>
      <c r="H144" s="1918"/>
      <c r="I144" s="1918"/>
      <c r="J144" s="1917"/>
      <c r="K144" s="1906"/>
    </row>
    <row r="145" spans="3:11" x14ac:dyDescent="0.45">
      <c r="C145" s="1917"/>
      <c r="D145" s="1920"/>
      <c r="E145" s="1920"/>
      <c r="F145" s="1920"/>
      <c r="G145" s="1920"/>
      <c r="H145" s="1920"/>
      <c r="I145" s="1920"/>
      <c r="J145" s="1917"/>
      <c r="K145" s="1906"/>
    </row>
    <row r="146" spans="3:11" x14ac:dyDescent="0.45">
      <c r="C146" s="1917"/>
      <c r="D146" s="1921"/>
      <c r="E146" s="1921"/>
      <c r="F146" s="1921"/>
      <c r="G146" s="1921"/>
      <c r="H146" s="1921"/>
      <c r="I146" s="1921"/>
      <c r="J146" s="1917"/>
      <c r="K146" s="1906"/>
    </row>
    <row r="147" spans="3:11" x14ac:dyDescent="0.45">
      <c r="C147" s="1917"/>
      <c r="D147" s="1921"/>
      <c r="E147" s="1921"/>
      <c r="F147" s="1921"/>
      <c r="G147" s="1921"/>
      <c r="H147" s="1921"/>
      <c r="I147" s="1921"/>
      <c r="J147" s="1917"/>
      <c r="K147" s="1906"/>
    </row>
    <row r="148" spans="3:11" x14ac:dyDescent="0.45">
      <c r="C148" s="1917"/>
      <c r="D148" s="1921"/>
      <c r="E148" s="1921"/>
      <c r="F148" s="1921"/>
      <c r="G148" s="1921"/>
      <c r="H148" s="1921"/>
      <c r="I148" s="1921"/>
      <c r="J148" s="1917"/>
      <c r="K148" s="1906"/>
    </row>
    <row r="149" spans="3:11" x14ac:dyDescent="0.45">
      <c r="C149" s="1917"/>
      <c r="D149" s="1917"/>
      <c r="E149" s="1917"/>
      <c r="F149" s="1917"/>
      <c r="G149" s="1917"/>
      <c r="H149" s="1917"/>
      <c r="I149" s="1917"/>
      <c r="J149" s="1917"/>
      <c r="K149" s="1906"/>
    </row>
    <row r="150" spans="3:11" x14ac:dyDescent="0.45">
      <c r="C150" s="1917"/>
      <c r="D150" s="1917"/>
      <c r="E150" s="1917"/>
      <c r="F150" s="1917"/>
      <c r="G150" s="1917"/>
      <c r="H150" s="1917"/>
      <c r="I150" s="1917"/>
      <c r="J150" s="1917"/>
      <c r="K150" s="1906"/>
    </row>
    <row r="151" spans="3:11" x14ac:dyDescent="0.45">
      <c r="C151" s="1917"/>
      <c r="D151" s="1917"/>
      <c r="E151" s="1917"/>
      <c r="F151" s="1917"/>
      <c r="G151" s="1917"/>
      <c r="H151" s="1917"/>
      <c r="I151" s="1917"/>
      <c r="J151" s="1917"/>
      <c r="K151" s="1906"/>
    </row>
    <row r="152" spans="3:11" x14ac:dyDescent="0.45">
      <c r="C152" s="1917"/>
      <c r="D152" s="1917"/>
      <c r="E152" s="1917"/>
      <c r="F152" s="1917"/>
      <c r="G152" s="1917"/>
      <c r="H152" s="1917"/>
      <c r="I152" s="1917"/>
      <c r="J152" s="1917"/>
      <c r="K152" s="1906"/>
    </row>
    <row r="153" spans="3:11" x14ac:dyDescent="0.45">
      <c r="C153" s="1919"/>
      <c r="D153" s="1919"/>
      <c r="E153" s="1919"/>
      <c r="F153" s="1919"/>
      <c r="G153" s="1919"/>
      <c r="H153" s="1919"/>
      <c r="I153" s="1919"/>
      <c r="J153" s="1919"/>
      <c r="K153" s="1907"/>
    </row>
    <row r="154" spans="3:11" x14ac:dyDescent="0.45">
      <c r="C154" s="1917"/>
      <c r="D154" s="1920"/>
      <c r="E154" s="1920"/>
      <c r="F154" s="1920"/>
      <c r="G154" s="1920"/>
      <c r="H154" s="1920"/>
      <c r="I154" s="1920"/>
      <c r="J154" s="1917"/>
      <c r="K154" s="1906"/>
    </row>
    <row r="155" spans="3:11" x14ac:dyDescent="0.45">
      <c r="C155" s="1917"/>
      <c r="D155" s="1920"/>
      <c r="E155" s="1920"/>
      <c r="F155" s="1920"/>
      <c r="G155" s="1920"/>
      <c r="H155" s="1920"/>
      <c r="I155" s="1920"/>
      <c r="J155" s="1917"/>
      <c r="K155" s="1906"/>
    </row>
    <row r="156" spans="3:11" x14ac:dyDescent="0.45">
      <c r="C156" s="1917"/>
      <c r="D156" s="1920"/>
      <c r="E156" s="1920"/>
      <c r="F156" s="1920"/>
      <c r="G156" s="1920"/>
      <c r="H156" s="1920"/>
      <c r="I156" s="1920"/>
      <c r="J156" s="1917"/>
      <c r="K156" s="1906"/>
    </row>
    <row r="157" spans="3:11" x14ac:dyDescent="0.45">
      <c r="C157" s="1917"/>
      <c r="D157" s="1917"/>
      <c r="E157" s="1917"/>
      <c r="F157" s="1917"/>
      <c r="G157" s="1917"/>
      <c r="H157" s="1917"/>
      <c r="I157" s="1917"/>
      <c r="J157" s="1917"/>
      <c r="K157" s="1906"/>
    </row>
    <row r="158" spans="3:11" x14ac:dyDescent="0.45">
      <c r="C158" s="1917"/>
      <c r="D158" s="1917"/>
      <c r="E158" s="1917"/>
      <c r="F158" s="1917"/>
      <c r="G158" s="1917"/>
      <c r="H158" s="1917"/>
      <c r="I158" s="1917"/>
      <c r="J158" s="1917"/>
      <c r="K158" s="1906"/>
    </row>
    <row r="159" spans="3:11" x14ac:dyDescent="0.45">
      <c r="C159" s="1917"/>
      <c r="D159" s="1917"/>
      <c r="E159" s="1917"/>
      <c r="F159" s="1917"/>
      <c r="G159" s="1917"/>
      <c r="H159" s="1917"/>
      <c r="I159" s="1917"/>
      <c r="J159" s="1917"/>
      <c r="K159" s="1906"/>
    </row>
    <row r="160" spans="3:11" x14ac:dyDescent="0.45">
      <c r="C160" s="1919"/>
      <c r="D160" s="1919"/>
      <c r="E160" s="1919"/>
      <c r="F160" s="1919"/>
      <c r="G160" s="1919"/>
      <c r="H160" s="1919"/>
      <c r="I160" s="1919"/>
      <c r="J160" s="1919"/>
      <c r="K160" s="1907"/>
    </row>
    <row r="161" spans="3:11" x14ac:dyDescent="0.45">
      <c r="C161" s="1917"/>
      <c r="D161" s="1920"/>
      <c r="E161" s="1920"/>
      <c r="F161" s="1920"/>
      <c r="G161" s="1920"/>
      <c r="H161" s="1920"/>
      <c r="I161" s="1920"/>
      <c r="J161" s="1917"/>
      <c r="K161" s="1906"/>
    </row>
    <row r="162" spans="3:11" x14ac:dyDescent="0.45">
      <c r="C162" s="1917"/>
      <c r="D162" s="1920"/>
      <c r="E162" s="1920"/>
      <c r="F162" s="1920"/>
      <c r="G162" s="1920"/>
      <c r="H162" s="1920"/>
      <c r="I162" s="1920"/>
      <c r="J162" s="1917"/>
      <c r="K162" s="1906"/>
    </row>
    <row r="163" spans="3:11" x14ac:dyDescent="0.45">
      <c r="C163" s="1917"/>
      <c r="D163" s="1920"/>
      <c r="E163" s="1920"/>
      <c r="F163" s="1920"/>
      <c r="G163" s="1920"/>
      <c r="H163" s="1920"/>
      <c r="I163" s="1920"/>
      <c r="J163" s="1917"/>
      <c r="K163" s="1906"/>
    </row>
    <row r="164" spans="3:11" x14ac:dyDescent="0.45">
      <c r="C164" s="1917"/>
      <c r="D164" s="1920"/>
      <c r="E164" s="1920"/>
      <c r="F164" s="1920"/>
      <c r="G164" s="1920"/>
      <c r="H164" s="1920"/>
      <c r="I164" s="1920"/>
      <c r="J164" s="1917"/>
      <c r="K164" s="1906"/>
    </row>
    <row r="165" spans="3:11" x14ac:dyDescent="0.45">
      <c r="C165" s="1917"/>
      <c r="D165" s="1917"/>
      <c r="E165" s="1917"/>
      <c r="F165" s="1917"/>
      <c r="G165" s="1917"/>
      <c r="H165" s="1917"/>
      <c r="I165" s="1917"/>
      <c r="J165" s="1917"/>
      <c r="K165" s="1906"/>
    </row>
    <row r="166" spans="3:11" x14ac:dyDescent="0.45">
      <c r="C166" s="1917"/>
      <c r="D166" s="1917"/>
      <c r="E166" s="1917"/>
      <c r="F166" s="1917"/>
      <c r="G166" s="1917"/>
      <c r="H166" s="1917"/>
      <c r="I166" s="1917"/>
      <c r="J166" s="1917"/>
      <c r="K166" s="1906"/>
    </row>
    <row r="167" spans="3:11" x14ac:dyDescent="0.45">
      <c r="C167" s="1917"/>
      <c r="D167" s="1917"/>
      <c r="E167" s="1917"/>
      <c r="F167" s="1917"/>
      <c r="G167" s="1917"/>
      <c r="H167" s="1917"/>
      <c r="I167" s="1917"/>
      <c r="J167" s="1917"/>
      <c r="K167" s="1906"/>
    </row>
    <row r="168" spans="3:11" x14ac:dyDescent="0.45">
      <c r="C168" s="1917"/>
      <c r="D168" s="1917"/>
      <c r="E168" s="1917"/>
      <c r="F168" s="1917"/>
      <c r="G168" s="1917"/>
      <c r="H168" s="1917"/>
      <c r="I168" s="1917"/>
      <c r="J168" s="1917"/>
      <c r="K168" s="1906"/>
    </row>
    <row r="169" spans="3:11" ht="18" x14ac:dyDescent="0.55000000000000004">
      <c r="C169" s="1922"/>
      <c r="D169" s="1917"/>
      <c r="E169" s="1917"/>
      <c r="F169" s="1917"/>
      <c r="G169" s="1917"/>
      <c r="H169" s="1917"/>
      <c r="I169" s="1917"/>
      <c r="J169" s="1917"/>
      <c r="K169" s="1906"/>
    </row>
    <row r="170" spans="3:11" x14ac:dyDescent="0.45">
      <c r="C170" s="1917"/>
      <c r="D170" s="1917"/>
      <c r="E170" s="1917"/>
      <c r="F170" s="1917"/>
      <c r="G170" s="1917"/>
      <c r="H170" s="1917"/>
      <c r="I170" s="1917"/>
      <c r="J170" s="1917"/>
      <c r="K170" s="1906"/>
    </row>
    <row r="171" spans="3:11" x14ac:dyDescent="0.45">
      <c r="C171" s="1917"/>
      <c r="D171" s="1917"/>
      <c r="E171" s="1917"/>
      <c r="F171" s="1917"/>
      <c r="G171" s="1917"/>
      <c r="H171" s="1917"/>
      <c r="I171" s="1917"/>
      <c r="J171" s="1917"/>
      <c r="K171" s="1906"/>
    </row>
    <row r="172" spans="3:11" x14ac:dyDescent="0.45">
      <c r="C172" s="1917"/>
      <c r="D172" s="1917"/>
      <c r="E172" s="1917"/>
      <c r="F172" s="1917"/>
      <c r="G172" s="1917"/>
      <c r="H172" s="1917"/>
      <c r="I172" s="1917"/>
      <c r="J172" s="1917"/>
      <c r="K172" s="1906"/>
    </row>
    <row r="173" spans="3:11" x14ac:dyDescent="0.45">
      <c r="C173" s="1917"/>
      <c r="D173" s="1917"/>
      <c r="E173" s="1917"/>
      <c r="F173" s="1917"/>
      <c r="G173" s="1917"/>
      <c r="H173" s="1917"/>
      <c r="I173" s="1917"/>
      <c r="J173" s="1917"/>
      <c r="K173" s="1906"/>
    </row>
    <row r="174" spans="3:11" x14ac:dyDescent="0.45">
      <c r="C174" s="1919"/>
      <c r="D174" s="1919"/>
      <c r="E174" s="1919"/>
      <c r="F174" s="1919"/>
      <c r="G174" s="1919"/>
      <c r="H174" s="1919"/>
      <c r="I174" s="1919"/>
      <c r="J174" s="1919"/>
      <c r="K174" s="1907"/>
    </row>
    <row r="175" spans="3:11" x14ac:dyDescent="0.45">
      <c r="C175" s="1917"/>
      <c r="D175" s="1923"/>
      <c r="E175" s="1923"/>
      <c r="F175" s="1923"/>
      <c r="G175" s="1923"/>
      <c r="H175" s="1923"/>
      <c r="I175" s="1923"/>
      <c r="J175" s="1917"/>
      <c r="K175" s="1906"/>
    </row>
    <row r="176" spans="3:11" x14ac:dyDescent="0.45">
      <c r="C176" s="1924"/>
      <c r="D176" s="1925"/>
      <c r="E176" s="1925"/>
      <c r="F176" s="1925"/>
      <c r="G176" s="1925"/>
      <c r="H176" s="1925"/>
      <c r="I176" s="1925"/>
      <c r="J176" s="1917"/>
      <c r="K176" s="1906"/>
    </row>
    <row r="177" spans="3:11" x14ac:dyDescent="0.45">
      <c r="C177" s="1917"/>
      <c r="D177" s="1918"/>
      <c r="E177" s="1918"/>
      <c r="F177" s="1918"/>
      <c r="G177" s="1918"/>
      <c r="H177" s="1918"/>
      <c r="I177" s="1918"/>
      <c r="J177" s="1917"/>
      <c r="K177" s="1908"/>
    </row>
    <row r="178" spans="3:11" x14ac:dyDescent="0.45">
      <c r="C178" s="1917"/>
      <c r="D178" s="1921"/>
      <c r="E178" s="1921"/>
      <c r="F178" s="1921"/>
      <c r="G178" s="1921"/>
      <c r="H178" s="1921"/>
      <c r="I178" s="1921"/>
      <c r="J178" s="1917"/>
      <c r="K178" s="1906"/>
    </row>
    <row r="179" spans="3:11" x14ac:dyDescent="0.45">
      <c r="C179" s="1917"/>
      <c r="D179" s="1921"/>
      <c r="E179" s="1921"/>
      <c r="F179" s="1921"/>
      <c r="G179" s="1921"/>
      <c r="H179" s="1921"/>
      <c r="I179" s="1921"/>
      <c r="J179" s="1917"/>
      <c r="K179" s="1906"/>
    </row>
    <row r="180" spans="3:11" x14ac:dyDescent="0.45">
      <c r="C180" s="1917"/>
      <c r="D180" s="1921"/>
      <c r="E180" s="1921"/>
      <c r="F180" s="1921"/>
      <c r="G180" s="1921"/>
      <c r="H180" s="1921"/>
      <c r="I180" s="1921"/>
      <c r="J180" s="1917"/>
      <c r="K180" s="1906"/>
    </row>
    <row r="181" spans="3:11" x14ac:dyDescent="0.45">
      <c r="C181" s="1917"/>
      <c r="D181" s="1917"/>
      <c r="E181" s="1917"/>
      <c r="F181" s="1917"/>
      <c r="G181" s="1917"/>
      <c r="H181" s="1917"/>
      <c r="I181" s="1917"/>
      <c r="J181" s="1917"/>
      <c r="K181" s="1906"/>
    </row>
    <row r="182" spans="3:11" x14ac:dyDescent="0.45">
      <c r="C182" s="1917"/>
      <c r="D182" s="1918"/>
      <c r="E182" s="1918"/>
      <c r="F182" s="1918"/>
      <c r="G182" s="1918"/>
      <c r="H182" s="1918"/>
      <c r="I182" s="1918"/>
      <c r="J182" s="1917"/>
      <c r="K182" s="1906"/>
    </row>
    <row r="183" spans="3:11" x14ac:dyDescent="0.45">
      <c r="C183" s="1917"/>
      <c r="D183" s="1918"/>
      <c r="E183" s="1918"/>
      <c r="F183" s="1918"/>
      <c r="G183" s="1918"/>
      <c r="H183" s="1918"/>
      <c r="I183" s="1918"/>
      <c r="J183" s="1917"/>
      <c r="K183" s="1906"/>
    </row>
    <row r="184" spans="3:11" x14ac:dyDescent="0.45">
      <c r="C184" s="1917"/>
      <c r="D184" s="1918"/>
      <c r="E184" s="1918"/>
      <c r="F184" s="1918"/>
      <c r="G184" s="1918"/>
      <c r="H184" s="1918"/>
      <c r="I184" s="1918"/>
      <c r="J184" s="1917"/>
      <c r="K184" s="1906"/>
    </row>
    <row r="185" spans="3:11" x14ac:dyDescent="0.45">
      <c r="C185" s="1917"/>
      <c r="D185" s="1917"/>
      <c r="E185" s="1917"/>
      <c r="F185" s="1917"/>
      <c r="G185" s="1917"/>
      <c r="H185" s="1917"/>
      <c r="I185" s="1917"/>
      <c r="J185" s="1917"/>
      <c r="K185" s="1906"/>
    </row>
    <row r="186" spans="3:11" x14ac:dyDescent="0.45">
      <c r="C186" s="1917"/>
      <c r="D186" s="1917"/>
      <c r="E186" s="1917"/>
      <c r="F186" s="1917"/>
      <c r="G186" s="1917"/>
      <c r="H186" s="1917"/>
      <c r="I186" s="1917"/>
      <c r="J186" s="1917"/>
      <c r="K186" s="1906"/>
    </row>
    <row r="187" spans="3:11" x14ac:dyDescent="0.45">
      <c r="C187" s="1917"/>
      <c r="D187" s="1917"/>
      <c r="E187" s="1917"/>
      <c r="F187" s="1917"/>
      <c r="G187" s="1917"/>
      <c r="H187" s="1917"/>
      <c r="I187" s="1917"/>
      <c r="J187" s="1917"/>
      <c r="K187" s="1906"/>
    </row>
    <row r="188" spans="3:11" x14ac:dyDescent="0.45">
      <c r="C188" s="1917"/>
      <c r="D188" s="1917"/>
      <c r="E188" s="1917"/>
      <c r="F188" s="1917"/>
      <c r="G188" s="1917"/>
      <c r="H188" s="1917"/>
      <c r="I188" s="1917"/>
      <c r="J188" s="1917"/>
      <c r="K188" s="1906"/>
    </row>
    <row r="189" spans="3:11" x14ac:dyDescent="0.45">
      <c r="C189" s="1919"/>
      <c r="D189" s="1919"/>
      <c r="E189" s="1919"/>
      <c r="F189" s="1919"/>
      <c r="G189" s="1919"/>
      <c r="H189" s="1919"/>
      <c r="I189" s="1919"/>
      <c r="J189" s="1919"/>
      <c r="K189" s="1907"/>
    </row>
    <row r="190" spans="3:11" x14ac:dyDescent="0.45">
      <c r="C190" s="1917"/>
      <c r="D190" s="1918"/>
      <c r="E190" s="1918"/>
      <c r="F190" s="1918"/>
      <c r="G190" s="1918"/>
      <c r="H190" s="1918"/>
      <c r="I190" s="1918"/>
      <c r="J190" s="1917"/>
      <c r="K190" s="1906"/>
    </row>
    <row r="191" spans="3:11" x14ac:dyDescent="0.45">
      <c r="C191" s="1917"/>
      <c r="D191" s="1920"/>
      <c r="E191" s="1920"/>
      <c r="F191" s="1920"/>
      <c r="G191" s="1920"/>
      <c r="H191" s="1920"/>
      <c r="I191" s="1920"/>
      <c r="J191" s="1917"/>
      <c r="K191" s="1906"/>
    </row>
    <row r="192" spans="3:11" x14ac:dyDescent="0.45">
      <c r="C192" s="1917"/>
      <c r="D192" s="1921"/>
      <c r="E192" s="1921"/>
      <c r="F192" s="1921"/>
      <c r="G192" s="1921"/>
      <c r="H192" s="1921"/>
      <c r="I192" s="1921"/>
      <c r="J192" s="1917"/>
      <c r="K192" s="1906"/>
    </row>
    <row r="193" spans="3:11" x14ac:dyDescent="0.45">
      <c r="C193" s="1917"/>
      <c r="D193" s="1921"/>
      <c r="E193" s="1921"/>
      <c r="F193" s="1921"/>
      <c r="G193" s="1921"/>
      <c r="H193" s="1921"/>
      <c r="I193" s="1921"/>
      <c r="J193" s="1917"/>
      <c r="K193" s="1906"/>
    </row>
    <row r="194" spans="3:11" x14ac:dyDescent="0.45">
      <c r="C194" s="1917"/>
      <c r="D194" s="1921"/>
      <c r="E194" s="1921"/>
      <c r="F194" s="1921"/>
      <c r="G194" s="1921"/>
      <c r="H194" s="1921"/>
      <c r="I194" s="1921"/>
      <c r="J194" s="1917"/>
      <c r="K194" s="1906"/>
    </row>
    <row r="195" spans="3:11" x14ac:dyDescent="0.45">
      <c r="C195" s="1917"/>
      <c r="D195" s="1917"/>
      <c r="E195" s="1917"/>
      <c r="F195" s="1917"/>
      <c r="G195" s="1917"/>
      <c r="H195" s="1917"/>
      <c r="I195" s="1917"/>
      <c r="J195" s="1917"/>
      <c r="K195" s="1906"/>
    </row>
    <row r="196" spans="3:11" x14ac:dyDescent="0.45">
      <c r="C196" s="1917"/>
      <c r="D196" s="1917"/>
      <c r="E196" s="1917"/>
      <c r="F196" s="1917"/>
      <c r="G196" s="1917"/>
      <c r="H196" s="1917"/>
      <c r="I196" s="1917"/>
      <c r="J196" s="1917"/>
      <c r="K196" s="1906"/>
    </row>
    <row r="197" spans="3:11" x14ac:dyDescent="0.45">
      <c r="C197" s="1917"/>
      <c r="D197" s="1917"/>
      <c r="E197" s="1917"/>
      <c r="F197" s="1917"/>
      <c r="G197" s="1917"/>
      <c r="H197" s="1917"/>
      <c r="I197" s="1917"/>
      <c r="J197" s="1917"/>
      <c r="K197" s="1906"/>
    </row>
    <row r="198" spans="3:11" x14ac:dyDescent="0.45">
      <c r="C198" s="1917"/>
      <c r="D198" s="1917"/>
      <c r="E198" s="1917"/>
      <c r="F198" s="1917"/>
      <c r="G198" s="1917"/>
      <c r="H198" s="1917"/>
      <c r="I198" s="1917"/>
      <c r="J198" s="1917"/>
      <c r="K198" s="1906"/>
    </row>
    <row r="199" spans="3:11" x14ac:dyDescent="0.45">
      <c r="C199" s="1919"/>
      <c r="D199" s="1919"/>
      <c r="E199" s="1919"/>
      <c r="F199" s="1919"/>
      <c r="G199" s="1919"/>
      <c r="H199" s="1919"/>
      <c r="I199" s="1919"/>
      <c r="J199" s="1919"/>
      <c r="K199" s="1907"/>
    </row>
    <row r="200" spans="3:11" x14ac:dyDescent="0.45">
      <c r="C200" s="1917"/>
      <c r="D200" s="1920"/>
      <c r="E200" s="1920"/>
      <c r="F200" s="1920"/>
      <c r="G200" s="1920"/>
      <c r="H200" s="1920"/>
      <c r="I200" s="1920"/>
      <c r="J200" s="1917"/>
      <c r="K200" s="1906"/>
    </row>
    <row r="201" spans="3:11" x14ac:dyDescent="0.45">
      <c r="C201" s="1917"/>
      <c r="D201" s="1920"/>
      <c r="E201" s="1920"/>
      <c r="F201" s="1920"/>
      <c r="G201" s="1920"/>
      <c r="H201" s="1920"/>
      <c r="I201" s="1920"/>
      <c r="J201" s="1917"/>
      <c r="K201" s="1906"/>
    </row>
    <row r="202" spans="3:11" x14ac:dyDescent="0.45">
      <c r="C202" s="1917"/>
      <c r="D202" s="1920"/>
      <c r="E202" s="1920"/>
      <c r="F202" s="1920"/>
      <c r="G202" s="1920"/>
      <c r="H202" s="1920"/>
      <c r="I202" s="1920"/>
      <c r="J202" s="1917"/>
      <c r="K202" s="1906"/>
    </row>
    <row r="203" spans="3:11" x14ac:dyDescent="0.45">
      <c r="C203" s="1917"/>
      <c r="D203" s="1917"/>
      <c r="E203" s="1917"/>
      <c r="F203" s="1917"/>
      <c r="G203" s="1917"/>
      <c r="H203" s="1917"/>
      <c r="I203" s="1917"/>
      <c r="J203" s="1917"/>
      <c r="K203" s="1906"/>
    </row>
    <row r="204" spans="3:11" x14ac:dyDescent="0.45">
      <c r="C204" s="1917"/>
      <c r="D204" s="1917"/>
      <c r="E204" s="1917"/>
      <c r="F204" s="1917"/>
      <c r="G204" s="1917"/>
      <c r="H204" s="1917"/>
      <c r="I204" s="1917"/>
      <c r="J204" s="1917"/>
      <c r="K204" s="1906"/>
    </row>
    <row r="205" spans="3:11" x14ac:dyDescent="0.45">
      <c r="C205" s="1917"/>
      <c r="D205" s="1917"/>
      <c r="E205" s="1917"/>
      <c r="F205" s="1917"/>
      <c r="G205" s="1917"/>
      <c r="H205" s="1917"/>
      <c r="I205" s="1917"/>
      <c r="J205" s="1917"/>
      <c r="K205" s="1906"/>
    </row>
    <row r="206" spans="3:11" x14ac:dyDescent="0.45">
      <c r="C206" s="1919"/>
      <c r="D206" s="1919"/>
      <c r="E206" s="1919"/>
      <c r="F206" s="1919"/>
      <c r="G206" s="1919"/>
      <c r="H206" s="1919"/>
      <c r="I206" s="1919"/>
      <c r="J206" s="1919"/>
      <c r="K206" s="1907"/>
    </row>
    <row r="207" spans="3:11" x14ac:dyDescent="0.45">
      <c r="C207" s="1917"/>
      <c r="D207" s="1920"/>
      <c r="E207" s="1920"/>
      <c r="F207" s="1920"/>
      <c r="G207" s="1920"/>
      <c r="H207" s="1920"/>
      <c r="I207" s="1920"/>
      <c r="J207" s="1917"/>
      <c r="K207" s="1906"/>
    </row>
    <row r="208" spans="3:11" x14ac:dyDescent="0.45">
      <c r="C208" s="1917"/>
      <c r="D208" s="1920"/>
      <c r="E208" s="1920"/>
      <c r="F208" s="1920"/>
      <c r="G208" s="1920"/>
      <c r="H208" s="1920"/>
      <c r="I208" s="1920"/>
      <c r="J208" s="1917"/>
      <c r="K208" s="1906"/>
    </row>
    <row r="209" spans="3:20" x14ac:dyDescent="0.45">
      <c r="C209" s="1917"/>
      <c r="D209" s="1920"/>
      <c r="E209" s="1920"/>
      <c r="F209" s="1920"/>
      <c r="G209" s="1920"/>
      <c r="H209" s="1920"/>
      <c r="I209" s="1920"/>
      <c r="J209" s="1917"/>
      <c r="K209" s="1906"/>
    </row>
    <row r="210" spans="3:20" x14ac:dyDescent="0.45">
      <c r="C210" s="1917"/>
      <c r="D210" s="1920"/>
      <c r="E210" s="1920"/>
      <c r="F210" s="1920"/>
      <c r="G210" s="1920"/>
      <c r="H210" s="1920"/>
      <c r="I210" s="1920"/>
      <c r="J210" s="1917"/>
      <c r="K210" s="1906"/>
    </row>
    <row r="213" spans="3:20" x14ac:dyDescent="0.45">
      <c r="C213" s="1926"/>
      <c r="D213" s="1913"/>
      <c r="O213" s="1875"/>
    </row>
    <row r="214" spans="3:20" x14ac:dyDescent="0.45">
      <c r="C214" s="1926"/>
    </row>
    <row r="215" spans="3:20" x14ac:dyDescent="0.45">
      <c r="C215" s="1927"/>
      <c r="D215" s="1927"/>
      <c r="E215" s="1927"/>
      <c r="F215" s="1927"/>
      <c r="G215" s="1927"/>
      <c r="H215" s="1927"/>
      <c r="I215" s="1927"/>
      <c r="J215" s="1927"/>
      <c r="K215" s="1874"/>
      <c r="L215" s="1874"/>
      <c r="M215" s="1874"/>
      <c r="N215" s="1874"/>
      <c r="O215" s="1874"/>
      <c r="P215" s="1874"/>
      <c r="Q215" s="1874"/>
      <c r="R215" s="1874"/>
      <c r="S215" s="1874"/>
      <c r="T215" s="1874"/>
    </row>
    <row r="216" spans="3:20" x14ac:dyDescent="0.45">
      <c r="C216" s="1928"/>
      <c r="D216" s="1928"/>
      <c r="E216" s="1928"/>
      <c r="F216" s="1928"/>
      <c r="G216" s="1928"/>
      <c r="H216" s="1928"/>
      <c r="I216" s="1928"/>
      <c r="J216" s="1928"/>
      <c r="K216" s="1876"/>
      <c r="L216" s="1876"/>
      <c r="M216" s="1876"/>
      <c r="N216" s="1876"/>
      <c r="O216" s="1876"/>
      <c r="P216" s="1876"/>
      <c r="Q216" s="1876"/>
      <c r="R216" s="1876"/>
      <c r="S216" s="1876"/>
      <c r="T216" s="1875"/>
    </row>
    <row r="217" spans="3:20" x14ac:dyDescent="0.45">
      <c r="C217" s="1928"/>
      <c r="D217" s="1928"/>
      <c r="E217" s="1928"/>
      <c r="F217" s="1928"/>
      <c r="G217" s="1928"/>
      <c r="H217" s="1928"/>
      <c r="I217" s="1928"/>
      <c r="J217" s="1928"/>
      <c r="K217" s="1876"/>
      <c r="L217" s="1876"/>
      <c r="M217" s="1876"/>
      <c r="N217" s="1876"/>
      <c r="O217" s="1876"/>
      <c r="P217" s="1876"/>
      <c r="Q217" s="1876"/>
      <c r="R217" s="1876"/>
      <c r="S217" s="1876"/>
      <c r="T217" s="1875"/>
    </row>
    <row r="218" spans="3:20" x14ac:dyDescent="0.45">
      <c r="C218" s="1928"/>
      <c r="D218" s="1928"/>
      <c r="E218" s="1928"/>
      <c r="F218" s="1928"/>
      <c r="G218" s="1928"/>
      <c r="H218" s="1928"/>
      <c r="I218" s="1928"/>
      <c r="J218" s="1928"/>
      <c r="K218" s="1876"/>
      <c r="L218" s="1876"/>
      <c r="M218" s="1876"/>
      <c r="N218" s="1876"/>
      <c r="O218" s="1876"/>
      <c r="P218" s="1876"/>
      <c r="Q218" s="1876"/>
      <c r="R218" s="1876"/>
      <c r="S218" s="1876"/>
      <c r="T218" s="1875"/>
    </row>
    <row r="219" spans="3:20" x14ac:dyDescent="0.45">
      <c r="C219" s="1928"/>
      <c r="D219" s="1928"/>
      <c r="E219" s="1928"/>
      <c r="F219" s="1928"/>
      <c r="G219" s="1928"/>
      <c r="H219" s="1928"/>
      <c r="I219" s="1928"/>
      <c r="J219" s="1928"/>
      <c r="K219" s="1876"/>
      <c r="L219" s="1876"/>
      <c r="M219" s="1876"/>
      <c r="N219" s="1876"/>
      <c r="O219" s="1876"/>
      <c r="P219" s="1876"/>
      <c r="Q219" s="1876"/>
      <c r="R219" s="1876"/>
      <c r="S219" s="1876"/>
      <c r="T219" s="1875"/>
    </row>
    <row r="220" spans="3:20" x14ac:dyDescent="0.45">
      <c r="C220" s="1928"/>
      <c r="D220" s="1928"/>
      <c r="E220" s="1928"/>
      <c r="F220" s="1928"/>
      <c r="G220" s="1928"/>
      <c r="H220" s="1928"/>
      <c r="I220" s="1928"/>
      <c r="J220" s="1928"/>
      <c r="K220" s="1876"/>
      <c r="L220" s="1876"/>
      <c r="M220" s="1876"/>
      <c r="N220" s="1876"/>
      <c r="O220" s="1876"/>
      <c r="P220" s="1876"/>
      <c r="Q220" s="1876"/>
      <c r="R220" s="1876"/>
      <c r="S220" s="1876"/>
      <c r="T220" s="1875"/>
    </row>
    <row r="221" spans="3:20" x14ac:dyDescent="0.45">
      <c r="C221" s="1928"/>
      <c r="D221" s="1928"/>
      <c r="E221" s="1928"/>
      <c r="F221" s="1928"/>
      <c r="G221" s="1928"/>
      <c r="H221" s="1928"/>
      <c r="I221" s="1928"/>
      <c r="J221" s="1928"/>
      <c r="K221" s="1876"/>
      <c r="L221" s="1876"/>
      <c r="M221" s="1876"/>
      <c r="N221" s="1876"/>
      <c r="O221" s="1876"/>
      <c r="P221" s="1876"/>
      <c r="Q221" s="1876"/>
      <c r="R221" s="1876"/>
      <c r="S221" s="1876"/>
      <c r="T221" s="1875"/>
    </row>
    <row r="223" spans="3:20" x14ac:dyDescent="0.45">
      <c r="C223" s="1927"/>
    </row>
    <row r="224" spans="3:20" x14ac:dyDescent="0.45">
      <c r="C224" s="1927"/>
      <c r="D224" s="1927"/>
      <c r="E224" s="1927"/>
      <c r="F224" s="1927"/>
      <c r="G224" s="1927"/>
      <c r="H224" s="1927"/>
      <c r="I224" s="1927"/>
      <c r="J224" s="1927"/>
      <c r="K224" s="1874"/>
      <c r="L224" s="1874"/>
      <c r="M224" s="1874"/>
      <c r="N224" s="1874"/>
      <c r="O224" s="1874"/>
      <c r="P224" s="1874"/>
      <c r="Q224" s="1874"/>
      <c r="R224" s="1874"/>
      <c r="S224" s="1874"/>
      <c r="T224" s="1874"/>
    </row>
    <row r="225" spans="3:20" x14ac:dyDescent="0.45">
      <c r="C225" s="1928"/>
      <c r="D225" s="1928"/>
      <c r="E225" s="1928"/>
      <c r="F225" s="1928"/>
      <c r="G225" s="1928"/>
      <c r="H225" s="1928"/>
      <c r="I225" s="1928"/>
      <c r="J225" s="1928"/>
      <c r="K225" s="1876"/>
      <c r="L225" s="1876"/>
      <c r="M225" s="1876"/>
      <c r="N225" s="1876"/>
      <c r="O225" s="1876"/>
      <c r="P225" s="1876"/>
      <c r="Q225" s="1876"/>
      <c r="R225" s="1876"/>
      <c r="S225" s="1876"/>
      <c r="T225" s="1875"/>
    </row>
    <row r="226" spans="3:20" x14ac:dyDescent="0.45">
      <c r="C226" s="1928"/>
      <c r="D226" s="1928"/>
      <c r="E226" s="1928"/>
      <c r="F226" s="1928"/>
      <c r="G226" s="1928"/>
      <c r="H226" s="1928"/>
      <c r="I226" s="1928"/>
      <c r="J226" s="1928"/>
      <c r="K226" s="1876"/>
      <c r="L226" s="1876"/>
      <c r="M226" s="1876"/>
      <c r="N226" s="1876"/>
      <c r="O226" s="1876"/>
      <c r="P226" s="1876"/>
      <c r="Q226" s="1876"/>
      <c r="R226" s="1876"/>
      <c r="S226" s="1876"/>
      <c r="T226" s="1875"/>
    </row>
    <row r="227" spans="3:20" x14ac:dyDescent="0.45">
      <c r="C227" s="1928"/>
      <c r="D227" s="1928"/>
      <c r="E227" s="1928"/>
      <c r="F227" s="1928"/>
      <c r="G227" s="1928"/>
      <c r="H227" s="1928"/>
      <c r="I227" s="1928"/>
      <c r="J227" s="1928"/>
      <c r="K227" s="1876"/>
      <c r="L227" s="1876"/>
      <c r="M227" s="1876"/>
      <c r="N227" s="1876"/>
      <c r="O227" s="1876"/>
      <c r="P227" s="1876"/>
      <c r="Q227" s="1876"/>
      <c r="R227" s="1876"/>
      <c r="S227" s="1876"/>
      <c r="T227" s="1875"/>
    </row>
    <row r="228" spans="3:20" x14ac:dyDescent="0.45">
      <c r="C228" s="1928"/>
      <c r="D228" s="1928"/>
      <c r="E228" s="1928"/>
      <c r="F228" s="1928"/>
      <c r="G228" s="1928"/>
      <c r="H228" s="1928"/>
      <c r="I228" s="1928"/>
      <c r="J228" s="1928"/>
      <c r="K228" s="1876"/>
      <c r="L228" s="1876"/>
      <c r="M228" s="1876"/>
      <c r="N228" s="1876"/>
      <c r="O228" s="1876"/>
      <c r="P228" s="1876"/>
      <c r="Q228" s="1876"/>
      <c r="R228" s="1876"/>
      <c r="S228" s="1876"/>
      <c r="T228" s="1875"/>
    </row>
    <row r="229" spans="3:20" x14ac:dyDescent="0.45">
      <c r="C229" s="1928"/>
      <c r="D229" s="1928"/>
      <c r="E229" s="1928"/>
      <c r="F229" s="1928"/>
      <c r="G229" s="1928"/>
      <c r="H229" s="1928"/>
      <c r="I229" s="1928"/>
      <c r="J229" s="1928"/>
      <c r="K229" s="1876"/>
      <c r="L229" s="1876"/>
      <c r="M229" s="1876"/>
      <c r="N229" s="1876"/>
      <c r="O229" s="1876"/>
      <c r="P229" s="1876"/>
      <c r="Q229" s="1876"/>
      <c r="R229" s="1876"/>
      <c r="S229" s="1876"/>
      <c r="T229" s="1875"/>
    </row>
    <row r="230" spans="3:20" x14ac:dyDescent="0.45">
      <c r="C230" s="1928"/>
      <c r="D230" s="1928"/>
      <c r="E230" s="1928"/>
      <c r="F230" s="1928"/>
      <c r="G230" s="1928"/>
      <c r="H230" s="1928"/>
      <c r="I230" s="1928"/>
      <c r="J230" s="1928"/>
      <c r="K230" s="1876"/>
      <c r="L230" s="1876"/>
      <c r="M230" s="1876"/>
      <c r="N230" s="1876"/>
      <c r="O230" s="1876"/>
      <c r="P230" s="1876"/>
      <c r="Q230" s="1876"/>
      <c r="R230" s="1876"/>
      <c r="S230" s="1876"/>
      <c r="T230" s="1875"/>
    </row>
    <row r="231" spans="3:20" x14ac:dyDescent="0.45">
      <c r="C231" s="1928"/>
      <c r="D231" s="1928"/>
      <c r="E231" s="1928"/>
      <c r="F231" s="1928"/>
      <c r="G231" s="1928"/>
      <c r="H231" s="1928"/>
      <c r="I231" s="1928"/>
      <c r="J231" s="1928"/>
      <c r="K231" s="1876"/>
      <c r="L231" s="1876"/>
      <c r="M231" s="1876"/>
      <c r="N231" s="1876"/>
      <c r="O231" s="1876"/>
      <c r="P231" s="1876"/>
      <c r="Q231" s="1876"/>
      <c r="R231" s="1876"/>
      <c r="S231" s="1876"/>
      <c r="T231" s="1875"/>
    </row>
    <row r="232" spans="3:20" x14ac:dyDescent="0.45">
      <c r="C232" s="1928"/>
      <c r="D232" s="1928"/>
      <c r="E232" s="1928"/>
      <c r="F232" s="1928"/>
      <c r="G232" s="1928"/>
      <c r="H232" s="1928"/>
      <c r="I232" s="1928"/>
      <c r="J232" s="1928"/>
      <c r="K232" s="1876"/>
      <c r="L232" s="1876"/>
      <c r="M232" s="1876"/>
      <c r="N232" s="1876"/>
      <c r="O232" s="1876"/>
      <c r="P232" s="1876"/>
      <c r="Q232" s="1876"/>
      <c r="R232" s="1876"/>
      <c r="S232" s="1876"/>
      <c r="T232" s="1875"/>
    </row>
    <row r="233" spans="3:20" x14ac:dyDescent="0.45">
      <c r="C233" s="1928"/>
      <c r="D233" s="1928"/>
      <c r="E233" s="1928"/>
      <c r="F233" s="1928"/>
      <c r="G233" s="1928"/>
      <c r="H233" s="1928"/>
      <c r="I233" s="1928"/>
      <c r="J233" s="1928"/>
      <c r="K233" s="1876"/>
      <c r="L233" s="1876"/>
      <c r="M233" s="1876"/>
      <c r="N233" s="1876"/>
      <c r="O233" s="1876"/>
      <c r="P233" s="1876"/>
      <c r="Q233" s="1876"/>
      <c r="R233" s="1876"/>
      <c r="S233" s="1876"/>
      <c r="T233" s="1875"/>
    </row>
    <row r="234" spans="3:20" x14ac:dyDescent="0.45">
      <c r="C234" s="1928"/>
      <c r="D234" s="1928"/>
      <c r="E234" s="1928"/>
      <c r="F234" s="1928"/>
      <c r="G234" s="1928"/>
      <c r="H234" s="1928"/>
      <c r="I234" s="1928"/>
      <c r="J234" s="1928"/>
      <c r="K234" s="1876"/>
      <c r="L234" s="1876"/>
      <c r="M234" s="1876"/>
      <c r="N234" s="1876"/>
      <c r="O234" s="1876"/>
      <c r="P234" s="1876"/>
      <c r="Q234" s="1876"/>
      <c r="R234" s="1876"/>
      <c r="S234" s="1876"/>
      <c r="T234" s="1875"/>
    </row>
    <row r="235" spans="3:20" x14ac:dyDescent="0.45">
      <c r="C235" s="1928"/>
      <c r="D235" s="1928"/>
      <c r="E235" s="1928"/>
      <c r="F235" s="1928"/>
      <c r="G235" s="1928"/>
      <c r="H235" s="1928"/>
      <c r="I235" s="1928"/>
      <c r="J235" s="1928"/>
      <c r="K235" s="1876"/>
      <c r="L235" s="1876"/>
      <c r="M235" s="1876"/>
      <c r="N235" s="1876"/>
      <c r="O235" s="1876"/>
      <c r="P235" s="1876"/>
      <c r="Q235" s="1876"/>
      <c r="R235" s="1876"/>
      <c r="S235" s="1876"/>
      <c r="T235" s="1875"/>
    </row>
    <row r="236" spans="3:20" x14ac:dyDescent="0.45">
      <c r="C236" s="1928"/>
      <c r="D236" s="1928"/>
      <c r="E236" s="1928"/>
      <c r="F236" s="1928"/>
      <c r="G236" s="1928"/>
      <c r="H236" s="1928"/>
      <c r="I236" s="1928"/>
      <c r="J236" s="1928"/>
      <c r="K236" s="1876"/>
      <c r="L236" s="1876"/>
      <c r="M236" s="1876"/>
      <c r="N236" s="1876"/>
      <c r="O236" s="1876"/>
      <c r="P236" s="1876"/>
      <c r="Q236" s="1876"/>
      <c r="R236" s="1876"/>
      <c r="S236" s="1876"/>
      <c r="T236" s="1875"/>
    </row>
    <row r="237" spans="3:20" x14ac:dyDescent="0.45">
      <c r="C237" s="1928"/>
      <c r="D237" s="1928"/>
      <c r="E237" s="1928"/>
      <c r="F237" s="1928"/>
      <c r="G237" s="1928"/>
      <c r="H237" s="1928"/>
      <c r="I237" s="1928"/>
      <c r="J237" s="1928"/>
      <c r="K237" s="1876"/>
      <c r="L237" s="1876"/>
      <c r="M237" s="1876"/>
      <c r="N237" s="1876"/>
      <c r="O237" s="1876"/>
      <c r="P237" s="1876"/>
      <c r="Q237" s="1876"/>
      <c r="R237" s="1876"/>
      <c r="S237" s="1876"/>
      <c r="T237" s="1875"/>
    </row>
    <row r="239" spans="3:20" x14ac:dyDescent="0.45">
      <c r="C239" s="1928"/>
    </row>
    <row r="240" spans="3:20" x14ac:dyDescent="0.45">
      <c r="C240" s="1927"/>
      <c r="D240" s="1927"/>
      <c r="E240" s="1927"/>
      <c r="F240" s="1927"/>
      <c r="G240" s="1927"/>
      <c r="H240" s="1927"/>
      <c r="I240" s="1927"/>
      <c r="J240" s="1927"/>
      <c r="K240" s="1874"/>
      <c r="L240" s="1874"/>
      <c r="M240" s="1874"/>
      <c r="N240" s="1874"/>
      <c r="O240" s="1874"/>
      <c r="P240" s="1874"/>
      <c r="Q240" s="1874"/>
      <c r="R240" s="1874"/>
      <c r="S240" s="1874"/>
    </row>
    <row r="241" spans="3:19" x14ac:dyDescent="0.45">
      <c r="C241" s="1928"/>
      <c r="D241" s="1928"/>
      <c r="E241" s="1928"/>
      <c r="F241" s="1928"/>
      <c r="G241" s="1928"/>
      <c r="H241" s="1928"/>
      <c r="I241" s="1928"/>
      <c r="J241" s="1928"/>
      <c r="K241" s="1876"/>
      <c r="L241" s="1876"/>
      <c r="M241" s="1876"/>
      <c r="N241" s="1876"/>
      <c r="O241" s="1876"/>
      <c r="P241" s="1876"/>
      <c r="Q241" s="1876"/>
      <c r="R241" s="1876"/>
      <c r="S241" s="1876"/>
    </row>
    <row r="242" spans="3:19" x14ac:dyDescent="0.45">
      <c r="C242" s="1928"/>
      <c r="D242" s="1928"/>
      <c r="E242" s="1928"/>
      <c r="F242" s="1928"/>
      <c r="G242" s="1928"/>
      <c r="H242" s="1928"/>
      <c r="I242" s="1928"/>
      <c r="J242" s="1928"/>
      <c r="K242" s="1876"/>
      <c r="L242" s="1876"/>
      <c r="M242" s="1876"/>
      <c r="N242" s="1876"/>
      <c r="O242" s="1876"/>
      <c r="P242" s="1876"/>
      <c r="Q242" s="1876"/>
      <c r="R242" s="1876"/>
      <c r="S242" s="1876"/>
    </row>
    <row r="243" spans="3:19" x14ac:dyDescent="0.45">
      <c r="C243" s="1928"/>
      <c r="D243" s="1928"/>
      <c r="E243" s="1928"/>
      <c r="F243" s="1928"/>
      <c r="G243" s="1928"/>
      <c r="H243" s="1928"/>
      <c r="I243" s="1928"/>
      <c r="J243" s="1928"/>
      <c r="K243" s="1876"/>
      <c r="L243" s="1876"/>
      <c r="M243" s="1876"/>
      <c r="N243" s="1876"/>
      <c r="O243" s="1876"/>
      <c r="P243" s="1876"/>
      <c r="Q243" s="1876"/>
      <c r="R243" s="1876"/>
      <c r="S243" s="1876"/>
    </row>
    <row r="244" spans="3:19" x14ac:dyDescent="0.45">
      <c r="C244" s="1928"/>
      <c r="D244" s="1928"/>
      <c r="E244" s="1928"/>
      <c r="F244" s="1928"/>
      <c r="G244" s="1928"/>
      <c r="H244" s="1928"/>
      <c r="I244" s="1928"/>
      <c r="J244" s="1928"/>
      <c r="K244" s="1876"/>
      <c r="L244" s="1876"/>
      <c r="M244" s="1876"/>
      <c r="N244" s="1876"/>
      <c r="O244" s="1876"/>
      <c r="P244" s="1876"/>
      <c r="Q244" s="1876"/>
      <c r="R244" s="1876"/>
      <c r="S244" s="1876"/>
    </row>
    <row r="245" spans="3:19" x14ac:dyDescent="0.45">
      <c r="C245" s="1928"/>
      <c r="D245" s="1928"/>
      <c r="E245" s="1928"/>
      <c r="F245" s="1928"/>
      <c r="G245" s="1928"/>
      <c r="H245" s="1928"/>
      <c r="I245" s="1928"/>
      <c r="J245" s="1928"/>
      <c r="K245" s="1876"/>
      <c r="L245" s="1876"/>
      <c r="M245" s="1876"/>
      <c r="N245" s="1876"/>
      <c r="O245" s="1876"/>
      <c r="P245" s="1876"/>
      <c r="Q245" s="1876"/>
      <c r="R245" s="1876"/>
      <c r="S245" s="1876"/>
    </row>
    <row r="246" spans="3:19" x14ac:dyDescent="0.45">
      <c r="C246" s="1928"/>
      <c r="D246" s="1928"/>
      <c r="E246" s="1928"/>
      <c r="F246" s="1928"/>
      <c r="G246" s="1928"/>
      <c r="H246" s="1928"/>
      <c r="I246" s="1928"/>
      <c r="J246" s="1928"/>
      <c r="K246" s="1876"/>
      <c r="L246" s="1876"/>
      <c r="M246" s="1876"/>
      <c r="N246" s="1876"/>
      <c r="O246" s="1876"/>
      <c r="P246" s="1876"/>
      <c r="Q246" s="1876"/>
      <c r="R246" s="1876"/>
      <c r="S246" s="1876"/>
    </row>
    <row r="247" spans="3:19" x14ac:dyDescent="0.45">
      <c r="C247" s="1928"/>
      <c r="D247" s="1928"/>
      <c r="E247" s="1928"/>
      <c r="F247" s="1928"/>
      <c r="G247" s="1928"/>
      <c r="H247" s="1928"/>
      <c r="I247" s="1928"/>
      <c r="J247" s="1928"/>
      <c r="K247" s="1876"/>
      <c r="L247" s="1876"/>
      <c r="M247" s="1876"/>
      <c r="N247" s="1876"/>
      <c r="O247" s="1876"/>
      <c r="P247" s="1876"/>
      <c r="Q247" s="1876"/>
      <c r="R247" s="1876"/>
      <c r="S247" s="1876"/>
    </row>
    <row r="248" spans="3:19" x14ac:dyDescent="0.45">
      <c r="C248" s="1928"/>
      <c r="D248" s="1928"/>
      <c r="E248" s="1928"/>
      <c r="F248" s="1928"/>
      <c r="G248" s="1928"/>
      <c r="H248" s="1928"/>
      <c r="I248" s="1928"/>
      <c r="J248" s="1928"/>
      <c r="K248" s="1876"/>
      <c r="L248" s="1876"/>
      <c r="M248" s="1876"/>
      <c r="N248" s="1876"/>
      <c r="O248" s="1876"/>
      <c r="P248" s="1876"/>
      <c r="Q248" s="1876"/>
      <c r="R248" s="1876"/>
      <c r="S248" s="1876"/>
    </row>
    <row r="249" spans="3:19" x14ac:dyDescent="0.45">
      <c r="C249" s="1928"/>
      <c r="D249" s="1928"/>
      <c r="E249" s="1928"/>
      <c r="F249" s="1928"/>
      <c r="G249" s="1928"/>
      <c r="H249" s="1928"/>
      <c r="I249" s="1928"/>
      <c r="J249" s="1928"/>
      <c r="K249" s="1876"/>
      <c r="L249" s="1876"/>
      <c r="M249" s="1876"/>
      <c r="N249" s="1876"/>
      <c r="O249" s="1876"/>
      <c r="P249" s="1876"/>
      <c r="Q249" s="1876"/>
      <c r="R249" s="1876"/>
      <c r="S249" s="1876"/>
    </row>
    <row r="250" spans="3:19" x14ac:dyDescent="0.45">
      <c r="C250" s="1928"/>
      <c r="D250" s="1928"/>
      <c r="E250" s="1928"/>
      <c r="F250" s="1928"/>
      <c r="G250" s="1928"/>
      <c r="H250" s="1928"/>
      <c r="I250" s="1928"/>
      <c r="J250" s="1928"/>
      <c r="K250" s="1876"/>
      <c r="L250" s="1876"/>
      <c r="M250" s="1876"/>
      <c r="N250" s="1876"/>
      <c r="O250" s="1876"/>
      <c r="P250" s="1876"/>
      <c r="Q250" s="1876"/>
      <c r="R250" s="1876"/>
      <c r="S250" s="1876"/>
    </row>
    <row r="251" spans="3:19" x14ac:dyDescent="0.45">
      <c r="C251" s="1928"/>
      <c r="D251" s="1928"/>
      <c r="E251" s="1928"/>
      <c r="F251" s="1928"/>
      <c r="G251" s="1928"/>
      <c r="H251" s="1928"/>
      <c r="I251" s="1928"/>
      <c r="J251" s="1928"/>
      <c r="K251" s="1876"/>
      <c r="L251" s="1876"/>
      <c r="M251" s="1876"/>
      <c r="N251" s="1876"/>
      <c r="O251" s="1876"/>
      <c r="P251" s="1876"/>
      <c r="Q251" s="1876"/>
      <c r="R251" s="1876"/>
      <c r="S251" s="1876"/>
    </row>
    <row r="252" spans="3:19" x14ac:dyDescent="0.45">
      <c r="C252" s="1928"/>
      <c r="D252" s="1928"/>
      <c r="E252" s="1928"/>
      <c r="F252" s="1928"/>
      <c r="G252" s="1928"/>
      <c r="H252" s="1928"/>
      <c r="I252" s="1928"/>
      <c r="J252" s="1928"/>
      <c r="K252" s="1876"/>
      <c r="L252" s="1876"/>
      <c r="M252" s="1876"/>
      <c r="N252" s="1876"/>
      <c r="O252" s="1876"/>
      <c r="P252" s="1876"/>
      <c r="Q252" s="1876"/>
      <c r="R252" s="1876"/>
      <c r="S252" s="1876"/>
    </row>
    <row r="253" spans="3:19" x14ac:dyDescent="0.45">
      <c r="C253" s="1928"/>
      <c r="D253" s="1928"/>
      <c r="E253" s="1928"/>
      <c r="F253" s="1928"/>
      <c r="G253" s="1928"/>
      <c r="H253" s="1928"/>
      <c r="I253" s="1928"/>
      <c r="J253" s="1928"/>
      <c r="K253" s="1876"/>
      <c r="L253" s="1876"/>
      <c r="M253" s="1876"/>
      <c r="N253" s="1876"/>
      <c r="O253" s="1876"/>
      <c r="P253" s="1876"/>
      <c r="Q253" s="1876"/>
      <c r="R253" s="1876"/>
      <c r="S253" s="1876"/>
    </row>
    <row r="254" spans="3:19" x14ac:dyDescent="0.45">
      <c r="C254" s="1928"/>
      <c r="D254" s="1928"/>
      <c r="E254" s="1928"/>
      <c r="F254" s="1928"/>
      <c r="G254" s="1928"/>
      <c r="H254" s="1928"/>
      <c r="I254" s="1928"/>
      <c r="J254" s="1928"/>
      <c r="K254" s="1876"/>
      <c r="L254" s="1876"/>
      <c r="M254" s="1876"/>
      <c r="N254" s="1876"/>
      <c r="O254" s="1876"/>
      <c r="P254" s="1876"/>
      <c r="Q254" s="1876"/>
      <c r="R254" s="1876"/>
      <c r="S254" s="1876"/>
    </row>
    <row r="255" spans="3:19" x14ac:dyDescent="0.45">
      <c r="C255" s="1928"/>
      <c r="D255" s="1928"/>
      <c r="E255" s="1928"/>
      <c r="F255" s="1928"/>
      <c r="G255" s="1928"/>
      <c r="H255" s="1928"/>
      <c r="I255" s="1928"/>
      <c r="J255" s="1928"/>
      <c r="K255" s="1876"/>
      <c r="L255" s="1876"/>
      <c r="M255" s="1876"/>
      <c r="N255" s="1876"/>
      <c r="O255" s="1876"/>
      <c r="P255" s="1876"/>
      <c r="Q255" s="1876"/>
      <c r="R255" s="1876"/>
      <c r="S255" s="1876"/>
    </row>
    <row r="256" spans="3:19" x14ac:dyDescent="0.45">
      <c r="C256" s="1928"/>
      <c r="D256" s="1928"/>
      <c r="E256" s="1928"/>
      <c r="F256" s="1928"/>
      <c r="G256" s="1928"/>
      <c r="H256" s="1928"/>
      <c r="I256" s="1928"/>
      <c r="J256" s="1928"/>
      <c r="K256" s="1876"/>
      <c r="L256" s="1876"/>
      <c r="M256" s="1876"/>
      <c r="N256" s="1876"/>
      <c r="O256" s="1876"/>
      <c r="P256" s="1876"/>
      <c r="Q256" s="1876"/>
      <c r="R256" s="1876"/>
      <c r="S256" s="1876"/>
    </row>
    <row r="257" spans="3:20" x14ac:dyDescent="0.45">
      <c r="C257" s="1928"/>
      <c r="D257" s="1928"/>
      <c r="E257" s="1928"/>
      <c r="F257" s="1928"/>
      <c r="G257" s="1928"/>
      <c r="H257" s="1928"/>
      <c r="I257" s="1928"/>
      <c r="J257" s="1928"/>
      <c r="K257" s="1876"/>
      <c r="L257" s="1876"/>
      <c r="M257" s="1876"/>
      <c r="N257" s="1876"/>
      <c r="O257" s="1876"/>
      <c r="P257" s="1876"/>
      <c r="Q257" s="1876"/>
      <c r="R257" s="1876"/>
      <c r="S257" s="1876"/>
    </row>
    <row r="258" spans="3:20" x14ac:dyDescent="0.45">
      <c r="C258" s="1928"/>
      <c r="D258" s="1928"/>
      <c r="E258" s="1928"/>
      <c r="F258" s="1928"/>
      <c r="G258" s="1928"/>
      <c r="H258" s="1928"/>
      <c r="I258" s="1928"/>
      <c r="J258" s="1928"/>
      <c r="K258" s="1876"/>
      <c r="L258" s="1876"/>
      <c r="M258" s="1876"/>
      <c r="N258" s="1876"/>
      <c r="O258" s="1876"/>
      <c r="P258" s="1876"/>
      <c r="Q258" s="1876"/>
      <c r="R258" s="1876"/>
      <c r="S258" s="1876"/>
    </row>
    <row r="259" spans="3:20" x14ac:dyDescent="0.45">
      <c r="C259" s="1928"/>
      <c r="D259" s="1928"/>
      <c r="E259" s="1928"/>
      <c r="F259" s="1928"/>
      <c r="G259" s="1928"/>
      <c r="H259" s="1928"/>
      <c r="I259" s="1928"/>
      <c r="J259" s="1928"/>
      <c r="K259" s="1876"/>
      <c r="L259" s="1876"/>
      <c r="M259" s="1876"/>
      <c r="N259" s="1876"/>
      <c r="O259" s="1876"/>
      <c r="P259" s="1876"/>
      <c r="Q259" s="1876"/>
      <c r="R259" s="1876"/>
      <c r="S259" s="1876"/>
    </row>
    <row r="260" spans="3:20" x14ac:dyDescent="0.45">
      <c r="C260" s="1928"/>
      <c r="D260" s="1928"/>
      <c r="E260" s="1928"/>
      <c r="F260" s="1928"/>
      <c r="G260" s="1928"/>
      <c r="H260" s="1928"/>
      <c r="I260" s="1928"/>
      <c r="J260" s="1928"/>
      <c r="K260" s="1876"/>
      <c r="L260" s="1876"/>
      <c r="M260" s="1876"/>
      <c r="N260" s="1876"/>
      <c r="O260" s="1876"/>
      <c r="P260" s="1876"/>
      <c r="Q260" s="1876"/>
      <c r="R260" s="1876"/>
      <c r="S260" s="1876"/>
    </row>
    <row r="261" spans="3:20" x14ac:dyDescent="0.45">
      <c r="C261" s="1928"/>
      <c r="D261" s="1928"/>
      <c r="E261" s="1928"/>
      <c r="F261" s="1928"/>
      <c r="G261" s="1928"/>
      <c r="H261" s="1928"/>
      <c r="I261" s="1928"/>
      <c r="J261" s="1928"/>
      <c r="K261" s="1876"/>
      <c r="L261" s="1876"/>
      <c r="M261" s="1876"/>
      <c r="N261" s="1876"/>
      <c r="O261" s="1876"/>
      <c r="P261" s="1876"/>
      <c r="Q261" s="1876"/>
      <c r="R261" s="1876"/>
      <c r="S261" s="1876"/>
    </row>
    <row r="263" spans="3:20" x14ac:dyDescent="0.45">
      <c r="C263" s="1927"/>
      <c r="N263" s="1876"/>
      <c r="O263" s="1876"/>
      <c r="P263" s="1876"/>
      <c r="Q263" s="1876"/>
      <c r="R263" s="1876"/>
      <c r="S263" s="1876"/>
      <c r="T263" s="1876"/>
    </row>
    <row r="264" spans="3:20" x14ac:dyDescent="0.45">
      <c r="C264" s="1927"/>
      <c r="D264" s="1927"/>
      <c r="E264" s="1927"/>
      <c r="F264" s="1927"/>
      <c r="G264" s="1927"/>
      <c r="H264" s="1927"/>
      <c r="I264" s="1927"/>
      <c r="J264" s="1927"/>
      <c r="K264" s="1874"/>
      <c r="L264" s="1874"/>
      <c r="M264" s="1874"/>
      <c r="N264" s="1876"/>
      <c r="O264" s="1876"/>
      <c r="P264" s="1874"/>
      <c r="Q264" s="1874"/>
      <c r="R264" s="1875"/>
      <c r="S264" s="1876"/>
    </row>
    <row r="265" spans="3:20" ht="15.75" x14ac:dyDescent="0.45">
      <c r="C265" s="1929"/>
      <c r="D265" s="1929"/>
      <c r="E265" s="1929"/>
      <c r="F265" s="1929"/>
      <c r="G265" s="1929"/>
      <c r="H265" s="1929"/>
      <c r="I265" s="1929"/>
      <c r="J265" s="1929"/>
      <c r="K265" s="1909"/>
      <c r="L265" s="1909"/>
      <c r="M265" s="1909"/>
      <c r="N265" s="1909"/>
      <c r="O265" s="1909"/>
      <c r="P265" s="1909"/>
      <c r="Q265" s="1876"/>
      <c r="R265" s="1876"/>
      <c r="S265" s="1876"/>
    </row>
    <row r="266" spans="3:20" ht="15.75" x14ac:dyDescent="0.45">
      <c r="C266" s="1930"/>
      <c r="D266" s="1930"/>
      <c r="E266" s="1930"/>
      <c r="F266" s="1930"/>
      <c r="G266" s="1930"/>
      <c r="H266" s="1930"/>
      <c r="I266" s="1930"/>
      <c r="J266" s="1930"/>
      <c r="K266" s="1910"/>
      <c r="L266" s="1910"/>
      <c r="M266" s="1910"/>
      <c r="N266" s="1911"/>
      <c r="O266" s="1910"/>
      <c r="P266" s="1910"/>
      <c r="Q266" s="1875"/>
      <c r="R266" s="1876"/>
      <c r="S266" s="1876"/>
    </row>
    <row r="267" spans="3:20" ht="15.75" x14ac:dyDescent="0.45">
      <c r="C267" s="1930"/>
      <c r="D267" s="1930"/>
      <c r="E267" s="1930"/>
      <c r="F267" s="1930"/>
      <c r="G267" s="1930"/>
      <c r="H267" s="1930"/>
      <c r="I267" s="1930"/>
      <c r="J267" s="1930"/>
      <c r="K267" s="1910"/>
      <c r="L267" s="1910"/>
      <c r="M267" s="1910"/>
      <c r="N267" s="1911"/>
      <c r="O267" s="1910"/>
      <c r="P267" s="1910"/>
      <c r="Q267" s="1875"/>
      <c r="R267" s="1876"/>
      <c r="S267" s="1876"/>
    </row>
    <row r="268" spans="3:20" ht="15.75" x14ac:dyDescent="0.45">
      <c r="C268" s="1930"/>
      <c r="D268" s="1930"/>
      <c r="E268" s="1930"/>
      <c r="F268" s="1930"/>
      <c r="G268" s="1930"/>
      <c r="H268" s="1930"/>
      <c r="I268" s="1930"/>
      <c r="J268" s="1930"/>
      <c r="K268" s="1910"/>
      <c r="L268" s="1910"/>
      <c r="M268" s="1910"/>
      <c r="N268" s="1911"/>
      <c r="O268" s="1910"/>
      <c r="P268" s="1910"/>
      <c r="Q268" s="1875"/>
      <c r="R268" s="1876"/>
      <c r="S268" s="1876"/>
    </row>
    <row r="269" spans="3:20" ht="15.75" x14ac:dyDescent="0.45">
      <c r="C269" s="1930"/>
      <c r="D269" s="1930"/>
      <c r="E269" s="1930"/>
      <c r="F269" s="1930"/>
      <c r="G269" s="1930"/>
      <c r="H269" s="1930"/>
      <c r="I269" s="1930"/>
      <c r="J269" s="1930"/>
      <c r="K269" s="1910"/>
      <c r="L269" s="1910"/>
      <c r="M269" s="1910"/>
      <c r="N269" s="1911"/>
      <c r="O269" s="1910"/>
      <c r="P269" s="1910"/>
      <c r="Q269" s="1876"/>
      <c r="R269" s="1876"/>
      <c r="S269" s="1876"/>
    </row>
    <row r="270" spans="3:20" ht="15.75" x14ac:dyDescent="0.45">
      <c r="C270" s="1930"/>
      <c r="D270" s="1930"/>
      <c r="E270" s="1930"/>
      <c r="F270" s="1930"/>
      <c r="G270" s="1930"/>
      <c r="H270" s="1930"/>
      <c r="I270" s="1930"/>
      <c r="J270" s="1930"/>
      <c r="K270" s="1910"/>
      <c r="L270" s="1910"/>
      <c r="M270" s="1910"/>
      <c r="N270" s="1911"/>
      <c r="O270" s="1910"/>
      <c r="P270" s="1910"/>
      <c r="Q270" s="1876"/>
      <c r="R270" s="1876"/>
      <c r="S270" s="1876"/>
    </row>
    <row r="271" spans="3:20" ht="15.75" x14ac:dyDescent="0.45">
      <c r="C271" s="1930"/>
      <c r="D271" s="1930"/>
      <c r="E271" s="1930"/>
      <c r="F271" s="1930"/>
      <c r="G271" s="1930"/>
      <c r="H271" s="1930"/>
      <c r="I271" s="1930"/>
      <c r="J271" s="1930"/>
      <c r="K271" s="1910"/>
      <c r="L271" s="1910"/>
      <c r="M271" s="1910"/>
      <c r="N271" s="1911"/>
      <c r="O271" s="1910"/>
      <c r="P271" s="1910"/>
      <c r="Q271" s="1875"/>
      <c r="R271" s="1876"/>
      <c r="S271" s="1876"/>
    </row>
    <row r="272" spans="3:20" ht="15.75" x14ac:dyDescent="0.45">
      <c r="C272" s="1930"/>
      <c r="D272" s="1930"/>
      <c r="E272" s="1930"/>
      <c r="F272" s="1930"/>
      <c r="G272" s="1930"/>
      <c r="H272" s="1930"/>
      <c r="I272" s="1930"/>
      <c r="J272" s="1930"/>
      <c r="K272" s="1910"/>
      <c r="L272" s="1910"/>
      <c r="M272" s="1910"/>
      <c r="N272" s="1911"/>
      <c r="O272" s="1910"/>
      <c r="P272" s="1910"/>
      <c r="Q272" s="1875"/>
      <c r="R272" s="1876"/>
      <c r="S272" s="1876"/>
    </row>
    <row r="273" spans="3:19" ht="15.75" x14ac:dyDescent="0.45">
      <c r="C273" s="1930"/>
      <c r="D273" s="1930"/>
      <c r="E273" s="1930"/>
      <c r="F273" s="1930"/>
      <c r="G273" s="1930"/>
      <c r="H273" s="1930"/>
      <c r="I273" s="1930"/>
      <c r="J273" s="1930"/>
      <c r="K273" s="1910"/>
      <c r="L273" s="1910"/>
      <c r="M273" s="1910"/>
      <c r="N273" s="1911"/>
      <c r="O273" s="1910"/>
      <c r="P273" s="1910"/>
      <c r="Q273" s="1875"/>
      <c r="R273" s="1876"/>
      <c r="S273" s="1876"/>
    </row>
    <row r="274" spans="3:19" x14ac:dyDescent="0.45">
      <c r="C274" s="1928"/>
      <c r="D274" s="1928"/>
      <c r="E274" s="1928"/>
      <c r="F274" s="1928"/>
      <c r="G274" s="1928"/>
      <c r="H274" s="1928"/>
      <c r="I274" s="1928"/>
      <c r="J274" s="1928"/>
      <c r="K274" s="1876"/>
      <c r="L274" s="1876"/>
      <c r="M274" s="1876"/>
      <c r="N274" s="1876"/>
      <c r="O274" s="1876"/>
      <c r="P274" s="1876"/>
      <c r="Q274" s="1876"/>
      <c r="R274" s="1876"/>
      <c r="S274" s="1876"/>
    </row>
    <row r="275" spans="3:19" x14ac:dyDescent="0.45">
      <c r="C275" s="1928"/>
      <c r="D275" s="1928"/>
      <c r="E275" s="1928"/>
      <c r="F275" s="1928"/>
      <c r="G275" s="1928"/>
      <c r="H275" s="1928"/>
      <c r="I275" s="1928"/>
      <c r="J275" s="1928"/>
      <c r="K275" s="1876"/>
      <c r="L275" s="1876"/>
      <c r="M275" s="1876"/>
      <c r="N275" s="1876"/>
      <c r="O275" s="1876"/>
      <c r="P275" s="1876"/>
      <c r="Q275" s="1876"/>
      <c r="R275" s="1876"/>
      <c r="S275" s="1876"/>
    </row>
    <row r="277" spans="3:19" x14ac:dyDescent="0.45">
      <c r="C277" s="1913"/>
    </row>
    <row r="279" spans="3:19" x14ac:dyDescent="0.45">
      <c r="C279" s="1931"/>
      <c r="D279" s="1932"/>
      <c r="F279" s="1932"/>
      <c r="H279" s="1933"/>
    </row>
    <row r="280" spans="3:19" x14ac:dyDescent="0.45">
      <c r="C280" s="1931"/>
      <c r="D280" s="1931"/>
      <c r="E280" s="1932"/>
      <c r="F280" s="1932"/>
      <c r="G280" s="1932"/>
      <c r="H280" s="1932"/>
      <c r="I280" s="1933"/>
    </row>
    <row r="281" spans="3:19" x14ac:dyDescent="0.45">
      <c r="C281" s="1931"/>
      <c r="D281" s="1931"/>
      <c r="E281" s="1932"/>
      <c r="F281" s="1932"/>
      <c r="G281" s="1932"/>
      <c r="H281" s="1932"/>
      <c r="I281" s="1934"/>
    </row>
    <row r="282" spans="3:19" x14ac:dyDescent="0.45">
      <c r="C282" s="1931"/>
      <c r="D282" s="1931"/>
      <c r="E282" s="1932"/>
      <c r="F282" s="1932"/>
      <c r="G282" s="1932"/>
      <c r="H282" s="1932"/>
      <c r="I282" s="1934"/>
    </row>
    <row r="283" spans="3:19" x14ac:dyDescent="0.45">
      <c r="C283" s="1931"/>
      <c r="D283" s="1931"/>
      <c r="E283" s="1935"/>
      <c r="F283" s="1933"/>
      <c r="G283" s="1933"/>
      <c r="H283" s="1933"/>
      <c r="I283" s="1933"/>
    </row>
    <row r="284" spans="3:19" x14ac:dyDescent="0.45">
      <c r="C284" s="1931"/>
      <c r="D284" s="1931"/>
      <c r="E284" s="1935"/>
      <c r="F284" s="1933"/>
      <c r="G284" s="1933"/>
      <c r="H284" s="1933"/>
      <c r="I284" s="1934"/>
    </row>
    <row r="285" spans="3:19" x14ac:dyDescent="0.45">
      <c r="C285" s="1931"/>
      <c r="D285" s="1931"/>
      <c r="E285" s="1932"/>
      <c r="F285" s="1932"/>
      <c r="G285" s="1932"/>
      <c r="H285" s="1932"/>
    </row>
    <row r="286" spans="3:19" x14ac:dyDescent="0.45">
      <c r="C286" s="1931"/>
      <c r="D286" s="1931"/>
      <c r="E286" s="1932"/>
      <c r="F286" s="1932"/>
      <c r="G286" s="1932"/>
      <c r="H286" s="1932"/>
    </row>
    <row r="287" spans="3:19" x14ac:dyDescent="0.45">
      <c r="C287" s="1931"/>
      <c r="D287" s="1931"/>
      <c r="E287" s="1935"/>
      <c r="F287" s="1935"/>
      <c r="G287" s="1933"/>
      <c r="H287" s="1933"/>
    </row>
    <row r="288" spans="3:19" x14ac:dyDescent="0.45">
      <c r="C288" s="1931"/>
      <c r="D288" s="1931"/>
      <c r="E288" s="1932"/>
      <c r="F288" s="1932"/>
      <c r="G288" s="1932"/>
      <c r="H288" s="1932"/>
    </row>
    <row r="291" spans="3:9" x14ac:dyDescent="0.45">
      <c r="D291" s="1913"/>
      <c r="E291" s="1913"/>
      <c r="F291" s="1913"/>
      <c r="G291" s="1913"/>
      <c r="H291" s="1913"/>
      <c r="I291" s="1913"/>
    </row>
    <row r="292" spans="3:9" ht="15.75" x14ac:dyDescent="0.45">
      <c r="C292" s="1936"/>
      <c r="D292" s="1937"/>
      <c r="E292" s="1938"/>
      <c r="F292" s="1938"/>
      <c r="G292" s="1938"/>
      <c r="H292" s="1938"/>
      <c r="I292" s="1938"/>
    </row>
    <row r="293" spans="3:9" ht="15.75" x14ac:dyDescent="0.45">
      <c r="C293" s="1939"/>
      <c r="D293" s="1940"/>
      <c r="E293" s="1940"/>
      <c r="F293" s="1940"/>
      <c r="G293" s="1940"/>
      <c r="H293" s="1940"/>
      <c r="I293" s="1941"/>
    </row>
    <row r="294" spans="3:9" ht="15.75" x14ac:dyDescent="0.45">
      <c r="C294" s="1939"/>
      <c r="D294" s="1942"/>
      <c r="E294" s="1942"/>
      <c r="F294" s="1942"/>
      <c r="G294" s="1942"/>
      <c r="H294" s="1942"/>
      <c r="I294" s="1943"/>
    </row>
    <row r="295" spans="3:9" ht="15.75" x14ac:dyDescent="0.45">
      <c r="C295" s="1939"/>
      <c r="I295" s="1944"/>
    </row>
    <row r="296" spans="3:9" ht="15.75" x14ac:dyDescent="0.45">
      <c r="C296" s="1939"/>
      <c r="I296" s="1944"/>
    </row>
    <row r="297" spans="3:9" ht="15.75" x14ac:dyDescent="0.45">
      <c r="C297" s="1939"/>
      <c r="I297" s="1944"/>
    </row>
    <row r="298" spans="3:9" ht="15.75" x14ac:dyDescent="0.45">
      <c r="C298" s="1939"/>
      <c r="I298" s="1944"/>
    </row>
    <row r="299" spans="3:9" ht="15.75" x14ac:dyDescent="0.45">
      <c r="C299" s="1939"/>
    </row>
    <row r="300" spans="3:9" ht="15.75" x14ac:dyDescent="0.45">
      <c r="C300" s="1939"/>
      <c r="I300" s="1944"/>
    </row>
    <row r="301" spans="3:9" ht="15.75" x14ac:dyDescent="0.45">
      <c r="C301" s="1939"/>
      <c r="D301" s="1945"/>
      <c r="E301" s="1945"/>
      <c r="F301" s="1945"/>
      <c r="G301" s="1945"/>
      <c r="H301" s="1945"/>
      <c r="I301" s="1946"/>
    </row>
    <row r="302" spans="3:9" ht="15.75" x14ac:dyDescent="0.45">
      <c r="C302" s="1947"/>
      <c r="D302" s="1948"/>
      <c r="E302" s="1948"/>
      <c r="F302" s="1948"/>
      <c r="G302" s="1948"/>
      <c r="H302" s="1948"/>
      <c r="I302" s="1948"/>
    </row>
    <row r="303" spans="3:9" ht="15.75" x14ac:dyDescent="0.45">
      <c r="C303" s="1947"/>
      <c r="D303" s="1916"/>
      <c r="E303" s="1916"/>
      <c r="F303" s="1916"/>
      <c r="G303" s="1916"/>
      <c r="H303" s="1916"/>
      <c r="I303" s="1916"/>
    </row>
    <row r="307" spans="3:9" x14ac:dyDescent="0.45">
      <c r="D307" s="1913"/>
      <c r="E307" s="1913"/>
      <c r="F307" s="1913"/>
      <c r="G307" s="1913"/>
      <c r="H307" s="1913"/>
      <c r="I307" s="1913"/>
    </row>
    <row r="308" spans="3:9" ht="15.75" x14ac:dyDescent="0.45">
      <c r="C308" s="1936"/>
      <c r="D308" s="1937"/>
      <c r="E308" s="1938"/>
      <c r="F308" s="1938"/>
      <c r="G308" s="1938"/>
      <c r="H308" s="1938"/>
      <c r="I308" s="1938"/>
    </row>
    <row r="309" spans="3:9" ht="15.75" x14ac:dyDescent="0.45">
      <c r="C309" s="1939"/>
      <c r="D309" s="1940"/>
      <c r="E309" s="1940"/>
      <c r="F309" s="1940"/>
      <c r="G309" s="1940"/>
      <c r="H309" s="1940"/>
      <c r="I309" s="1941"/>
    </row>
    <row r="310" spans="3:9" ht="15.75" x14ac:dyDescent="0.45">
      <c r="C310" s="1939"/>
      <c r="D310" s="1942"/>
      <c r="E310" s="1942"/>
      <c r="F310" s="1942"/>
      <c r="G310" s="1942"/>
      <c r="H310" s="1942"/>
      <c r="I310" s="1942"/>
    </row>
    <row r="311" spans="3:9" ht="15.75" x14ac:dyDescent="0.45">
      <c r="C311" s="1939"/>
      <c r="I311" s="1944"/>
    </row>
    <row r="312" spans="3:9" ht="15.75" x14ac:dyDescent="0.45">
      <c r="C312" s="1939"/>
    </row>
    <row r="313" spans="3:9" ht="15.75" x14ac:dyDescent="0.45">
      <c r="C313" s="1939"/>
      <c r="I313" s="1944"/>
    </row>
    <row r="314" spans="3:9" ht="15.75" x14ac:dyDescent="0.45">
      <c r="C314" s="1939"/>
      <c r="I314" s="1944"/>
    </row>
    <row r="315" spans="3:9" ht="15.75" x14ac:dyDescent="0.45">
      <c r="C315" s="1939"/>
    </row>
    <row r="316" spans="3:9" ht="15.75" x14ac:dyDescent="0.45">
      <c r="C316" s="1939"/>
      <c r="D316" s="1948"/>
      <c r="E316" s="1948"/>
      <c r="F316" s="1948"/>
      <c r="G316" s="1948"/>
      <c r="H316" s="1948"/>
      <c r="I316" s="1948"/>
    </row>
    <row r="317" spans="3:9" ht="15.75" x14ac:dyDescent="0.45">
      <c r="C317" s="1939"/>
      <c r="D317" s="1945"/>
      <c r="E317" s="1945"/>
      <c r="F317" s="1945"/>
      <c r="G317" s="1945"/>
      <c r="H317" s="1945"/>
      <c r="I317" s="1946"/>
    </row>
    <row r="318" spans="3:9" ht="15.75" x14ac:dyDescent="0.45">
      <c r="C318" s="1947"/>
      <c r="D318" s="1916"/>
      <c r="E318" s="1916"/>
      <c r="F318" s="1916"/>
      <c r="G318" s="1916"/>
      <c r="H318" s="1916"/>
      <c r="I318" s="1916"/>
    </row>
    <row r="319" spans="3:9" ht="15.75" x14ac:dyDescent="0.45">
      <c r="C319" s="1947"/>
      <c r="D319" s="1916"/>
      <c r="E319" s="1916"/>
      <c r="F319" s="1916"/>
      <c r="G319" s="1916"/>
      <c r="H319" s="1916"/>
      <c r="I319" s="1916"/>
    </row>
    <row r="321" spans="3:9" x14ac:dyDescent="0.45">
      <c r="C321" s="1913"/>
    </row>
    <row r="322" spans="3:9" x14ac:dyDescent="0.45">
      <c r="C322" s="1913"/>
      <c r="D322" s="1949"/>
      <c r="E322" s="1949"/>
      <c r="F322" s="1949"/>
      <c r="G322" s="1949"/>
      <c r="H322" s="1949"/>
      <c r="I322" s="1949"/>
    </row>
    <row r="323" spans="3:9" x14ac:dyDescent="0.45">
      <c r="C323" s="1913"/>
      <c r="D323" s="1942"/>
      <c r="E323" s="1942"/>
      <c r="F323" s="1942"/>
      <c r="G323" s="1942"/>
      <c r="H323" s="1942"/>
      <c r="I323" s="1942"/>
    </row>
  </sheetData>
  <sheetProtection algorithmName="SHA-512" hashValue="PSCy5UY4ZR2csoMRmlm2/LUuwe++dXKYsFP4C7PvUl/x3piDT+Rp5+fp8VuYGJ4rN4x4SDCW+ZfrXwxbXkyYxg==" saltValue="kKwbhC5kB05XKJ26PiRt1w==" spinCount="100000" sheet="1" objects="1" scenarios="1"/>
  <mergeCells count="3">
    <mergeCell ref="R101:R103"/>
    <mergeCell ref="L8:N8"/>
    <mergeCell ref="S101:S103"/>
  </mergeCells>
  <dataValidations count="1">
    <dataValidation type="list" allowBlank="1" showInputMessage="1" showErrorMessage="1" sqref="F17:F18" xr:uid="{00000000-0002-0000-0B00-000000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B00-000001000000}">
          <x14:formula1>
            <xm:f>Lookups!$B$4:$B$8</xm:f>
          </x14:formula1>
          <xm:sqref>B4</xm:sqref>
        </x14:dataValidation>
        <x14:dataValidation type="list" allowBlank="1" showInputMessage="1" showErrorMessage="1" xr:uid="{00000000-0002-0000-0B00-000002000000}">
          <x14:formula1>
            <xm:f>Lookups!$CG$4:$CG$7</xm:f>
          </x14:formula1>
          <xm:sqref>F15:F16</xm:sqref>
        </x14:dataValidation>
        <x14:dataValidation type="list" allowBlank="1" showInputMessage="1" showErrorMessage="1" xr:uid="{00000000-0002-0000-0B00-000003000000}">
          <x14:formula1>
            <xm:f>Lookups!$CH$4:$CH$7</xm:f>
          </x14:formula1>
          <xm:sqref>G15:G16</xm:sqref>
        </x14:dataValidation>
        <x14:dataValidation type="list" allowBlank="1" showInputMessage="1" showErrorMessage="1" xr:uid="{00000000-0002-0000-0B00-000004000000}">
          <x14:formula1>
            <xm:f>Lookups!$CC$4:$CC$7</xm:f>
          </x14:formula1>
          <xm:sqref>F11:F14</xm:sqref>
        </x14:dataValidation>
        <x14:dataValidation type="list" allowBlank="1" showInputMessage="1" showErrorMessage="1" xr:uid="{00000000-0002-0000-0B00-000005000000}">
          <x14:formula1>
            <xm:f>Lookups!$CD$5:$CD$7</xm:f>
          </x14:formula1>
          <xm:sqref>G11:G14</xm:sqref>
        </x14:dataValidation>
        <x14:dataValidation type="list" allowBlank="1" showInputMessage="1" showErrorMessage="1" xr:uid="{00000000-0002-0000-0B00-000006000000}">
          <x14:formula1>
            <xm:f>Lookups!$CA$4:$CA$9</xm:f>
          </x14:formula1>
          <xm:sqref>F10</xm:sqref>
        </x14:dataValidation>
        <x14:dataValidation type="list" allowBlank="1" showInputMessage="1" showErrorMessage="1" xr:uid="{00000000-0002-0000-0B00-000007000000}">
          <x14:formula1>
            <xm:f>Lookups!$CB$4:$CB$9</xm:f>
          </x14:formula1>
          <xm:sqref>G10</xm:sqref>
        </x14:dataValidation>
        <x14:dataValidation type="list" allowBlank="1" showInputMessage="1" showErrorMessage="1" xr:uid="{00000000-0002-0000-0B00-000008000000}">
          <x14:formula1>
            <xm:f>Lookups!$K$37</xm:f>
          </x14:formula1>
          <xm:sqref>B10:B16</xm:sqref>
        </x14:dataValidation>
        <x14:dataValidation type="list" allowBlank="1" showInputMessage="1" showErrorMessage="1" xr:uid="{00000000-0002-0000-0B00-000009000000}">
          <x14:formula1>
            <xm:f>Lookups!$L$37:$L$40</xm:f>
          </x14:formula1>
          <xm:sqref>C10:C16</xm:sqref>
        </x14:dataValidation>
        <x14:dataValidation type="list" allowBlank="1" showInputMessage="1" showErrorMessage="1" xr:uid="{00000000-0002-0000-0B00-00000A000000}">
          <x14:formula1>
            <xm:f>Lookups!$M$37:$M$40</xm:f>
          </x14:formula1>
          <xm:sqref>D10:D16</xm:sqref>
        </x14:dataValidation>
        <x14:dataValidation type="list" allowBlank="1" showInputMessage="1" showErrorMessage="1" xr:uid="{00000000-0002-0000-0B00-00000B000000}">
          <x14:formula1>
            <xm:f>Lookups!$P$37:$P$40</xm:f>
          </x14:formula1>
          <xm:sqref>E10:E16</xm:sqref>
        </x14:dataValidation>
        <x14:dataValidation type="list" allowBlank="1" showInputMessage="1" showErrorMessage="1" xr:uid="{00000000-0002-0000-0B00-00000C000000}">
          <x14:formula1>
            <xm:f>Lookups!$C$4:$C$7</xm:f>
          </x14:formula1>
          <xm:sqref>I10:I16</xm:sqref>
        </x14:dataValidation>
        <x14:dataValidation type="list" allowBlank="1" showInputMessage="1" showErrorMessage="1" xr:uid="{00000000-0002-0000-0B00-00000D000000}">
          <x14:formula1>
            <xm:f>Lookups!$A$4:$A$8</xm:f>
          </x14:formula1>
          <xm:sqref>J10:J16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CCECFF"/>
  </sheetPr>
  <dimension ref="A1"/>
  <sheetViews>
    <sheetView workbookViewId="0">
      <selection activeCell="K14" sqref="K14"/>
    </sheetView>
  </sheetViews>
  <sheetFormatPr defaultRowHeight="14.25" x14ac:dyDescent="0.45"/>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theme="5" tint="0.39997558519241921"/>
  </sheetPr>
  <dimension ref="A1:DU79"/>
  <sheetViews>
    <sheetView topLeftCell="X40" workbookViewId="0">
      <selection activeCell="AK49" sqref="AK49"/>
    </sheetView>
  </sheetViews>
  <sheetFormatPr defaultColWidth="9.1328125" defaultRowHeight="12.75" x14ac:dyDescent="0.35"/>
  <cols>
    <col min="1" max="9" width="9.1328125" style="1"/>
    <col min="10" max="10" width="15" style="1" customWidth="1"/>
    <col min="11" max="11" width="20" style="1" customWidth="1"/>
    <col min="12" max="12" width="6.59765625" style="1" customWidth="1"/>
    <col min="13" max="13" width="24.59765625" style="1" customWidth="1"/>
    <col min="14" max="14" width="25.59765625" style="1" customWidth="1"/>
    <col min="15" max="15" width="9.1328125" style="1"/>
    <col min="16" max="26" width="15" style="1" customWidth="1"/>
    <col min="27" max="27" width="15" style="43" customWidth="1"/>
    <col min="28" max="28" width="13.1328125" style="43" customWidth="1"/>
    <col min="29" max="29" width="14.265625" style="43" customWidth="1"/>
    <col min="30" max="36" width="9.1328125" style="43"/>
    <col min="37" max="37" width="13.59765625" style="43" customWidth="1"/>
    <col min="38" max="38" width="9.1328125" style="43"/>
    <col min="39" max="39" width="13.86328125" style="43" customWidth="1"/>
    <col min="40" max="73" width="9.1328125" style="43"/>
    <col min="74" max="74" width="17.3984375" style="43" customWidth="1"/>
    <col min="75" max="78" width="9.1328125" style="43"/>
    <col min="79" max="79" width="18.86328125" style="43" customWidth="1"/>
    <col min="80" max="122" width="9.1328125" style="43"/>
    <col min="123" max="123" width="16.3984375" style="43" customWidth="1"/>
    <col min="124" max="124" width="20.59765625" style="43" customWidth="1"/>
    <col min="125" max="125" width="9.1328125" style="43"/>
    <col min="126" max="16384" width="9.1328125" style="1"/>
  </cols>
  <sheetData>
    <row r="1" spans="1:125" ht="16.149999999999999" thickBot="1" x14ac:dyDescent="0.4">
      <c r="A1" s="614" t="s">
        <v>584</v>
      </c>
      <c r="B1" s="615" t="s">
        <v>1263</v>
      </c>
      <c r="C1" s="616" t="s">
        <v>523</v>
      </c>
      <c r="D1" s="616"/>
      <c r="E1" s="616"/>
      <c r="F1" s="616"/>
      <c r="G1" s="616"/>
      <c r="H1" s="616"/>
      <c r="I1" s="616"/>
      <c r="J1" s="2408" t="s">
        <v>1261</v>
      </c>
      <c r="K1" s="2409"/>
      <c r="L1" s="2409"/>
      <c r="M1" s="2410"/>
      <c r="N1" s="2408" t="s">
        <v>1262</v>
      </c>
      <c r="O1" s="2411"/>
      <c r="P1" s="2411"/>
      <c r="Q1" s="613"/>
      <c r="R1" s="613" t="s">
        <v>1281</v>
      </c>
      <c r="S1" s="620"/>
      <c r="T1" s="620"/>
      <c r="U1" s="620"/>
      <c r="V1" s="620"/>
      <c r="W1" s="620"/>
      <c r="X1" s="620"/>
      <c r="Y1" s="620"/>
      <c r="Z1" s="620"/>
      <c r="AA1" s="649" t="s">
        <v>1331</v>
      </c>
      <c r="AB1" s="648"/>
      <c r="AC1" s="649" t="s">
        <v>1332</v>
      </c>
      <c r="AD1" s="648"/>
      <c r="AE1" s="649" t="s">
        <v>1335</v>
      </c>
      <c r="AF1" s="648"/>
      <c r="AG1" s="649" t="s">
        <v>1348</v>
      </c>
      <c r="AH1" s="616"/>
      <c r="AI1" s="649" t="s">
        <v>1349</v>
      </c>
      <c r="AJ1" s="616"/>
      <c r="AK1" s="872" t="s">
        <v>1354</v>
      </c>
      <c r="AL1" s="873"/>
      <c r="AM1" s="680" t="s">
        <v>1373</v>
      </c>
      <c r="AN1" s="679"/>
      <c r="AO1" s="684" t="s">
        <v>1376</v>
      </c>
      <c r="AP1" s="679"/>
      <c r="AQ1" s="679"/>
      <c r="AR1" s="679"/>
      <c r="AS1" s="679"/>
      <c r="AT1" s="679"/>
      <c r="AU1" s="695" t="s">
        <v>1382</v>
      </c>
      <c r="AV1" s="696"/>
      <c r="AW1" s="695" t="s">
        <v>1388</v>
      </c>
      <c r="AX1" s="697"/>
      <c r="AY1" s="747"/>
      <c r="AZ1" s="748"/>
      <c r="BA1" s="748"/>
      <c r="BB1" s="748"/>
      <c r="BC1" s="748"/>
      <c r="BD1" s="748"/>
      <c r="BE1" s="748"/>
      <c r="BF1" s="749" t="s">
        <v>192</v>
      </c>
      <c r="BG1" s="748"/>
      <c r="BH1" s="748"/>
      <c r="BI1" s="748"/>
      <c r="BJ1" s="748"/>
      <c r="BK1" s="748"/>
      <c r="BL1" s="748"/>
      <c r="BM1" s="748"/>
      <c r="BN1" s="748"/>
      <c r="BO1" s="748"/>
      <c r="BP1" s="748"/>
      <c r="BQ1" s="748"/>
      <c r="BR1" s="750"/>
      <c r="BS1" s="698"/>
      <c r="BT1" s="698"/>
      <c r="BU1" s="698" t="s">
        <v>167</v>
      </c>
      <c r="BV1" s="698"/>
      <c r="BW1" s="698"/>
      <c r="BX1" s="698"/>
      <c r="BY1" s="698"/>
      <c r="BZ1" s="698"/>
      <c r="CA1" s="714" t="s">
        <v>406</v>
      </c>
      <c r="CB1" s="715"/>
      <c r="CC1" s="715"/>
      <c r="CD1" s="715"/>
      <c r="CE1" s="715"/>
      <c r="CF1" s="715"/>
      <c r="CG1" s="715"/>
      <c r="CH1" s="715"/>
      <c r="CI1" s="715"/>
      <c r="CJ1" s="716"/>
      <c r="CK1" s="2405" t="s">
        <v>192</v>
      </c>
      <c r="CL1" s="2406"/>
      <c r="CM1" s="2406"/>
      <c r="CN1" s="2406"/>
      <c r="CO1" s="2406"/>
      <c r="CP1" s="2406"/>
      <c r="CQ1" s="2406"/>
      <c r="CR1" s="2406"/>
      <c r="CS1" s="2406"/>
      <c r="CT1" s="2406"/>
      <c r="CU1" s="2406"/>
      <c r="CV1" s="2407"/>
      <c r="CW1" s="29" t="s">
        <v>404</v>
      </c>
      <c r="CX1" s="29"/>
      <c r="CY1" s="29"/>
      <c r="CZ1" s="29" t="s">
        <v>403</v>
      </c>
      <c r="DA1" s="28"/>
      <c r="DB1" s="2402" t="s">
        <v>402</v>
      </c>
      <c r="DC1" s="2403"/>
      <c r="DD1" s="2403"/>
      <c r="DE1" s="2403"/>
      <c r="DF1" s="2404"/>
      <c r="DG1" s="602" t="s">
        <v>401</v>
      </c>
      <c r="DH1" s="2402" t="s">
        <v>400</v>
      </c>
      <c r="DI1" s="2403"/>
      <c r="DJ1" s="2403"/>
      <c r="DK1" s="2403"/>
      <c r="DL1" s="2404"/>
      <c r="DM1" s="603" t="s">
        <v>399</v>
      </c>
      <c r="DN1" s="27" t="s">
        <v>398</v>
      </c>
      <c r="DO1" s="1"/>
      <c r="DP1" s="1"/>
      <c r="DQ1" s="1"/>
      <c r="DR1" s="1"/>
      <c r="DS1" s="1"/>
      <c r="DT1" s="1"/>
      <c r="DU1" s="1"/>
    </row>
    <row r="2" spans="1:125" ht="142.15" thickBot="1" x14ac:dyDescent="0.4">
      <c r="A2" s="612" t="s">
        <v>396</v>
      </c>
      <c r="B2" s="612" t="s">
        <v>1265</v>
      </c>
      <c r="C2" s="612" t="s">
        <v>523</v>
      </c>
      <c r="D2" s="612" t="s">
        <v>1266</v>
      </c>
      <c r="E2" s="612" t="s">
        <v>1266</v>
      </c>
      <c r="F2" s="612" t="s">
        <v>1266</v>
      </c>
      <c r="G2" s="612" t="s">
        <v>1266</v>
      </c>
      <c r="H2" s="612" t="s">
        <v>1266</v>
      </c>
      <c r="I2" s="612" t="s">
        <v>1266</v>
      </c>
      <c r="J2" s="611" t="s">
        <v>1181</v>
      </c>
      <c r="K2" s="611" t="s">
        <v>1180</v>
      </c>
      <c r="L2" s="611" t="s">
        <v>1212</v>
      </c>
      <c r="M2" s="611" t="s">
        <v>1182</v>
      </c>
      <c r="N2" s="611" t="s">
        <v>1179</v>
      </c>
      <c r="O2" s="611" t="s">
        <v>1232</v>
      </c>
      <c r="P2" s="611" t="s">
        <v>1233</v>
      </c>
      <c r="Q2" s="611" t="s">
        <v>1283</v>
      </c>
      <c r="R2" s="612" t="s">
        <v>1277</v>
      </c>
      <c r="S2" s="621" t="s">
        <v>1283</v>
      </c>
      <c r="T2" s="622" t="s">
        <v>1277</v>
      </c>
      <c r="U2" s="621" t="s">
        <v>1283</v>
      </c>
      <c r="V2" s="630" t="s">
        <v>1277</v>
      </c>
      <c r="W2" s="621" t="s">
        <v>1283</v>
      </c>
      <c r="X2" s="622" t="s">
        <v>1277</v>
      </c>
      <c r="Y2" s="621" t="s">
        <v>1283</v>
      </c>
      <c r="Z2" s="644" t="s">
        <v>1277</v>
      </c>
      <c r="AA2" s="646" t="s">
        <v>1330</v>
      </c>
      <c r="AB2" s="647" t="s">
        <v>1329</v>
      </c>
      <c r="AC2" s="656" t="s">
        <v>1333</v>
      </c>
      <c r="AD2" s="630" t="s">
        <v>1334</v>
      </c>
      <c r="AE2" s="656" t="s">
        <v>1346</v>
      </c>
      <c r="AF2" s="630" t="s">
        <v>1347</v>
      </c>
      <c r="AG2" s="656" t="s">
        <v>1350</v>
      </c>
      <c r="AH2" s="630" t="s">
        <v>1351</v>
      </c>
      <c r="AI2" s="656" t="s">
        <v>1352</v>
      </c>
      <c r="AJ2" s="662" t="s">
        <v>1353</v>
      </c>
      <c r="AK2" s="646" t="s">
        <v>1264</v>
      </c>
      <c r="AL2" s="647" t="s">
        <v>1267</v>
      </c>
      <c r="AM2" s="683" t="s">
        <v>1357</v>
      </c>
      <c r="AN2" s="682" t="s">
        <v>1358</v>
      </c>
      <c r="AO2" s="681" t="s">
        <v>1374</v>
      </c>
      <c r="AP2" s="682" t="s">
        <v>1375</v>
      </c>
      <c r="AQ2" s="681" t="s">
        <v>1377</v>
      </c>
      <c r="AR2" s="682" t="s">
        <v>1378</v>
      </c>
      <c r="AS2" s="681" t="s">
        <v>1379</v>
      </c>
      <c r="AT2" s="683" t="s">
        <v>1380</v>
      </c>
      <c r="AU2" s="689" t="s">
        <v>1381</v>
      </c>
      <c r="AV2" s="690"/>
      <c r="AW2" s="694"/>
      <c r="AX2" s="694"/>
      <c r="AY2" s="743" t="s">
        <v>388</v>
      </c>
      <c r="AZ2" s="744" t="s">
        <v>337</v>
      </c>
      <c r="BA2" s="745"/>
      <c r="BB2" s="746" t="s">
        <v>287</v>
      </c>
      <c r="BC2" s="743"/>
      <c r="BD2" s="746" t="s">
        <v>242</v>
      </c>
      <c r="BE2" s="743"/>
      <c r="BF2" s="746" t="s">
        <v>205</v>
      </c>
      <c r="BG2" s="743" t="s">
        <v>387</v>
      </c>
      <c r="BH2" s="744" t="s">
        <v>332</v>
      </c>
      <c r="BI2" s="745"/>
      <c r="BJ2" s="746" t="s">
        <v>386</v>
      </c>
      <c r="BK2" s="743"/>
      <c r="BL2" s="746" t="s">
        <v>385</v>
      </c>
      <c r="BM2" s="743"/>
      <c r="BN2" s="746" t="s">
        <v>384</v>
      </c>
      <c r="BO2" s="743"/>
      <c r="BP2" s="746" t="s">
        <v>383</v>
      </c>
      <c r="BQ2" s="743"/>
      <c r="BR2" s="746" t="s">
        <v>382</v>
      </c>
      <c r="BS2" s="739" t="s">
        <v>1389</v>
      </c>
      <c r="BT2" s="740" t="s">
        <v>1390</v>
      </c>
      <c r="BU2" s="741" t="s">
        <v>1394</v>
      </c>
      <c r="BV2" s="742" t="s">
        <v>1391</v>
      </c>
      <c r="BW2" s="741" t="s">
        <v>1393</v>
      </c>
      <c r="BX2" s="742" t="s">
        <v>1392</v>
      </c>
      <c r="BY2" s="741" t="s">
        <v>1759</v>
      </c>
      <c r="BZ2" s="742" t="s">
        <v>1760</v>
      </c>
      <c r="CA2" s="710" t="s">
        <v>393</v>
      </c>
      <c r="CB2" s="710" t="s">
        <v>1683</v>
      </c>
      <c r="CC2" s="712" t="s">
        <v>392</v>
      </c>
      <c r="CD2" s="711" t="s">
        <v>391</v>
      </c>
      <c r="CE2" s="712" t="s">
        <v>1688</v>
      </c>
      <c r="CF2" s="712" t="s">
        <v>1689</v>
      </c>
      <c r="CG2" s="712" t="s">
        <v>1686</v>
      </c>
      <c r="CH2" s="712" t="s">
        <v>1685</v>
      </c>
      <c r="CI2" s="713" t="s">
        <v>227</v>
      </c>
      <c r="CJ2" s="713" t="s">
        <v>389</v>
      </c>
      <c r="CK2" s="25" t="s">
        <v>388</v>
      </c>
      <c r="CL2" s="26" t="s">
        <v>337</v>
      </c>
      <c r="CM2" s="25" t="s">
        <v>287</v>
      </c>
      <c r="CN2" s="25" t="s">
        <v>242</v>
      </c>
      <c r="CO2" s="25" t="s">
        <v>205</v>
      </c>
      <c r="CP2" s="24" t="s">
        <v>387</v>
      </c>
      <c r="CQ2" s="26" t="s">
        <v>332</v>
      </c>
      <c r="CR2" s="25" t="s">
        <v>386</v>
      </c>
      <c r="CS2" s="25" t="s">
        <v>385</v>
      </c>
      <c r="CT2" s="25" t="s">
        <v>384</v>
      </c>
      <c r="CU2" s="25" t="s">
        <v>383</v>
      </c>
      <c r="CV2" s="25" t="s">
        <v>382</v>
      </c>
      <c r="CW2" s="24" t="s">
        <v>379</v>
      </c>
      <c r="CX2" s="24" t="s">
        <v>378</v>
      </c>
      <c r="CY2" s="24" t="s">
        <v>377</v>
      </c>
      <c r="CZ2" s="24" t="s">
        <v>376</v>
      </c>
      <c r="DA2" s="24" t="s">
        <v>375</v>
      </c>
      <c r="DB2" s="24" t="s">
        <v>374</v>
      </c>
      <c r="DC2" s="24" t="s">
        <v>373</v>
      </c>
      <c r="DD2" s="24" t="s">
        <v>372</v>
      </c>
      <c r="DE2" s="24" t="s">
        <v>371</v>
      </c>
      <c r="DF2" s="24" t="s">
        <v>370</v>
      </c>
      <c r="DG2" s="24" t="s">
        <v>369</v>
      </c>
      <c r="DH2" s="24" t="s">
        <v>368</v>
      </c>
      <c r="DI2" s="24" t="s">
        <v>271</v>
      </c>
      <c r="DJ2" s="24" t="s">
        <v>225</v>
      </c>
      <c r="DK2" s="24" t="s">
        <v>190</v>
      </c>
      <c r="DL2" s="24" t="s">
        <v>367</v>
      </c>
      <c r="DM2" s="24"/>
      <c r="DN2" s="23" t="s">
        <v>366</v>
      </c>
      <c r="DO2" s="525" t="s">
        <v>1175</v>
      </c>
      <c r="DP2" s="525" t="s">
        <v>1176</v>
      </c>
      <c r="DQ2" s="525" t="s">
        <v>1177</v>
      </c>
      <c r="DR2" s="525" t="s">
        <v>1178</v>
      </c>
      <c r="DS2" s="525" t="s">
        <v>1179</v>
      </c>
      <c r="DT2" s="525" t="s">
        <v>562</v>
      </c>
      <c r="DU2" s="525" t="s">
        <v>380</v>
      </c>
    </row>
    <row r="3" spans="1:125" ht="15.75" x14ac:dyDescent="0.5">
      <c r="B3" s="13"/>
      <c r="C3" s="3"/>
      <c r="R3" s="3"/>
      <c r="S3" s="623"/>
      <c r="T3" s="624"/>
      <c r="U3" s="623"/>
      <c r="V3" s="624"/>
      <c r="W3" s="623"/>
      <c r="X3" s="624"/>
      <c r="Y3" s="623"/>
      <c r="Z3" s="19"/>
      <c r="AA3" s="635"/>
      <c r="AB3" s="636"/>
      <c r="AC3" s="639"/>
      <c r="AD3" s="636"/>
      <c r="AE3" s="639"/>
      <c r="AF3" s="636"/>
      <c r="AG3" s="639"/>
      <c r="AH3" s="636"/>
      <c r="AI3" s="639"/>
      <c r="AJ3" s="663"/>
      <c r="AK3" s="623"/>
      <c r="AL3" s="624"/>
      <c r="AM3" s="37"/>
      <c r="AN3" s="31"/>
      <c r="AO3" s="30"/>
      <c r="AP3" s="31"/>
      <c r="AQ3" s="30"/>
      <c r="AR3" s="31"/>
      <c r="AS3" s="30"/>
      <c r="AT3" s="37"/>
      <c r="AU3" s="30"/>
      <c r="AV3" s="31"/>
      <c r="AW3" s="37"/>
      <c r="AX3" s="37"/>
      <c r="AY3" s="623"/>
      <c r="AZ3" s="725"/>
      <c r="BA3" s="701"/>
      <c r="BB3" s="700"/>
      <c r="BC3" s="699"/>
      <c r="BD3" s="700"/>
      <c r="BE3" s="699"/>
      <c r="BF3" s="700"/>
      <c r="BG3" s="623"/>
      <c r="BH3" s="725"/>
      <c r="BI3" s="701"/>
      <c r="BJ3" s="700"/>
      <c r="BK3" s="699"/>
      <c r="BL3" s="700"/>
      <c r="BM3" s="699"/>
      <c r="BN3" s="700"/>
      <c r="BO3" s="699"/>
      <c r="BP3" s="700"/>
      <c r="BQ3" s="699"/>
      <c r="BR3" s="700"/>
      <c r="BS3" s="737"/>
      <c r="BT3" s="700"/>
      <c r="BU3" s="7"/>
      <c r="BV3" s="7"/>
      <c r="BW3" s="7"/>
      <c r="BX3" s="7"/>
      <c r="BY3" s="7"/>
      <c r="BZ3" s="7"/>
      <c r="CA3" s="3"/>
      <c r="CB3" s="6"/>
      <c r="CC3" s="3"/>
      <c r="CD3" s="6"/>
      <c r="CE3" s="3" t="s">
        <v>365</v>
      </c>
      <c r="CF3" s="6"/>
      <c r="CG3" s="3"/>
      <c r="CH3" s="6"/>
      <c r="CI3" s="3"/>
      <c r="CJ3" s="9"/>
      <c r="CK3" s="3"/>
      <c r="CL3" s="6"/>
      <c r="CM3" s="7"/>
      <c r="CN3" s="7"/>
      <c r="CO3" s="7"/>
      <c r="CP3" s="3"/>
      <c r="CQ3" s="6"/>
      <c r="CR3" s="7"/>
      <c r="CS3" s="7"/>
      <c r="CT3" s="7"/>
      <c r="CU3" s="7"/>
      <c r="CV3" s="7"/>
      <c r="CW3" s="2"/>
      <c r="CX3" s="5"/>
      <c r="CY3" s="5"/>
      <c r="CZ3" s="4"/>
      <c r="DA3" s="4"/>
      <c r="DB3" s="3"/>
      <c r="DC3" s="3"/>
      <c r="DD3" s="3"/>
      <c r="DE3" s="3"/>
      <c r="DF3" s="3"/>
      <c r="DG3" s="3"/>
      <c r="DH3" s="3"/>
      <c r="DI3" s="3"/>
      <c r="DJ3" s="3"/>
      <c r="DK3" s="3"/>
      <c r="DL3" s="3"/>
      <c r="DM3" s="2" t="s">
        <v>364</v>
      </c>
      <c r="DN3" s="2"/>
      <c r="DO3" s="1"/>
      <c r="DP3" s="1"/>
      <c r="DQ3" s="1"/>
      <c r="DR3" s="1"/>
      <c r="DS3" s="1"/>
      <c r="DT3" s="1"/>
      <c r="DU3" s="1"/>
    </row>
    <row r="4" spans="1:125" ht="15.75" x14ac:dyDescent="0.5">
      <c r="A4" s="255" t="s">
        <v>83</v>
      </c>
      <c r="B4" s="18" t="s">
        <v>83</v>
      </c>
      <c r="C4" s="18" t="s">
        <v>83</v>
      </c>
      <c r="J4" s="22" t="s">
        <v>83</v>
      </c>
      <c r="K4" s="22" t="s">
        <v>83</v>
      </c>
      <c r="L4" s="22" t="s">
        <v>83</v>
      </c>
      <c r="M4" s="22" t="s">
        <v>83</v>
      </c>
      <c r="N4" s="22" t="s">
        <v>83</v>
      </c>
      <c r="O4" s="22" t="s">
        <v>83</v>
      </c>
      <c r="P4" s="22" t="s">
        <v>83</v>
      </c>
      <c r="Q4" s="22"/>
      <c r="R4" s="619" t="s">
        <v>83</v>
      </c>
      <c r="S4" s="632" t="s">
        <v>83</v>
      </c>
      <c r="T4" s="626" t="s">
        <v>83</v>
      </c>
      <c r="U4" s="625" t="s">
        <v>83</v>
      </c>
      <c r="V4" s="631" t="s">
        <v>83</v>
      </c>
      <c r="W4" s="625" t="s">
        <v>83</v>
      </c>
      <c r="X4" s="631" t="s">
        <v>83</v>
      </c>
      <c r="Y4" s="625" t="s">
        <v>83</v>
      </c>
      <c r="Z4" s="21" t="s">
        <v>83</v>
      </c>
      <c r="AA4" s="637" t="s">
        <v>83</v>
      </c>
      <c r="AB4" s="638" t="s">
        <v>83</v>
      </c>
      <c r="AC4" s="652" t="s">
        <v>83</v>
      </c>
      <c r="AD4" s="653" t="s">
        <v>83</v>
      </c>
      <c r="AE4" s="652" t="s">
        <v>83</v>
      </c>
      <c r="AF4" s="653" t="s">
        <v>83</v>
      </c>
      <c r="AG4" s="639" t="s">
        <v>362</v>
      </c>
      <c r="AH4" s="636" t="s">
        <v>362</v>
      </c>
      <c r="AI4" s="639" t="s">
        <v>362</v>
      </c>
      <c r="AJ4" s="663" t="s">
        <v>362</v>
      </c>
      <c r="AK4" s="650" t="s">
        <v>83</v>
      </c>
      <c r="AL4" s="651" t="s">
        <v>83</v>
      </c>
      <c r="AM4" s="22" t="s">
        <v>83</v>
      </c>
      <c r="AN4" s="651" t="s">
        <v>83</v>
      </c>
      <c r="AO4" s="685" t="s">
        <v>83</v>
      </c>
      <c r="AP4" s="651" t="s">
        <v>83</v>
      </c>
      <c r="AQ4" s="686"/>
      <c r="AR4" s="651" t="s">
        <v>83</v>
      </c>
      <c r="AS4" s="686"/>
      <c r="AT4" s="22" t="s">
        <v>83</v>
      </c>
      <c r="AU4" s="650" t="s">
        <v>83</v>
      </c>
      <c r="AV4" s="31"/>
      <c r="AW4" s="650" t="s">
        <v>83</v>
      </c>
      <c r="AX4" s="650" t="s">
        <v>83</v>
      </c>
      <c r="AY4" s="652" t="s">
        <v>83</v>
      </c>
      <c r="AZ4" s="653" t="s">
        <v>83</v>
      </c>
      <c r="BA4" s="652" t="s">
        <v>83</v>
      </c>
      <c r="BB4" s="653" t="s">
        <v>83</v>
      </c>
      <c r="BC4" s="652" t="s">
        <v>83</v>
      </c>
      <c r="BD4" s="653" t="s">
        <v>83</v>
      </c>
      <c r="BE4" s="652"/>
      <c r="BF4" s="653" t="s">
        <v>83</v>
      </c>
      <c r="BG4" s="652" t="s">
        <v>83</v>
      </c>
      <c r="BH4" s="653" t="s">
        <v>83</v>
      </c>
      <c r="BI4" s="652" t="s">
        <v>83</v>
      </c>
      <c r="BJ4" s="653" t="s">
        <v>83</v>
      </c>
      <c r="BK4" s="652" t="s">
        <v>83</v>
      </c>
      <c r="BL4" s="653" t="s">
        <v>83</v>
      </c>
      <c r="BM4" s="652" t="s">
        <v>83</v>
      </c>
      <c r="BN4" s="653" t="s">
        <v>83</v>
      </c>
      <c r="BO4" s="652" t="s">
        <v>83</v>
      </c>
      <c r="BP4" s="653" t="s">
        <v>83</v>
      </c>
      <c r="BQ4" s="652" t="s">
        <v>83</v>
      </c>
      <c r="BR4" s="653" t="s">
        <v>83</v>
      </c>
      <c r="BS4" s="738" t="s">
        <v>83</v>
      </c>
      <c r="BT4" s="653" t="s">
        <v>83</v>
      </c>
      <c r="BU4" s="717" t="s">
        <v>83</v>
      </c>
      <c r="BV4" s="717" t="s">
        <v>83</v>
      </c>
      <c r="BW4" s="657" t="s">
        <v>83</v>
      </c>
      <c r="BX4" s="657" t="s">
        <v>83</v>
      </c>
      <c r="BY4" s="657" t="s">
        <v>83</v>
      </c>
      <c r="BZ4" s="657" t="s">
        <v>83</v>
      </c>
      <c r="CA4" s="657" t="s">
        <v>83</v>
      </c>
      <c r="CB4" s="657" t="s">
        <v>83</v>
      </c>
      <c r="CC4" s="657" t="s">
        <v>83</v>
      </c>
      <c r="CD4" s="657" t="s">
        <v>83</v>
      </c>
      <c r="CE4" s="657" t="s">
        <v>83</v>
      </c>
      <c r="CF4" s="657" t="s">
        <v>83</v>
      </c>
      <c r="CG4" s="657" t="s">
        <v>83</v>
      </c>
      <c r="CH4" s="657" t="s">
        <v>83</v>
      </c>
      <c r="CI4" s="657" t="s">
        <v>83</v>
      </c>
      <c r="CJ4" s="718" t="s">
        <v>83</v>
      </c>
      <c r="CK4" s="14" t="s">
        <v>83</v>
      </c>
      <c r="CL4" s="6"/>
      <c r="CM4" s="14" t="s">
        <v>83</v>
      </c>
      <c r="CN4" s="14" t="s">
        <v>83</v>
      </c>
      <c r="CO4" s="14" t="s">
        <v>83</v>
      </c>
      <c r="CP4" s="14" t="s">
        <v>83</v>
      </c>
      <c r="CQ4" s="6"/>
      <c r="CR4" s="14" t="s">
        <v>83</v>
      </c>
      <c r="CS4" s="14" t="s">
        <v>83</v>
      </c>
      <c r="CT4" s="14" t="s">
        <v>83</v>
      </c>
      <c r="CU4" s="14" t="s">
        <v>83</v>
      </c>
      <c r="CV4" s="14" t="s">
        <v>83</v>
      </c>
      <c r="CW4" s="18" t="s">
        <v>83</v>
      </c>
      <c r="CX4" s="18" t="s">
        <v>83</v>
      </c>
      <c r="CY4" s="18" t="s">
        <v>83</v>
      </c>
      <c r="CZ4" s="4" t="s">
        <v>361</v>
      </c>
      <c r="DA4" s="4" t="s">
        <v>361</v>
      </c>
      <c r="DB4" s="18" t="s">
        <v>83</v>
      </c>
      <c r="DC4" s="18" t="s">
        <v>83</v>
      </c>
      <c r="DD4" s="18" t="s">
        <v>83</v>
      </c>
      <c r="DE4" s="18" t="s">
        <v>83</v>
      </c>
      <c r="DF4" s="18" t="s">
        <v>83</v>
      </c>
      <c r="DG4" s="18" t="s">
        <v>83</v>
      </c>
      <c r="DH4" s="14" t="s">
        <v>83</v>
      </c>
      <c r="DI4" s="14" t="s">
        <v>83</v>
      </c>
      <c r="DJ4" s="14" t="s">
        <v>83</v>
      </c>
      <c r="DK4" s="14" t="s">
        <v>83</v>
      </c>
      <c r="DL4" s="14" t="s">
        <v>83</v>
      </c>
      <c r="DM4" s="20" t="s">
        <v>360</v>
      </c>
      <c r="DN4" s="39" t="s">
        <v>83</v>
      </c>
      <c r="DO4" s="22" t="s">
        <v>83</v>
      </c>
      <c r="DP4" s="22" t="s">
        <v>83</v>
      </c>
      <c r="DQ4" s="22" t="s">
        <v>83</v>
      </c>
      <c r="DR4" s="22" t="s">
        <v>83</v>
      </c>
      <c r="DS4" s="22" t="s">
        <v>83</v>
      </c>
      <c r="DT4" s="22" t="s">
        <v>83</v>
      </c>
      <c r="DU4" s="22" t="s">
        <v>83</v>
      </c>
    </row>
    <row r="5" spans="1:125" ht="26.65" x14ac:dyDescent="0.5">
      <c r="A5" s="610" t="s">
        <v>363</v>
      </c>
      <c r="B5" s="13" t="s">
        <v>359</v>
      </c>
      <c r="C5" s="17" t="s">
        <v>321</v>
      </c>
      <c r="J5" s="606" t="s">
        <v>1279</v>
      </c>
      <c r="K5" s="38" t="s">
        <v>410</v>
      </c>
      <c r="L5" s="37" t="s">
        <v>1183</v>
      </c>
      <c r="M5" s="37" t="s">
        <v>1071</v>
      </c>
      <c r="N5" s="37" t="s">
        <v>412</v>
      </c>
      <c r="O5" s="37" t="s">
        <v>1113</v>
      </c>
      <c r="P5" s="1" t="s">
        <v>520</v>
      </c>
      <c r="R5" s="3" t="s">
        <v>1282</v>
      </c>
      <c r="S5" s="623" t="s">
        <v>1285</v>
      </c>
      <c r="T5" s="624" t="s">
        <v>1284</v>
      </c>
      <c r="U5" s="623" t="s">
        <v>352</v>
      </c>
      <c r="V5" s="624" t="s">
        <v>1311</v>
      </c>
      <c r="W5" s="623" t="s">
        <v>1321</v>
      </c>
      <c r="X5" s="624" t="s">
        <v>1898</v>
      </c>
      <c r="Y5" s="623" t="s">
        <v>1326</v>
      </c>
      <c r="Z5" s="19" t="s">
        <v>1320</v>
      </c>
      <c r="AA5" s="639" t="s">
        <v>352</v>
      </c>
      <c r="AB5" s="640" t="s">
        <v>353</v>
      </c>
      <c r="AC5" s="639" t="s">
        <v>351</v>
      </c>
      <c r="AD5" s="636" t="s">
        <v>1336</v>
      </c>
      <c r="AE5" s="639" t="s">
        <v>349</v>
      </c>
      <c r="AF5" s="636" t="s">
        <v>350</v>
      </c>
      <c r="AG5" s="639" t="s">
        <v>347</v>
      </c>
      <c r="AH5" s="636" t="s">
        <v>348</v>
      </c>
      <c r="AI5" s="639" t="s">
        <v>345</v>
      </c>
      <c r="AJ5" s="663" t="s">
        <v>346</v>
      </c>
      <c r="AK5" s="623" t="s">
        <v>310</v>
      </c>
      <c r="AL5" s="624" t="s">
        <v>16</v>
      </c>
      <c r="AM5" s="47" t="s">
        <v>1359</v>
      </c>
      <c r="AN5" s="31" t="s">
        <v>1360</v>
      </c>
      <c r="AO5" s="686"/>
      <c r="AP5" s="624" t="s">
        <v>878</v>
      </c>
      <c r="AQ5" s="686"/>
      <c r="AR5" s="687" t="s">
        <v>879</v>
      </c>
      <c r="AS5" s="686"/>
      <c r="AT5" s="688" t="s">
        <v>676</v>
      </c>
      <c r="AU5" s="665" t="s">
        <v>310</v>
      </c>
      <c r="AV5" s="31"/>
      <c r="AW5" s="37" t="s">
        <v>1710</v>
      </c>
      <c r="AX5" s="869" t="s">
        <v>1658</v>
      </c>
      <c r="AY5" s="720" t="s">
        <v>337</v>
      </c>
      <c r="AZ5" s="722" t="s">
        <v>338</v>
      </c>
      <c r="BA5" s="720" t="s">
        <v>1557</v>
      </c>
      <c r="BB5" s="729" t="s">
        <v>1556</v>
      </c>
      <c r="BC5" s="732" t="s">
        <v>1559</v>
      </c>
      <c r="BD5" s="729" t="s">
        <v>1566</v>
      </c>
      <c r="BE5" s="732" t="s">
        <v>1560</v>
      </c>
      <c r="BF5" s="729" t="s">
        <v>1583</v>
      </c>
      <c r="BG5" s="720" t="s">
        <v>332</v>
      </c>
      <c r="BH5" s="729" t="s">
        <v>333</v>
      </c>
      <c r="BI5" s="736" t="s">
        <v>1550</v>
      </c>
      <c r="BJ5" s="722" t="s">
        <v>1549</v>
      </c>
      <c r="BK5" s="674" t="s">
        <v>1541</v>
      </c>
      <c r="BL5" s="722" t="s">
        <v>1540</v>
      </c>
      <c r="BM5" s="674" t="s">
        <v>1525</v>
      </c>
      <c r="BN5" s="722" t="s">
        <v>1524</v>
      </c>
      <c r="BO5" s="674" t="s">
        <v>1517</v>
      </c>
      <c r="BP5" s="722" t="s">
        <v>1516</v>
      </c>
      <c r="BQ5" s="674" t="s">
        <v>1511</v>
      </c>
      <c r="BR5" s="722" t="s">
        <v>1510</v>
      </c>
      <c r="BS5" s="885" t="s">
        <v>325</v>
      </c>
      <c r="BT5" s="636" t="s">
        <v>326</v>
      </c>
      <c r="BU5" s="706" t="s">
        <v>324</v>
      </c>
      <c r="BV5" s="721" t="s">
        <v>1395</v>
      </c>
      <c r="BW5" s="667" t="s">
        <v>322</v>
      </c>
      <c r="BX5" s="634" t="s">
        <v>323</v>
      </c>
      <c r="BY5" s="266" t="s">
        <v>1761</v>
      </c>
      <c r="BZ5" s="266" t="s">
        <v>1721</v>
      </c>
      <c r="CA5" s="667" t="s">
        <v>247</v>
      </c>
      <c r="CB5" s="634" t="s">
        <v>344</v>
      </c>
      <c r="CC5" s="634" t="s">
        <v>1052</v>
      </c>
      <c r="CD5" s="634" t="s">
        <v>339</v>
      </c>
      <c r="CE5" s="667" t="s">
        <v>343</v>
      </c>
      <c r="CF5" s="634" t="s">
        <v>1690</v>
      </c>
      <c r="CG5" s="667" t="s">
        <v>341</v>
      </c>
      <c r="CH5" s="634" t="s">
        <v>342</v>
      </c>
      <c r="CI5" s="634" t="s">
        <v>340</v>
      </c>
      <c r="CJ5" s="633" t="s">
        <v>339</v>
      </c>
      <c r="CK5" s="8" t="s">
        <v>338</v>
      </c>
      <c r="CL5" s="6" t="s">
        <v>337</v>
      </c>
      <c r="CM5" s="15" t="s">
        <v>336</v>
      </c>
      <c r="CN5" s="15" t="s">
        <v>335</v>
      </c>
      <c r="CO5" s="15" t="s">
        <v>334</v>
      </c>
      <c r="CP5" s="15" t="s">
        <v>333</v>
      </c>
      <c r="CQ5" s="6" t="s">
        <v>332</v>
      </c>
      <c r="CR5" s="8" t="s">
        <v>331</v>
      </c>
      <c r="CS5" s="8" t="s">
        <v>330</v>
      </c>
      <c r="CT5" s="8" t="s">
        <v>329</v>
      </c>
      <c r="CU5" s="8" t="s">
        <v>328</v>
      </c>
      <c r="CV5" s="8" t="s">
        <v>327</v>
      </c>
      <c r="CW5" s="10" t="s">
        <v>115</v>
      </c>
      <c r="CX5" s="3" t="s">
        <v>318</v>
      </c>
      <c r="CY5" s="3" t="s">
        <v>317</v>
      </c>
      <c r="CZ5" s="4">
        <v>1</v>
      </c>
      <c r="DA5" s="4">
        <v>1</v>
      </c>
      <c r="DB5" s="3" t="s">
        <v>316</v>
      </c>
      <c r="DC5" s="3" t="s">
        <v>315</v>
      </c>
      <c r="DD5" s="3" t="s">
        <v>314</v>
      </c>
      <c r="DE5" s="3" t="s">
        <v>313</v>
      </c>
      <c r="DF5" s="3" t="s">
        <v>312</v>
      </c>
      <c r="DG5" s="3" t="s">
        <v>311</v>
      </c>
      <c r="DH5" s="8" t="s">
        <v>310</v>
      </c>
      <c r="DI5" s="8" t="s">
        <v>86</v>
      </c>
      <c r="DJ5" s="8" t="s">
        <v>310</v>
      </c>
      <c r="DK5" s="8" t="s">
        <v>310</v>
      </c>
      <c r="DL5" s="8" t="s">
        <v>310</v>
      </c>
      <c r="DM5" s="20"/>
      <c r="DN5" s="40" t="s">
        <v>310</v>
      </c>
      <c r="DO5" s="38" t="s">
        <v>409</v>
      </c>
      <c r="DP5" s="38" t="s">
        <v>410</v>
      </c>
      <c r="DQ5" s="37" t="s">
        <v>411</v>
      </c>
      <c r="DR5" s="37" t="s">
        <v>412</v>
      </c>
      <c r="DS5" s="37" t="s">
        <v>413</v>
      </c>
      <c r="DT5" s="1" t="s">
        <v>520</v>
      </c>
      <c r="DU5" s="36" t="s">
        <v>573</v>
      </c>
    </row>
    <row r="6" spans="1:125" ht="26.65" x14ac:dyDescent="0.5">
      <c r="A6" s="610" t="s">
        <v>356</v>
      </c>
      <c r="B6" s="13" t="s">
        <v>309</v>
      </c>
      <c r="C6" s="17" t="s">
        <v>272</v>
      </c>
      <c r="J6" s="605"/>
      <c r="K6" s="37"/>
      <c r="L6" s="37" t="s">
        <v>1184</v>
      </c>
      <c r="M6" s="37" t="s">
        <v>1213</v>
      </c>
      <c r="N6" s="37"/>
      <c r="O6" s="37" t="s">
        <v>1234</v>
      </c>
      <c r="P6" s="1" t="s">
        <v>524</v>
      </c>
      <c r="R6" s="3" t="s">
        <v>267</v>
      </c>
      <c r="S6" s="623" t="s">
        <v>1905</v>
      </c>
      <c r="T6" s="624" t="s">
        <v>1286</v>
      </c>
      <c r="U6" s="623" t="s">
        <v>302</v>
      </c>
      <c r="V6" s="624" t="s">
        <v>1312</v>
      </c>
      <c r="W6" s="623" t="s">
        <v>1899</v>
      </c>
      <c r="X6" s="624" t="s">
        <v>1900</v>
      </c>
      <c r="Y6" s="623" t="s">
        <v>1901</v>
      </c>
      <c r="Z6" s="19" t="s">
        <v>1228</v>
      </c>
      <c r="AA6" s="639" t="s">
        <v>302</v>
      </c>
      <c r="AB6" s="640" t="s">
        <v>303</v>
      </c>
      <c r="AC6" s="639" t="s">
        <v>301</v>
      </c>
      <c r="AD6" s="654" t="s">
        <v>1337</v>
      </c>
      <c r="AE6" s="639" t="s">
        <v>299</v>
      </c>
      <c r="AF6" s="636" t="s">
        <v>300</v>
      </c>
      <c r="AG6" s="639" t="s">
        <v>297</v>
      </c>
      <c r="AH6" s="636" t="s">
        <v>298</v>
      </c>
      <c r="AI6" s="639" t="s">
        <v>295</v>
      </c>
      <c r="AJ6" s="663" t="s">
        <v>296</v>
      </c>
      <c r="AK6" s="623" t="s">
        <v>261</v>
      </c>
      <c r="AL6" s="624" t="s">
        <v>14</v>
      </c>
      <c r="AM6" s="47" t="s">
        <v>1361</v>
      </c>
      <c r="AN6" s="31" t="s">
        <v>1362</v>
      </c>
      <c r="AO6" s="686"/>
      <c r="AP6" s="624" t="s">
        <v>877</v>
      </c>
      <c r="AQ6" s="686"/>
      <c r="AR6" s="687" t="s">
        <v>880</v>
      </c>
      <c r="AS6" s="686"/>
      <c r="AT6" s="688" t="s">
        <v>677</v>
      </c>
      <c r="AU6" s="30" t="s">
        <v>602</v>
      </c>
      <c r="AV6" s="659"/>
      <c r="AW6" s="33" t="s">
        <v>1711</v>
      </c>
      <c r="AX6" s="33" t="s">
        <v>228</v>
      </c>
      <c r="AY6" s="720" t="s">
        <v>286</v>
      </c>
      <c r="AZ6" s="722" t="s">
        <v>287</v>
      </c>
      <c r="BA6" s="720" t="s">
        <v>1594</v>
      </c>
      <c r="BB6" s="729" t="s">
        <v>1558</v>
      </c>
      <c r="BC6" s="732" t="s">
        <v>1518</v>
      </c>
      <c r="BD6" s="729" t="s">
        <v>1567</v>
      </c>
      <c r="BE6" s="732" t="s">
        <v>1585</v>
      </c>
      <c r="BF6" s="729" t="s">
        <v>1584</v>
      </c>
      <c r="BG6" s="720" t="s">
        <v>281</v>
      </c>
      <c r="BH6" s="729" t="s">
        <v>282</v>
      </c>
      <c r="BI6" s="736" t="s">
        <v>1552</v>
      </c>
      <c r="BJ6" s="722" t="s">
        <v>1551</v>
      </c>
      <c r="BK6" s="674" t="s">
        <v>1543</v>
      </c>
      <c r="BL6" s="722" t="s">
        <v>1542</v>
      </c>
      <c r="BM6" s="674" t="s">
        <v>1527</v>
      </c>
      <c r="BN6" s="722" t="s">
        <v>1526</v>
      </c>
      <c r="BO6" s="674" t="s">
        <v>1520</v>
      </c>
      <c r="BP6" s="722" t="s">
        <v>1519</v>
      </c>
      <c r="BQ6" s="674" t="s">
        <v>1513</v>
      </c>
      <c r="BR6" s="722" t="s">
        <v>1512</v>
      </c>
      <c r="BS6" s="885" t="s">
        <v>1718</v>
      </c>
      <c r="BT6" s="722" t="s">
        <v>1720</v>
      </c>
      <c r="BU6" s="706" t="s">
        <v>1397</v>
      </c>
      <c r="BV6" s="721" t="s">
        <v>1396</v>
      </c>
      <c r="BW6" s="667" t="s">
        <v>274</v>
      </c>
      <c r="BX6" s="634" t="s">
        <v>275</v>
      </c>
      <c r="BY6" s="266" t="s">
        <v>1762</v>
      </c>
      <c r="BZ6" s="266" t="s">
        <v>1722</v>
      </c>
      <c r="CA6" s="667" t="s">
        <v>247</v>
      </c>
      <c r="CB6" s="634" t="s">
        <v>294</v>
      </c>
      <c r="CC6" s="634" t="s">
        <v>1050</v>
      </c>
      <c r="CD6" s="634" t="s">
        <v>293</v>
      </c>
      <c r="CE6" s="667" t="s">
        <v>292</v>
      </c>
      <c r="CF6" s="634" t="s">
        <v>792</v>
      </c>
      <c r="CG6" s="667" t="s">
        <v>290</v>
      </c>
      <c r="CH6" s="634" t="s">
        <v>291</v>
      </c>
      <c r="CI6" s="634" t="s">
        <v>289</v>
      </c>
      <c r="CJ6" s="633" t="s">
        <v>288</v>
      </c>
      <c r="CK6" s="8" t="s">
        <v>287</v>
      </c>
      <c r="CL6" s="6" t="s">
        <v>286</v>
      </c>
      <c r="CM6" s="15" t="s">
        <v>285</v>
      </c>
      <c r="CN6" s="15" t="s">
        <v>284</v>
      </c>
      <c r="CO6" s="15" t="s">
        <v>283</v>
      </c>
      <c r="CP6" s="15" t="s">
        <v>282</v>
      </c>
      <c r="CQ6" s="6" t="s">
        <v>281</v>
      </c>
      <c r="CR6" s="8" t="s">
        <v>280</v>
      </c>
      <c r="CS6" s="8" t="s">
        <v>279</v>
      </c>
      <c r="CT6" s="8" t="s">
        <v>278</v>
      </c>
      <c r="CU6" s="8" t="s">
        <v>277</v>
      </c>
      <c r="CV6" s="8" t="s">
        <v>276</v>
      </c>
      <c r="CW6" s="10" t="s">
        <v>106</v>
      </c>
      <c r="CX6" s="3" t="s">
        <v>269</v>
      </c>
      <c r="CY6" s="10" t="s">
        <v>268</v>
      </c>
      <c r="CZ6" s="4">
        <v>2</v>
      </c>
      <c r="DA6" s="4">
        <v>2</v>
      </c>
      <c r="DB6" s="3" t="s">
        <v>267</v>
      </c>
      <c r="DC6" s="3" t="s">
        <v>266</v>
      </c>
      <c r="DD6" s="3" t="s">
        <v>265</v>
      </c>
      <c r="DE6" s="3" t="s">
        <v>264</v>
      </c>
      <c r="DF6" s="3" t="s">
        <v>263</v>
      </c>
      <c r="DG6" s="3" t="s">
        <v>262</v>
      </c>
      <c r="DH6" s="8" t="s">
        <v>261</v>
      </c>
      <c r="DI6" s="8" t="s">
        <v>16</v>
      </c>
      <c r="DJ6" s="8" t="s">
        <v>261</v>
      </c>
      <c r="DK6" s="8" t="s">
        <v>261</v>
      </c>
      <c r="DL6" s="8" t="s">
        <v>261</v>
      </c>
      <c r="DM6" s="20"/>
      <c r="DN6" s="40" t="s">
        <v>261</v>
      </c>
      <c r="DO6" s="605"/>
      <c r="DP6" s="37"/>
      <c r="DQ6" s="37" t="s">
        <v>414</v>
      </c>
      <c r="DR6" s="37"/>
      <c r="DS6" s="37" t="s">
        <v>415</v>
      </c>
      <c r="DT6" s="1" t="s">
        <v>524</v>
      </c>
      <c r="DU6" s="36" t="s">
        <v>569</v>
      </c>
    </row>
    <row r="7" spans="1:125" ht="15.75" x14ac:dyDescent="0.5">
      <c r="A7" s="610" t="s">
        <v>306</v>
      </c>
      <c r="B7" s="13" t="s">
        <v>260</v>
      </c>
      <c r="C7" s="17" t="s">
        <v>226</v>
      </c>
      <c r="J7" s="605"/>
      <c r="K7" s="37"/>
      <c r="L7" s="37" t="s">
        <v>1185</v>
      </c>
      <c r="M7" s="37" t="s">
        <v>525</v>
      </c>
      <c r="N7" s="37"/>
      <c r="O7" s="606" t="s">
        <v>1235</v>
      </c>
      <c r="P7" s="1" t="s">
        <v>525</v>
      </c>
      <c r="R7" s="3" t="s">
        <v>221</v>
      </c>
      <c r="S7" s="623" t="s">
        <v>1288</v>
      </c>
      <c r="T7" s="624" t="s">
        <v>1287</v>
      </c>
      <c r="U7" s="623" t="s">
        <v>254</v>
      </c>
      <c r="V7" s="624" t="s">
        <v>1313</v>
      </c>
      <c r="W7" s="623" t="s">
        <v>1325</v>
      </c>
      <c r="X7" s="624" t="s">
        <v>1324</v>
      </c>
      <c r="Y7" s="623" t="s">
        <v>1902</v>
      </c>
      <c r="Z7" s="19" t="s">
        <v>1903</v>
      </c>
      <c r="AA7" s="639" t="s">
        <v>254</v>
      </c>
      <c r="AB7" s="640" t="s">
        <v>255</v>
      </c>
      <c r="AC7" s="639" t="s">
        <v>253</v>
      </c>
      <c r="AD7" s="654" t="s">
        <v>1338</v>
      </c>
      <c r="AE7" s="639"/>
      <c r="AF7" s="659"/>
      <c r="AG7" s="639" t="s">
        <v>251</v>
      </c>
      <c r="AH7" s="654" t="s">
        <v>252</v>
      </c>
      <c r="AI7" s="639" t="s">
        <v>249</v>
      </c>
      <c r="AJ7" s="658" t="s">
        <v>250</v>
      </c>
      <c r="AK7" s="623" t="s">
        <v>217</v>
      </c>
      <c r="AL7" s="624" t="s">
        <v>13</v>
      </c>
      <c r="AM7" s="47" t="s">
        <v>1363</v>
      </c>
      <c r="AN7" s="31" t="s">
        <v>1364</v>
      </c>
      <c r="AO7" s="686"/>
      <c r="AP7" s="624" t="s">
        <v>874</v>
      </c>
      <c r="AQ7" s="30"/>
      <c r="AR7" s="31"/>
      <c r="AS7" s="686"/>
      <c r="AT7" s="688" t="s">
        <v>678</v>
      </c>
      <c r="AU7" s="665" t="s">
        <v>261</v>
      </c>
      <c r="AV7" s="31"/>
      <c r="AW7" s="37" t="s">
        <v>1655</v>
      </c>
      <c r="AX7" s="37" t="s">
        <v>1372</v>
      </c>
      <c r="AY7" s="720" t="s">
        <v>241</v>
      </c>
      <c r="AZ7" s="722" t="s">
        <v>242</v>
      </c>
      <c r="BA7" s="720" t="s">
        <v>1562</v>
      </c>
      <c r="BB7" s="729" t="s">
        <v>1561</v>
      </c>
      <c r="BC7" s="732" t="s">
        <v>1569</v>
      </c>
      <c r="BD7" s="729" t="s">
        <v>1568</v>
      </c>
      <c r="BE7" s="732" t="s">
        <v>1587</v>
      </c>
      <c r="BF7" s="729" t="s">
        <v>1586</v>
      </c>
      <c r="BG7" s="720" t="s">
        <v>236</v>
      </c>
      <c r="BH7" s="729" t="s">
        <v>237</v>
      </c>
      <c r="BI7" s="736" t="s">
        <v>1554</v>
      </c>
      <c r="BJ7" s="722" t="s">
        <v>1553</v>
      </c>
      <c r="BK7" s="674" t="s">
        <v>1545</v>
      </c>
      <c r="BL7" s="722" t="s">
        <v>1544</v>
      </c>
      <c r="BM7" s="674" t="s">
        <v>1529</v>
      </c>
      <c r="BN7" s="722" t="s">
        <v>1528</v>
      </c>
      <c r="BO7" s="674" t="s">
        <v>1595</v>
      </c>
      <c r="BP7" s="884" t="s">
        <v>1493</v>
      </c>
      <c r="BQ7" s="674" t="s">
        <v>1515</v>
      </c>
      <c r="BR7" s="729" t="s">
        <v>1514</v>
      </c>
      <c r="BS7" s="885" t="s">
        <v>1717</v>
      </c>
      <c r="BT7" s="722" t="s">
        <v>1721</v>
      </c>
      <c r="BU7" s="706" t="s">
        <v>1398</v>
      </c>
      <c r="BV7" s="721" t="s">
        <v>1479</v>
      </c>
      <c r="BW7" s="667" t="s">
        <v>229</v>
      </c>
      <c r="BX7" s="634" t="s">
        <v>230</v>
      </c>
      <c r="BY7" s="266" t="s">
        <v>1763</v>
      </c>
      <c r="BZ7" s="266" t="s">
        <v>1714</v>
      </c>
      <c r="CA7" s="667" t="s">
        <v>247</v>
      </c>
      <c r="CB7" s="634" t="s">
        <v>248</v>
      </c>
      <c r="CC7" s="634" t="s">
        <v>1051</v>
      </c>
      <c r="CD7" s="634" t="s">
        <v>246</v>
      </c>
      <c r="CE7" s="634"/>
      <c r="CF7" s="667"/>
      <c r="CG7" s="667" t="s">
        <v>244</v>
      </c>
      <c r="CH7" s="634" t="s">
        <v>245</v>
      </c>
      <c r="CI7" s="634" t="s">
        <v>206</v>
      </c>
      <c r="CJ7" s="633" t="s">
        <v>243</v>
      </c>
      <c r="CK7" s="8" t="s">
        <v>242</v>
      </c>
      <c r="CL7" s="6" t="s">
        <v>241</v>
      </c>
      <c r="CM7" s="15" t="s">
        <v>240</v>
      </c>
      <c r="CN7" s="15" t="s">
        <v>239</v>
      </c>
      <c r="CO7" s="15" t="s">
        <v>238</v>
      </c>
      <c r="CP7" s="15" t="s">
        <v>237</v>
      </c>
      <c r="CQ7" s="6" t="s">
        <v>236</v>
      </c>
      <c r="CR7" s="8" t="s">
        <v>235</v>
      </c>
      <c r="CS7" s="8" t="s">
        <v>234</v>
      </c>
      <c r="CT7" s="8" t="s">
        <v>233</v>
      </c>
      <c r="CU7" s="8" t="s">
        <v>232</v>
      </c>
      <c r="CV7" s="15" t="s">
        <v>231</v>
      </c>
      <c r="CW7" s="10" t="s">
        <v>100</v>
      </c>
      <c r="CX7" s="3" t="s">
        <v>223</v>
      </c>
      <c r="CY7" s="3" t="s">
        <v>222</v>
      </c>
      <c r="CZ7" s="4">
        <v>3</v>
      </c>
      <c r="DA7" s="4">
        <v>3</v>
      </c>
      <c r="DB7" s="3" t="s">
        <v>221</v>
      </c>
      <c r="DC7" s="3" t="s">
        <v>220</v>
      </c>
      <c r="DD7" s="3" t="s">
        <v>219</v>
      </c>
      <c r="DE7" s="3" t="s">
        <v>218</v>
      </c>
      <c r="DF7" s="3"/>
      <c r="DG7" s="3"/>
      <c r="DH7" s="8" t="s">
        <v>217</v>
      </c>
      <c r="DI7" s="8" t="s">
        <v>5</v>
      </c>
      <c r="DJ7" s="8" t="s">
        <v>217</v>
      </c>
      <c r="DK7" s="8" t="s">
        <v>217</v>
      </c>
      <c r="DL7" s="8" t="s">
        <v>217</v>
      </c>
      <c r="DM7" s="20"/>
      <c r="DN7" s="40" t="s">
        <v>217</v>
      </c>
      <c r="DO7" s="605"/>
      <c r="DP7" s="37"/>
      <c r="DQ7" s="37" t="s">
        <v>416</v>
      </c>
      <c r="DR7" s="37"/>
      <c r="DS7" s="38" t="s">
        <v>417</v>
      </c>
      <c r="DT7" s="1" t="s">
        <v>525</v>
      </c>
      <c r="DU7" s="1" t="s">
        <v>570</v>
      </c>
    </row>
    <row r="8" spans="1:125" ht="18" x14ac:dyDescent="0.5">
      <c r="A8" s="610" t="s">
        <v>257</v>
      </c>
      <c r="B8" s="13" t="s">
        <v>216</v>
      </c>
      <c r="C8" s="13"/>
      <c r="J8" s="605"/>
      <c r="K8" s="37"/>
      <c r="L8" s="37" t="s">
        <v>1186</v>
      </c>
      <c r="M8" s="37" t="s">
        <v>1214</v>
      </c>
      <c r="N8" s="37"/>
      <c r="O8" s="606" t="s">
        <v>1236</v>
      </c>
      <c r="P8" s="1" t="s">
        <v>563</v>
      </c>
      <c r="R8" s="3" t="s">
        <v>808</v>
      </c>
      <c r="S8" s="623" t="s">
        <v>1290</v>
      </c>
      <c r="T8" s="624" t="s">
        <v>1289</v>
      </c>
      <c r="U8" s="623" t="s">
        <v>1315</v>
      </c>
      <c r="V8" s="624" t="s">
        <v>1314</v>
      </c>
      <c r="W8" s="623" t="s">
        <v>1323</v>
      </c>
      <c r="X8" s="624" t="s">
        <v>1322</v>
      </c>
      <c r="Y8" s="623" t="s">
        <v>1328</v>
      </c>
      <c r="Z8" s="19" t="s">
        <v>1327</v>
      </c>
      <c r="AA8" s="635"/>
      <c r="AB8" s="640" t="s">
        <v>0</v>
      </c>
      <c r="AC8" s="639" t="s">
        <v>213</v>
      </c>
      <c r="AD8" s="654" t="s">
        <v>1339</v>
      </c>
      <c r="AE8" s="639"/>
      <c r="AF8" s="659"/>
      <c r="AG8" s="639" t="s">
        <v>211</v>
      </c>
      <c r="AH8" s="654" t="s">
        <v>212</v>
      </c>
      <c r="AI8" s="639" t="s">
        <v>209</v>
      </c>
      <c r="AJ8" s="658" t="s">
        <v>210</v>
      </c>
      <c r="AK8" s="623" t="s">
        <v>184</v>
      </c>
      <c r="AL8" s="624" t="s">
        <v>12</v>
      </c>
      <c r="AM8" s="47" t="s">
        <v>1365</v>
      </c>
      <c r="AN8" s="31" t="s">
        <v>1668</v>
      </c>
      <c r="AO8" s="686"/>
      <c r="AP8" s="624" t="s">
        <v>875</v>
      </c>
      <c r="AQ8" s="30"/>
      <c r="AR8" s="31"/>
      <c r="AS8" s="686"/>
      <c r="AT8" s="688" t="s">
        <v>679</v>
      </c>
      <c r="AU8" s="665" t="s">
        <v>217</v>
      </c>
      <c r="AV8" s="31"/>
      <c r="AW8" s="37" t="s">
        <v>1656</v>
      </c>
      <c r="AX8" s="663" t="s">
        <v>678</v>
      </c>
      <c r="AY8" s="720" t="s">
        <v>204</v>
      </c>
      <c r="AZ8" s="722" t="s">
        <v>205</v>
      </c>
      <c r="BA8" s="720" t="s">
        <v>1564</v>
      </c>
      <c r="BB8" s="729" t="s">
        <v>1563</v>
      </c>
      <c r="BC8" s="732" t="s">
        <v>1571</v>
      </c>
      <c r="BD8" s="729" t="s">
        <v>1570</v>
      </c>
      <c r="BE8" s="732" t="s">
        <v>1536</v>
      </c>
      <c r="BF8" s="729" t="s">
        <v>1588</v>
      </c>
      <c r="BG8" s="720" t="s">
        <v>199</v>
      </c>
      <c r="BH8" s="729" t="s">
        <v>200</v>
      </c>
      <c r="BI8" s="736" t="s">
        <v>1555</v>
      </c>
      <c r="BJ8" s="729" t="s">
        <v>1514</v>
      </c>
      <c r="BK8" s="732" t="s">
        <v>1547</v>
      </c>
      <c r="BL8" s="722" t="s">
        <v>1546</v>
      </c>
      <c r="BM8" s="674" t="s">
        <v>1693</v>
      </c>
      <c r="BN8" s="722" t="s">
        <v>1495</v>
      </c>
      <c r="BO8" s="674" t="s">
        <v>1522</v>
      </c>
      <c r="BP8" s="722" t="s">
        <v>1521</v>
      </c>
      <c r="BQ8" s="732"/>
      <c r="BR8" s="727"/>
      <c r="BS8" s="885" t="s">
        <v>1719</v>
      </c>
      <c r="BT8" s="722" t="s">
        <v>1722</v>
      </c>
      <c r="BU8" s="706" t="s">
        <v>1773</v>
      </c>
      <c r="BV8" s="721" t="s">
        <v>1770</v>
      </c>
      <c r="BW8" s="667" t="s">
        <v>193</v>
      </c>
      <c r="BX8" s="634" t="s">
        <v>194</v>
      </c>
      <c r="BY8" s="266" t="s">
        <v>1764</v>
      </c>
      <c r="BZ8" s="266" t="s">
        <v>1715</v>
      </c>
      <c r="CA8" s="667" t="s">
        <v>207</v>
      </c>
      <c r="CB8" s="634" t="s">
        <v>208</v>
      </c>
      <c r="CC8" s="723" t="s">
        <v>0</v>
      </c>
      <c r="CD8" s="667"/>
      <c r="CF8" s="667"/>
      <c r="CG8" s="634"/>
      <c r="CH8" s="667"/>
      <c r="CI8" s="634" t="s">
        <v>794</v>
      </c>
      <c r="CJ8" s="633" t="s">
        <v>206</v>
      </c>
      <c r="CK8" s="8" t="s">
        <v>205</v>
      </c>
      <c r="CL8" s="6" t="s">
        <v>204</v>
      </c>
      <c r="CM8" s="15" t="s">
        <v>203</v>
      </c>
      <c r="CN8" s="15" t="s">
        <v>202</v>
      </c>
      <c r="CO8" s="15" t="s">
        <v>201</v>
      </c>
      <c r="CP8" s="15" t="s">
        <v>200</v>
      </c>
      <c r="CQ8" s="6" t="s">
        <v>199</v>
      </c>
      <c r="CR8" s="15" t="s">
        <v>198</v>
      </c>
      <c r="CS8" s="8" t="s">
        <v>197</v>
      </c>
      <c r="CT8" s="8" t="s">
        <v>196</v>
      </c>
      <c r="CU8" s="15" t="s">
        <v>195</v>
      </c>
      <c r="CV8" s="7"/>
      <c r="CW8" s="10" t="s">
        <v>94</v>
      </c>
      <c r="CX8" s="3" t="s">
        <v>188</v>
      </c>
      <c r="CY8" s="10" t="s">
        <v>187</v>
      </c>
      <c r="CZ8" s="4">
        <v>4</v>
      </c>
      <c r="DA8" s="4">
        <v>4</v>
      </c>
      <c r="DB8" s="3" t="s">
        <v>808</v>
      </c>
      <c r="DC8" s="3" t="s">
        <v>186</v>
      </c>
      <c r="DD8" s="3" t="s">
        <v>185</v>
      </c>
      <c r="DE8" s="3"/>
      <c r="DF8" s="3"/>
      <c r="DG8" s="3"/>
      <c r="DH8" s="8" t="s">
        <v>98</v>
      </c>
      <c r="DI8" s="8" t="s">
        <v>4</v>
      </c>
      <c r="DJ8" s="8" t="s">
        <v>98</v>
      </c>
      <c r="DK8" s="8" t="s">
        <v>98</v>
      </c>
      <c r="DL8" s="8" t="s">
        <v>98</v>
      </c>
      <c r="DM8" s="2"/>
      <c r="DN8" s="40" t="s">
        <v>184</v>
      </c>
      <c r="DO8" s="605"/>
      <c r="DP8" s="37"/>
      <c r="DQ8" s="37" t="s">
        <v>418</v>
      </c>
      <c r="DR8" s="37"/>
      <c r="DS8" s="38" t="s">
        <v>419</v>
      </c>
      <c r="DT8" s="1" t="s">
        <v>563</v>
      </c>
      <c r="DU8" s="36" t="s">
        <v>572</v>
      </c>
    </row>
    <row r="9" spans="1:125" ht="15.75" x14ac:dyDescent="0.5">
      <c r="J9" s="605"/>
      <c r="K9" s="37"/>
      <c r="L9" s="37" t="s">
        <v>1187</v>
      </c>
      <c r="M9" s="37" t="s">
        <v>1215</v>
      </c>
      <c r="N9" s="37"/>
      <c r="O9" s="606" t="s">
        <v>1237</v>
      </c>
      <c r="P9" s="1" t="s">
        <v>564</v>
      </c>
      <c r="R9" s="3" t="s">
        <v>784</v>
      </c>
      <c r="S9" s="623" t="s">
        <v>1292</v>
      </c>
      <c r="T9" s="624" t="s">
        <v>1291</v>
      </c>
      <c r="U9" s="623" t="s">
        <v>1317</v>
      </c>
      <c r="V9" s="624" t="s">
        <v>1316</v>
      </c>
      <c r="Y9" s="623"/>
      <c r="Z9" s="19"/>
      <c r="AA9" s="641"/>
      <c r="AB9" s="636"/>
      <c r="AC9" s="639" t="s">
        <v>183</v>
      </c>
      <c r="AD9" s="654" t="s">
        <v>1340</v>
      </c>
      <c r="AE9" s="660"/>
      <c r="AF9" s="659"/>
      <c r="AG9" s="639" t="s">
        <v>181</v>
      </c>
      <c r="AH9" s="654" t="s">
        <v>182</v>
      </c>
      <c r="AI9" s="639" t="s">
        <v>179</v>
      </c>
      <c r="AJ9" s="658" t="s">
        <v>180</v>
      </c>
      <c r="AK9" s="623" t="s">
        <v>162</v>
      </c>
      <c r="AL9" s="624" t="s">
        <v>11</v>
      </c>
      <c r="AM9" s="47" t="s">
        <v>1365</v>
      </c>
      <c r="AN9" s="31" t="s">
        <v>1669</v>
      </c>
      <c r="AO9" s="30"/>
      <c r="AP9" s="31"/>
      <c r="AQ9" s="30"/>
      <c r="AR9" s="31"/>
      <c r="AS9" s="30"/>
      <c r="AT9" s="37"/>
      <c r="AU9" s="665" t="s">
        <v>98</v>
      </c>
      <c r="AV9" s="31"/>
      <c r="AW9" s="37" t="s">
        <v>1657</v>
      </c>
      <c r="AX9" s="663" t="s">
        <v>679</v>
      </c>
      <c r="AY9" s="720"/>
      <c r="AZ9" s="722" t="s">
        <v>0</v>
      </c>
      <c r="BA9" s="720" t="s">
        <v>1565</v>
      </c>
      <c r="BB9" s="729" t="s">
        <v>0</v>
      </c>
      <c r="BC9" s="732" t="s">
        <v>1573</v>
      </c>
      <c r="BD9" s="729" t="s">
        <v>1572</v>
      </c>
      <c r="BE9" s="732" t="s">
        <v>1590</v>
      </c>
      <c r="BF9" s="729" t="s">
        <v>1589</v>
      </c>
      <c r="BG9" s="720" t="s">
        <v>172</v>
      </c>
      <c r="BH9" s="729" t="s">
        <v>173</v>
      </c>
      <c r="BI9" s="720"/>
      <c r="BJ9" s="727"/>
      <c r="BK9" s="732" t="s">
        <v>1548</v>
      </c>
      <c r="BL9" s="729" t="s">
        <v>1514</v>
      </c>
      <c r="BM9" s="674" t="s">
        <v>1694</v>
      </c>
      <c r="BN9" s="722" t="s">
        <v>1496</v>
      </c>
      <c r="BO9" s="674" t="s">
        <v>1523</v>
      </c>
      <c r="BP9" s="729" t="s">
        <v>0</v>
      </c>
      <c r="BQ9" s="720"/>
      <c r="BR9" s="727"/>
      <c r="BS9" s="885" t="s">
        <v>1723</v>
      </c>
      <c r="BT9" s="722" t="s">
        <v>1724</v>
      </c>
      <c r="BU9" s="706" t="s">
        <v>1400</v>
      </c>
      <c r="BV9" s="721" t="s">
        <v>1399</v>
      </c>
      <c r="BW9" s="667" t="s">
        <v>168</v>
      </c>
      <c r="BX9" s="634" t="s">
        <v>169</v>
      </c>
      <c r="BY9" s="266" t="s">
        <v>1765</v>
      </c>
      <c r="BZ9" s="266" t="s">
        <v>1716</v>
      </c>
      <c r="CA9" s="667" t="s">
        <v>177</v>
      </c>
      <c r="CB9" s="634" t="s">
        <v>178</v>
      </c>
      <c r="CC9" s="634"/>
      <c r="CD9" s="667"/>
      <c r="CF9" s="667"/>
      <c r="CH9" s="667"/>
      <c r="CI9" s="634" t="s">
        <v>0</v>
      </c>
      <c r="CJ9" s="633" t="s">
        <v>0</v>
      </c>
      <c r="CK9" s="8" t="s">
        <v>0</v>
      </c>
      <c r="CL9" s="6"/>
      <c r="CM9" s="15" t="s">
        <v>176</v>
      </c>
      <c r="CN9" s="15" t="s">
        <v>175</v>
      </c>
      <c r="CO9" s="15" t="s">
        <v>174</v>
      </c>
      <c r="CP9" s="15" t="s">
        <v>173</v>
      </c>
      <c r="CQ9" s="6" t="s">
        <v>172</v>
      </c>
      <c r="CR9" s="7"/>
      <c r="CS9" s="15" t="s">
        <v>171</v>
      </c>
      <c r="CT9" s="8" t="s">
        <v>170</v>
      </c>
      <c r="CU9" s="7"/>
      <c r="CV9" s="7"/>
      <c r="CW9" s="10" t="s">
        <v>89</v>
      </c>
      <c r="CX9" s="3" t="s">
        <v>166</v>
      </c>
      <c r="CY9" s="16" t="s">
        <v>165</v>
      </c>
      <c r="CZ9" s="4">
        <v>5</v>
      </c>
      <c r="DA9" s="4">
        <v>5</v>
      </c>
      <c r="DB9" s="3" t="s">
        <v>784</v>
      </c>
      <c r="DC9" s="3" t="s">
        <v>164</v>
      </c>
      <c r="DD9" s="3" t="s">
        <v>163</v>
      </c>
      <c r="DE9" s="3"/>
      <c r="DF9" s="3"/>
      <c r="DG9" s="3"/>
      <c r="DH9" s="8" t="s">
        <v>86</v>
      </c>
      <c r="DI9" s="8" t="s">
        <v>3</v>
      </c>
      <c r="DJ9" s="8" t="s">
        <v>86</v>
      </c>
      <c r="DK9" s="8" t="s">
        <v>86</v>
      </c>
      <c r="DL9" s="8" t="s">
        <v>86</v>
      </c>
      <c r="DM9" s="2"/>
      <c r="DN9" s="40" t="s">
        <v>162</v>
      </c>
      <c r="DO9" s="605"/>
      <c r="DP9" s="37"/>
      <c r="DQ9" s="37" t="s">
        <v>420</v>
      </c>
      <c r="DR9" s="37"/>
      <c r="DS9" s="38" t="s">
        <v>421</v>
      </c>
      <c r="DT9" s="1" t="s">
        <v>564</v>
      </c>
      <c r="DU9" s="1" t="s">
        <v>571</v>
      </c>
    </row>
    <row r="10" spans="1:125" ht="18" x14ac:dyDescent="0.5">
      <c r="J10" s="605"/>
      <c r="K10" s="37"/>
      <c r="L10" s="37" t="s">
        <v>1188</v>
      </c>
      <c r="M10" s="37" t="s">
        <v>526</v>
      </c>
      <c r="N10" s="37"/>
      <c r="O10" s="606" t="s">
        <v>1238</v>
      </c>
      <c r="P10" s="1" t="s">
        <v>565</v>
      </c>
      <c r="R10" s="3" t="s">
        <v>809</v>
      </c>
      <c r="S10" s="623" t="s">
        <v>1294</v>
      </c>
      <c r="T10" s="624" t="s">
        <v>1293</v>
      </c>
      <c r="U10" s="623" t="s">
        <v>1319</v>
      </c>
      <c r="V10" s="624" t="s">
        <v>1318</v>
      </c>
      <c r="W10" s="623"/>
      <c r="X10" s="624"/>
      <c r="Y10" s="623"/>
      <c r="Z10" s="19"/>
      <c r="AA10" s="641"/>
      <c r="AB10" s="636"/>
      <c r="AC10" s="639" t="s">
        <v>161</v>
      </c>
      <c r="AD10" s="654" t="s">
        <v>1341</v>
      </c>
      <c r="AE10" s="660"/>
      <c r="AF10" s="636"/>
      <c r="AG10" s="639" t="s">
        <v>159</v>
      </c>
      <c r="AH10" s="654" t="s">
        <v>160</v>
      </c>
      <c r="AI10" s="639" t="s">
        <v>157</v>
      </c>
      <c r="AJ10" s="658" t="s">
        <v>158</v>
      </c>
      <c r="AK10" s="623" t="s">
        <v>146</v>
      </c>
      <c r="AL10" s="624" t="s">
        <v>10</v>
      </c>
      <c r="AM10" s="47" t="s">
        <v>1365</v>
      </c>
      <c r="AN10" s="31" t="s">
        <v>1671</v>
      </c>
      <c r="AO10" s="30"/>
      <c r="AP10" s="31"/>
      <c r="AQ10" s="30"/>
      <c r="AR10" s="31"/>
      <c r="AS10" s="30"/>
      <c r="AT10" s="37"/>
      <c r="AU10" s="665" t="s">
        <v>86</v>
      </c>
      <c r="AV10" s="31"/>
      <c r="AY10" s="726"/>
      <c r="AZ10" s="727"/>
      <c r="BA10" s="720"/>
      <c r="BB10" s="729"/>
      <c r="BC10" s="732" t="s">
        <v>1575</v>
      </c>
      <c r="BD10" s="729" t="s">
        <v>1574</v>
      </c>
      <c r="BE10" s="732" t="s">
        <v>1592</v>
      </c>
      <c r="BF10" s="729" t="s">
        <v>1591</v>
      </c>
      <c r="BG10" s="720" t="s">
        <v>154</v>
      </c>
      <c r="BH10" s="729" t="s">
        <v>0</v>
      </c>
      <c r="BI10" s="720"/>
      <c r="BJ10" s="727"/>
      <c r="BK10" s="720"/>
      <c r="BL10" s="727"/>
      <c r="BM10" s="674" t="s">
        <v>1695</v>
      </c>
      <c r="BN10" s="722" t="s">
        <v>1497</v>
      </c>
      <c r="BQ10" s="720"/>
      <c r="BR10" s="727"/>
      <c r="BS10" s="885" t="s">
        <v>1725</v>
      </c>
      <c r="BT10" s="722" t="s">
        <v>1714</v>
      </c>
      <c r="BU10" s="706" t="s">
        <v>1402</v>
      </c>
      <c r="BV10" s="721" t="s">
        <v>1401</v>
      </c>
      <c r="BW10" s="667" t="s">
        <v>151</v>
      </c>
      <c r="BX10" s="634" t="s">
        <v>152</v>
      </c>
      <c r="BY10" s="266" t="s">
        <v>1766</v>
      </c>
      <c r="BZ10" s="46" t="s">
        <v>1767</v>
      </c>
      <c r="CA10" s="634"/>
      <c r="CB10" s="667"/>
      <c r="CC10" s="634"/>
      <c r="CD10" s="667"/>
      <c r="CE10" s="634"/>
      <c r="CF10" s="667"/>
      <c r="CH10" s="667"/>
      <c r="CI10" s="634"/>
      <c r="CJ10" s="633"/>
      <c r="CK10" s="12"/>
      <c r="CL10" s="6"/>
      <c r="CM10" s="15"/>
      <c r="CN10" s="15" t="s">
        <v>156</v>
      </c>
      <c r="CO10" s="15" t="s">
        <v>155</v>
      </c>
      <c r="CP10" s="15" t="s">
        <v>0</v>
      </c>
      <c r="CQ10" s="6" t="s">
        <v>154</v>
      </c>
      <c r="CR10" s="7"/>
      <c r="CS10" s="7"/>
      <c r="CT10" s="8" t="s">
        <v>153</v>
      </c>
      <c r="CU10" s="7"/>
      <c r="CV10" s="7"/>
      <c r="CW10" s="10" t="s">
        <v>82</v>
      </c>
      <c r="CX10" s="3" t="s">
        <v>150</v>
      </c>
      <c r="CY10" s="10" t="s">
        <v>149</v>
      </c>
      <c r="CZ10" s="4">
        <v>6</v>
      </c>
      <c r="DA10" s="4">
        <v>6</v>
      </c>
      <c r="DB10" s="3" t="s">
        <v>809</v>
      </c>
      <c r="DC10" s="3" t="s">
        <v>148</v>
      </c>
      <c r="DD10" s="3" t="s">
        <v>147</v>
      </c>
      <c r="DE10" s="3"/>
      <c r="DF10" s="3"/>
      <c r="DG10" s="3"/>
      <c r="DH10" s="12" t="s">
        <v>80</v>
      </c>
      <c r="DI10" s="12" t="s">
        <v>2</v>
      </c>
      <c r="DJ10" s="12" t="s">
        <v>80</v>
      </c>
      <c r="DK10" s="12" t="s">
        <v>80</v>
      </c>
      <c r="DL10" s="12" t="s">
        <v>80</v>
      </c>
      <c r="DM10" s="2"/>
      <c r="DN10" s="40" t="s">
        <v>146</v>
      </c>
      <c r="DO10" s="605"/>
      <c r="DP10" s="37"/>
      <c r="DQ10" s="37" t="s">
        <v>422</v>
      </c>
      <c r="DR10" s="37"/>
      <c r="DS10" s="38" t="s">
        <v>423</v>
      </c>
      <c r="DT10" s="1" t="s">
        <v>565</v>
      </c>
      <c r="DU10" s="36" t="s">
        <v>227</v>
      </c>
    </row>
    <row r="11" spans="1:125" ht="15.75" x14ac:dyDescent="0.5">
      <c r="J11" s="605"/>
      <c r="K11" s="38" t="s">
        <v>424</v>
      </c>
      <c r="L11" s="606" t="s">
        <v>1189</v>
      </c>
      <c r="M11" s="606" t="s">
        <v>527</v>
      </c>
      <c r="N11" s="37"/>
      <c r="O11" s="607" t="s">
        <v>1239</v>
      </c>
      <c r="P11" s="36" t="s">
        <v>566</v>
      </c>
      <c r="Q11" s="36"/>
      <c r="R11" s="36"/>
      <c r="S11" s="627" t="s">
        <v>1296</v>
      </c>
      <c r="T11" s="624" t="s">
        <v>1295</v>
      </c>
      <c r="U11" s="623"/>
      <c r="W11" s="623"/>
      <c r="X11" s="624"/>
      <c r="Y11" s="623"/>
      <c r="Z11" s="19"/>
      <c r="AA11" s="641"/>
      <c r="AB11" s="636"/>
      <c r="AC11" s="639" t="s">
        <v>145</v>
      </c>
      <c r="AD11" s="654" t="s">
        <v>1342</v>
      </c>
      <c r="AE11" s="660"/>
      <c r="AF11" s="636"/>
      <c r="AG11" s="639" t="s">
        <v>143</v>
      </c>
      <c r="AH11" s="654" t="s">
        <v>144</v>
      </c>
      <c r="AI11" s="639" t="s">
        <v>141</v>
      </c>
      <c r="AJ11" s="658" t="s">
        <v>142</v>
      </c>
      <c r="AK11" s="623" t="s">
        <v>133</v>
      </c>
      <c r="AL11" s="624" t="s">
        <v>9</v>
      </c>
      <c r="AM11" s="47" t="s">
        <v>1365</v>
      </c>
      <c r="AN11" s="31" t="s">
        <v>1670</v>
      </c>
      <c r="AO11" s="30"/>
      <c r="AP11" s="31"/>
      <c r="AQ11" s="30"/>
      <c r="AR11" s="31"/>
      <c r="AS11" s="30"/>
      <c r="AT11" s="37"/>
      <c r="AU11" s="691" t="s">
        <v>80</v>
      </c>
      <c r="AV11" s="31"/>
      <c r="AW11" s="37"/>
      <c r="AX11" s="37"/>
      <c r="AY11" s="641"/>
      <c r="AZ11" s="727"/>
      <c r="BA11" s="720"/>
      <c r="BB11" s="729"/>
      <c r="BC11" s="732" t="s">
        <v>1577</v>
      </c>
      <c r="BD11" s="729" t="s">
        <v>1576</v>
      </c>
      <c r="BE11" s="732" t="s">
        <v>1593</v>
      </c>
      <c r="BF11" s="729" t="s">
        <v>0</v>
      </c>
      <c r="BG11" s="732"/>
      <c r="BH11" s="727"/>
      <c r="BI11" s="720"/>
      <c r="BJ11" s="727"/>
      <c r="BK11" s="720"/>
      <c r="BL11" s="727"/>
      <c r="BM11" s="674" t="s">
        <v>1696</v>
      </c>
      <c r="BN11" s="722" t="s">
        <v>1498</v>
      </c>
      <c r="BO11" s="674"/>
      <c r="BP11" s="727"/>
      <c r="BQ11" s="720"/>
      <c r="BR11" s="727"/>
      <c r="BS11" s="885" t="s">
        <v>1726</v>
      </c>
      <c r="BT11" s="722" t="s">
        <v>1727</v>
      </c>
      <c r="BU11" s="706" t="s">
        <v>1404</v>
      </c>
      <c r="BV11" s="721" t="s">
        <v>1403</v>
      </c>
      <c r="BW11" s="667" t="s">
        <v>136</v>
      </c>
      <c r="BX11" s="634" t="s">
        <v>137</v>
      </c>
      <c r="BY11" s="46" t="s">
        <v>1768</v>
      </c>
      <c r="BZ11" s="46" t="s">
        <v>1769</v>
      </c>
      <c r="CB11" s="667"/>
      <c r="CC11" s="634"/>
      <c r="CD11" s="667"/>
      <c r="CE11" s="634"/>
      <c r="CF11" s="667"/>
      <c r="CH11" s="667"/>
      <c r="CI11" s="634"/>
      <c r="CJ11" s="633"/>
      <c r="CK11" s="3"/>
      <c r="CL11" s="6"/>
      <c r="CM11" s="15"/>
      <c r="CN11" s="15" t="s">
        <v>140</v>
      </c>
      <c r="CO11" s="15" t="s">
        <v>139</v>
      </c>
      <c r="CP11" s="15"/>
      <c r="CQ11" s="6"/>
      <c r="CR11" s="7"/>
      <c r="CS11" s="7"/>
      <c r="CT11" s="8" t="s">
        <v>138</v>
      </c>
      <c r="CU11" s="7"/>
      <c r="CV11" s="7"/>
      <c r="CW11" s="10" t="s">
        <v>76</v>
      </c>
      <c r="CX11" s="3" t="s">
        <v>135</v>
      </c>
      <c r="CY11" s="10" t="s">
        <v>33</v>
      </c>
      <c r="CZ11" s="4">
        <v>7</v>
      </c>
      <c r="DA11" s="4">
        <v>7</v>
      </c>
      <c r="DB11" s="3"/>
      <c r="DC11" s="3" t="s">
        <v>134</v>
      </c>
      <c r="DD11" s="3"/>
      <c r="DE11" s="3"/>
      <c r="DF11" s="3"/>
      <c r="DG11" s="3"/>
      <c r="DH11" s="12" t="s">
        <v>16</v>
      </c>
      <c r="DI11" s="8" t="s">
        <v>1</v>
      </c>
      <c r="DJ11" s="8" t="s">
        <v>16</v>
      </c>
      <c r="DK11" s="8" t="s">
        <v>16</v>
      </c>
      <c r="DL11" s="12" t="s">
        <v>16</v>
      </c>
      <c r="DM11" s="2"/>
      <c r="DN11" s="40" t="s">
        <v>133</v>
      </c>
      <c r="DO11" s="605"/>
      <c r="DP11" s="38" t="s">
        <v>424</v>
      </c>
      <c r="DQ11" s="38" t="s">
        <v>425</v>
      </c>
      <c r="DR11" s="37"/>
      <c r="DS11" s="44" t="s">
        <v>426</v>
      </c>
      <c r="DT11" s="36" t="s">
        <v>566</v>
      </c>
      <c r="DU11" s="1"/>
    </row>
    <row r="12" spans="1:125" ht="15.75" x14ac:dyDescent="0.5">
      <c r="J12" s="33"/>
      <c r="K12" s="37"/>
      <c r="L12" s="606" t="s">
        <v>1190</v>
      </c>
      <c r="M12" s="606" t="s">
        <v>1216</v>
      </c>
      <c r="N12" s="37"/>
      <c r="O12" s="606" t="s">
        <v>1245</v>
      </c>
      <c r="P12" s="36" t="s">
        <v>567</v>
      </c>
      <c r="Q12" s="36"/>
      <c r="R12" s="36"/>
      <c r="S12" s="627" t="s">
        <v>1298</v>
      </c>
      <c r="T12" s="624" t="s">
        <v>1297</v>
      </c>
      <c r="U12" s="623"/>
      <c r="V12" s="624"/>
      <c r="W12" s="623"/>
      <c r="X12" s="624"/>
      <c r="Y12" s="623"/>
      <c r="Z12" s="19"/>
      <c r="AA12" s="635"/>
      <c r="AB12" s="636"/>
      <c r="AC12" s="639" t="s">
        <v>132</v>
      </c>
      <c r="AD12" s="654" t="s">
        <v>1343</v>
      </c>
      <c r="AE12" s="660"/>
      <c r="AF12" s="636"/>
      <c r="AG12" s="639" t="s">
        <v>130</v>
      </c>
      <c r="AH12" s="654" t="s">
        <v>131</v>
      </c>
      <c r="AI12" s="639" t="s">
        <v>128</v>
      </c>
      <c r="AJ12" s="663" t="s">
        <v>129</v>
      </c>
      <c r="AK12" s="623" t="s">
        <v>121</v>
      </c>
      <c r="AL12" s="624" t="s">
        <v>8</v>
      </c>
      <c r="AM12" s="47" t="s">
        <v>1366</v>
      </c>
      <c r="AN12" s="31" t="s">
        <v>1367</v>
      </c>
      <c r="AO12" s="30"/>
      <c r="AP12" s="31"/>
      <c r="AQ12" s="30"/>
      <c r="AR12" s="31"/>
      <c r="AS12" s="30"/>
      <c r="AT12" s="37"/>
      <c r="AU12" s="665" t="s">
        <v>75</v>
      </c>
      <c r="AV12" s="31"/>
      <c r="AW12" s="37"/>
      <c r="AX12" s="37"/>
      <c r="AY12" s="641"/>
      <c r="AZ12" s="727"/>
      <c r="BA12" s="720"/>
      <c r="BB12" s="729"/>
      <c r="BC12" s="732" t="s">
        <v>1579</v>
      </c>
      <c r="BD12" s="729" t="s">
        <v>1578</v>
      </c>
      <c r="BE12" s="732"/>
      <c r="BF12" s="729"/>
      <c r="BG12" s="639"/>
      <c r="BH12" s="727"/>
      <c r="BI12" s="720"/>
      <c r="BJ12" s="727"/>
      <c r="BK12" s="720"/>
      <c r="BL12" s="727"/>
      <c r="BM12" s="674" t="s">
        <v>1531</v>
      </c>
      <c r="BN12" s="722" t="s">
        <v>1530</v>
      </c>
      <c r="BO12" s="674"/>
      <c r="BP12" s="727"/>
      <c r="BQ12" s="720"/>
      <c r="BR12" s="727"/>
      <c r="BS12" s="885" t="s">
        <v>1728</v>
      </c>
      <c r="BT12" s="722" t="s">
        <v>1729</v>
      </c>
      <c r="BU12" s="706" t="s">
        <v>1406</v>
      </c>
      <c r="BV12" s="721" t="s">
        <v>1405</v>
      </c>
      <c r="BW12" s="667" t="s">
        <v>124</v>
      </c>
      <c r="BX12" s="634" t="s">
        <v>125</v>
      </c>
      <c r="BY12" s="634"/>
      <c r="BZ12" s="634"/>
      <c r="CB12" s="667"/>
      <c r="CC12" s="634"/>
      <c r="CD12" s="667"/>
      <c r="CE12" s="634"/>
      <c r="CF12" s="667"/>
      <c r="CG12" s="634"/>
      <c r="CH12" s="667"/>
      <c r="CI12" s="634"/>
      <c r="CJ12" s="633"/>
      <c r="CK12" s="3"/>
      <c r="CL12" s="6"/>
      <c r="CM12" s="15"/>
      <c r="CN12" s="15" t="s">
        <v>127</v>
      </c>
      <c r="CO12" s="15"/>
      <c r="CP12" s="3"/>
      <c r="CQ12" s="6"/>
      <c r="CR12" s="7"/>
      <c r="CS12" s="7"/>
      <c r="CT12" s="15" t="s">
        <v>126</v>
      </c>
      <c r="CU12" s="7"/>
      <c r="CV12" s="7"/>
      <c r="CW12" s="10" t="s">
        <v>72</v>
      </c>
      <c r="CX12" s="3" t="s">
        <v>123</v>
      </c>
      <c r="CY12" s="10" t="s">
        <v>31</v>
      </c>
      <c r="CZ12" s="4">
        <v>8</v>
      </c>
      <c r="DA12" s="4">
        <v>8</v>
      </c>
      <c r="DB12" s="3"/>
      <c r="DC12" s="3" t="s">
        <v>122</v>
      </c>
      <c r="DD12" s="3"/>
      <c r="DE12" s="3"/>
      <c r="DF12" s="3"/>
      <c r="DG12" s="3"/>
      <c r="DH12" s="8" t="s">
        <v>75</v>
      </c>
      <c r="DI12" s="8" t="s">
        <v>7</v>
      </c>
      <c r="DJ12" s="8" t="s">
        <v>75</v>
      </c>
      <c r="DK12" s="8" t="s">
        <v>75</v>
      </c>
      <c r="DL12" s="8" t="s">
        <v>75</v>
      </c>
      <c r="DM12" s="2"/>
      <c r="DN12" s="40" t="s">
        <v>121</v>
      </c>
      <c r="DO12" s="33"/>
      <c r="DP12" s="37"/>
      <c r="DQ12" s="38" t="s">
        <v>427</v>
      </c>
      <c r="DR12" s="37"/>
      <c r="DS12" s="38" t="s">
        <v>428</v>
      </c>
      <c r="DT12" s="36" t="s">
        <v>567</v>
      </c>
      <c r="DU12" s="1"/>
    </row>
    <row r="13" spans="1:125" ht="15.75" x14ac:dyDescent="0.5">
      <c r="J13" s="33"/>
      <c r="K13" s="37"/>
      <c r="L13" s="37"/>
      <c r="M13" s="37"/>
      <c r="N13" s="37"/>
      <c r="O13" s="37"/>
      <c r="S13" s="30" t="s">
        <v>1300</v>
      </c>
      <c r="T13" s="624" t="s">
        <v>1299</v>
      </c>
      <c r="U13" s="623"/>
      <c r="V13" s="624"/>
      <c r="W13" s="623"/>
      <c r="X13" s="624"/>
      <c r="Y13" s="623"/>
      <c r="Z13" s="19"/>
      <c r="AA13" s="635"/>
      <c r="AB13" s="636"/>
      <c r="AC13" s="639" t="s">
        <v>119</v>
      </c>
      <c r="AD13" s="654" t="s">
        <v>1339</v>
      </c>
      <c r="AE13" s="660"/>
      <c r="AF13" s="636"/>
      <c r="AG13" s="641"/>
      <c r="AH13" s="636"/>
      <c r="AI13" s="639"/>
      <c r="AJ13" s="663"/>
      <c r="AK13" s="623" t="s">
        <v>113</v>
      </c>
      <c r="AL13" s="624" t="s">
        <v>0</v>
      </c>
      <c r="AM13" s="47" t="s">
        <v>1368</v>
      </c>
      <c r="AN13" s="31" t="s">
        <v>1661</v>
      </c>
      <c r="AO13" s="30"/>
      <c r="AP13" s="31"/>
      <c r="AQ13" s="30"/>
      <c r="AR13" s="31"/>
      <c r="AS13" s="30"/>
      <c r="AT13" s="37"/>
      <c r="AU13" s="665" t="s">
        <v>6</v>
      </c>
      <c r="AV13" s="31"/>
      <c r="AW13" s="37"/>
      <c r="AX13" s="37"/>
      <c r="AY13" s="641"/>
      <c r="AZ13" s="727"/>
      <c r="BA13" s="720"/>
      <c r="BB13" s="729"/>
      <c r="BC13" s="732" t="s">
        <v>1581</v>
      </c>
      <c r="BD13" s="729" t="s">
        <v>1580</v>
      </c>
      <c r="BE13" s="732"/>
      <c r="BF13" s="729"/>
      <c r="BG13" s="639"/>
      <c r="BH13" s="727"/>
      <c r="BI13" s="720"/>
      <c r="BJ13" s="727"/>
      <c r="BK13" s="720"/>
      <c r="BL13" s="727"/>
      <c r="BM13" s="674" t="s">
        <v>1699</v>
      </c>
      <c r="BN13" s="722" t="s">
        <v>1502</v>
      </c>
      <c r="BO13" s="732"/>
      <c r="BP13" s="727"/>
      <c r="BQ13" s="720"/>
      <c r="BR13" s="727"/>
      <c r="BS13" s="885" t="s">
        <v>1730</v>
      </c>
      <c r="BT13" s="722" t="s">
        <v>1731</v>
      </c>
      <c r="BU13" s="706" t="s">
        <v>1408</v>
      </c>
      <c r="BV13" s="721" t="s">
        <v>1407</v>
      </c>
      <c r="BW13" s="667" t="s">
        <v>116</v>
      </c>
      <c r="BX13" s="634" t="s">
        <v>117</v>
      </c>
      <c r="BY13" s="634"/>
      <c r="BZ13" s="634"/>
      <c r="CB13" s="667"/>
      <c r="CC13" s="634"/>
      <c r="CD13" s="667"/>
      <c r="CE13" s="634"/>
      <c r="CF13" s="667"/>
      <c r="CG13" s="634"/>
      <c r="CH13" s="667"/>
      <c r="CI13" s="634"/>
      <c r="CJ13" s="633"/>
      <c r="CK13" s="3"/>
      <c r="CL13" s="6"/>
      <c r="CM13" s="15"/>
      <c r="CN13" s="15" t="s">
        <v>118</v>
      </c>
      <c r="CO13" s="15"/>
      <c r="CP13" s="3"/>
      <c r="CQ13" s="6"/>
      <c r="CR13" s="7"/>
      <c r="CS13" s="7"/>
      <c r="CT13" s="7"/>
      <c r="CU13" s="7"/>
      <c r="CV13" s="7"/>
      <c r="CW13" s="10" t="s">
        <v>69</v>
      </c>
      <c r="CX13" s="10" t="s">
        <v>115</v>
      </c>
      <c r="CY13" s="10" t="s">
        <v>29</v>
      </c>
      <c r="CZ13" s="4">
        <v>9</v>
      </c>
      <c r="DA13" s="4">
        <v>9</v>
      </c>
      <c r="DB13" s="3"/>
      <c r="DC13" s="3" t="s">
        <v>114</v>
      </c>
      <c r="DD13" s="3"/>
      <c r="DE13" s="3"/>
      <c r="DF13" s="3"/>
      <c r="DG13" s="3"/>
      <c r="DH13" s="8" t="s">
        <v>6</v>
      </c>
      <c r="DI13" s="8" t="s">
        <v>0</v>
      </c>
      <c r="DJ13" s="8" t="s">
        <v>6</v>
      </c>
      <c r="DK13" s="8" t="s">
        <v>6</v>
      </c>
      <c r="DL13" s="8" t="s">
        <v>6</v>
      </c>
      <c r="DM13" s="2"/>
      <c r="DN13" s="40" t="s">
        <v>113</v>
      </c>
      <c r="DO13" s="33"/>
      <c r="DP13" s="37"/>
      <c r="DQ13" s="37"/>
      <c r="DR13" s="37"/>
      <c r="DS13" s="37"/>
      <c r="DT13" s="1"/>
      <c r="DU13" s="1"/>
    </row>
    <row r="14" spans="1:125" ht="15.75" x14ac:dyDescent="0.5">
      <c r="J14" s="33"/>
      <c r="K14" s="37"/>
      <c r="L14" s="37"/>
      <c r="M14" s="37"/>
      <c r="N14" s="37"/>
      <c r="O14" s="37"/>
      <c r="S14" s="30" t="s">
        <v>1302</v>
      </c>
      <c r="T14" s="624" t="s">
        <v>1301</v>
      </c>
      <c r="U14" s="623"/>
      <c r="V14" s="624"/>
      <c r="W14" s="623"/>
      <c r="X14" s="624"/>
      <c r="Y14" s="623"/>
      <c r="Z14" s="19"/>
      <c r="AA14" s="635"/>
      <c r="AB14" s="636"/>
      <c r="AC14" s="639" t="s">
        <v>111</v>
      </c>
      <c r="AD14" s="654" t="s">
        <v>1340</v>
      </c>
      <c r="AE14" s="660"/>
      <c r="AF14" s="636"/>
      <c r="AG14" s="641"/>
      <c r="AH14" s="636"/>
      <c r="AI14" s="641"/>
      <c r="AJ14" s="663"/>
      <c r="AK14" s="623" t="s">
        <v>104</v>
      </c>
      <c r="AL14" s="624" t="s">
        <v>2371</v>
      </c>
      <c r="AM14" s="47" t="s">
        <v>1369</v>
      </c>
      <c r="AN14" s="31" t="s">
        <v>1133</v>
      </c>
      <c r="AO14" s="30"/>
      <c r="AP14" s="31"/>
      <c r="AQ14" s="30"/>
      <c r="AR14" s="31"/>
      <c r="AS14" s="30"/>
      <c r="AT14" s="37"/>
      <c r="AU14" s="665" t="s">
        <v>67</v>
      </c>
      <c r="AV14" s="31"/>
      <c r="AW14" s="37"/>
      <c r="AX14" s="37"/>
      <c r="AY14" s="641"/>
      <c r="AZ14" s="727"/>
      <c r="BA14" s="720"/>
      <c r="BB14" s="730"/>
      <c r="BC14" s="732" t="s">
        <v>1582</v>
      </c>
      <c r="BD14" s="729" t="s">
        <v>1514</v>
      </c>
      <c r="BE14" s="732"/>
      <c r="BF14" s="730"/>
      <c r="BG14" s="639"/>
      <c r="BH14" s="727"/>
      <c r="BI14" s="720"/>
      <c r="BJ14" s="727"/>
      <c r="BK14" s="720"/>
      <c r="BL14" s="727"/>
      <c r="BM14" s="674" t="s">
        <v>1700</v>
      </c>
      <c r="BN14" s="722" t="s">
        <v>1503</v>
      </c>
      <c r="BO14" s="720"/>
      <c r="BP14" s="727"/>
      <c r="BQ14" s="720"/>
      <c r="BR14" s="727"/>
      <c r="BS14" s="885" t="s">
        <v>1732</v>
      </c>
      <c r="BT14" s="722" t="s">
        <v>1733</v>
      </c>
      <c r="BU14" s="706" t="s">
        <v>1410</v>
      </c>
      <c r="BV14" s="721" t="s">
        <v>1409</v>
      </c>
      <c r="BW14" s="667" t="s">
        <v>107</v>
      </c>
      <c r="BX14" s="634" t="s">
        <v>108</v>
      </c>
      <c r="BY14" s="634"/>
      <c r="BZ14" s="634"/>
      <c r="CB14" s="667"/>
      <c r="CC14" s="634"/>
      <c r="CD14" s="667"/>
      <c r="CE14" s="634"/>
      <c r="CF14" s="667"/>
      <c r="CG14" s="634"/>
      <c r="CH14" s="667"/>
      <c r="CI14" s="634"/>
      <c r="CJ14" s="633"/>
      <c r="CK14" s="8"/>
      <c r="CL14" s="6"/>
      <c r="CM14" s="11"/>
      <c r="CN14" s="15" t="s">
        <v>110</v>
      </c>
      <c r="CO14" s="11"/>
      <c r="CP14" s="3"/>
      <c r="CQ14" s="6"/>
      <c r="CR14" s="7"/>
      <c r="CS14" s="7"/>
      <c r="CT14" s="7"/>
      <c r="CU14" s="7"/>
      <c r="CV14" s="7"/>
      <c r="CW14" s="10" t="s">
        <v>64</v>
      </c>
      <c r="CX14" s="10" t="s">
        <v>106</v>
      </c>
      <c r="CY14" s="10" t="s">
        <v>27</v>
      </c>
      <c r="CZ14" s="4">
        <v>10</v>
      </c>
      <c r="DA14" s="4">
        <v>10</v>
      </c>
      <c r="DB14" s="3"/>
      <c r="DC14" s="3" t="s">
        <v>105</v>
      </c>
      <c r="DD14" s="3"/>
      <c r="DE14" s="3"/>
      <c r="DF14" s="3"/>
      <c r="DG14" s="3"/>
      <c r="DH14" s="8" t="s">
        <v>67</v>
      </c>
      <c r="DI14" s="8"/>
      <c r="DJ14" s="8" t="s">
        <v>67</v>
      </c>
      <c r="DK14" s="8" t="s">
        <v>67</v>
      </c>
      <c r="DL14" s="8" t="s">
        <v>67</v>
      </c>
      <c r="DM14" s="2"/>
      <c r="DN14" s="40" t="s">
        <v>104</v>
      </c>
      <c r="DO14" s="33"/>
      <c r="DP14" s="37"/>
      <c r="DQ14" s="37"/>
      <c r="DR14" s="37"/>
      <c r="DS14" s="37"/>
      <c r="DT14" s="1"/>
      <c r="DU14" s="1"/>
    </row>
    <row r="15" spans="1:125" ht="15.75" x14ac:dyDescent="0.5">
      <c r="J15" s="33" t="s">
        <v>570</v>
      </c>
      <c r="K15" s="606" t="s">
        <v>1383</v>
      </c>
      <c r="L15" s="37" t="s">
        <v>1191</v>
      </c>
      <c r="M15" s="37" t="s">
        <v>1217</v>
      </c>
      <c r="N15" s="37" t="s">
        <v>273</v>
      </c>
      <c r="O15" s="37" t="s">
        <v>1246</v>
      </c>
      <c r="P15" s="1" t="s">
        <v>1247</v>
      </c>
      <c r="S15" s="30" t="s">
        <v>1304</v>
      </c>
      <c r="T15" s="624" t="s">
        <v>1303</v>
      </c>
      <c r="U15" s="623"/>
      <c r="V15" s="624"/>
      <c r="W15" s="623"/>
      <c r="X15" s="624"/>
      <c r="Y15" s="623"/>
      <c r="Z15" s="19"/>
      <c r="AA15" s="635"/>
      <c r="AB15" s="636"/>
      <c r="AC15" s="639" t="s">
        <v>103</v>
      </c>
      <c r="AD15" s="654" t="s">
        <v>1344</v>
      </c>
      <c r="AE15" s="639"/>
      <c r="AF15" s="636"/>
      <c r="AG15" s="641"/>
      <c r="AH15" s="636"/>
      <c r="AI15" s="641"/>
      <c r="AJ15" s="663"/>
      <c r="AK15" s="623" t="s">
        <v>98</v>
      </c>
      <c r="AL15" s="624"/>
      <c r="AM15" s="47" t="s">
        <v>1192</v>
      </c>
      <c r="AN15" s="31" t="s">
        <v>1370</v>
      </c>
      <c r="AO15" s="30"/>
      <c r="AP15" s="31"/>
      <c r="AQ15" s="30"/>
      <c r="AR15" s="31"/>
      <c r="AS15" s="30"/>
      <c r="AT15" s="37"/>
      <c r="AU15" s="665" t="s">
        <v>63</v>
      </c>
      <c r="AV15" s="31"/>
      <c r="AW15" s="37"/>
      <c r="AX15" s="37"/>
      <c r="AY15" s="641"/>
      <c r="AZ15" s="727"/>
      <c r="BA15" s="720"/>
      <c r="BB15" s="730"/>
      <c r="BC15" s="733"/>
      <c r="BD15" s="730"/>
      <c r="BE15" s="733"/>
      <c r="BF15" s="730"/>
      <c r="BG15" s="639"/>
      <c r="BH15" s="727"/>
      <c r="BI15" s="720"/>
      <c r="BJ15" s="727"/>
      <c r="BK15" s="720"/>
      <c r="BL15" s="727"/>
      <c r="BM15" s="732" t="s">
        <v>1533</v>
      </c>
      <c r="BN15" s="722" t="s">
        <v>1532</v>
      </c>
      <c r="BO15" s="720"/>
      <c r="BP15" s="727"/>
      <c r="BQ15" s="720"/>
      <c r="BR15" s="727"/>
      <c r="BS15" s="885" t="s">
        <v>1734</v>
      </c>
      <c r="BT15" s="43" t="s">
        <v>1735</v>
      </c>
      <c r="BU15" s="706" t="s">
        <v>1412</v>
      </c>
      <c r="BV15" s="721" t="s">
        <v>1478</v>
      </c>
      <c r="BW15" s="667" t="s">
        <v>101</v>
      </c>
      <c r="BX15" s="634" t="s">
        <v>102</v>
      </c>
      <c r="BY15" s="634"/>
      <c r="BZ15" s="634"/>
      <c r="CB15" s="667"/>
      <c r="CC15" s="634"/>
      <c r="CD15" s="667"/>
      <c r="CE15" s="634"/>
      <c r="CF15" s="667"/>
      <c r="CG15" s="634"/>
      <c r="CH15" s="667"/>
      <c r="CI15" s="634"/>
      <c r="CJ15" s="633"/>
      <c r="CK15" s="8"/>
      <c r="CL15" s="6"/>
      <c r="CM15" s="11"/>
      <c r="CN15" s="11"/>
      <c r="CO15" s="11"/>
      <c r="CP15" s="3"/>
      <c r="CQ15" s="6"/>
      <c r="CR15" s="7"/>
      <c r="CS15" s="7"/>
      <c r="CT15" s="7"/>
      <c r="CU15" s="7"/>
      <c r="CV15" s="7"/>
      <c r="CW15" s="10" t="s">
        <v>61</v>
      </c>
      <c r="CX15" s="10" t="s">
        <v>100</v>
      </c>
      <c r="CY15" s="10" t="s">
        <v>25</v>
      </c>
      <c r="CZ15" s="4">
        <v>15</v>
      </c>
      <c r="DA15" s="4">
        <v>15</v>
      </c>
      <c r="DB15" s="3"/>
      <c r="DC15" s="3" t="s">
        <v>99</v>
      </c>
      <c r="DD15" s="3"/>
      <c r="DE15" s="3"/>
      <c r="DF15" s="3"/>
      <c r="DG15" s="3"/>
      <c r="DH15" s="8" t="s">
        <v>63</v>
      </c>
      <c r="DI15" s="8"/>
      <c r="DJ15" s="8" t="s">
        <v>63</v>
      </c>
      <c r="DK15" s="8" t="s">
        <v>63</v>
      </c>
      <c r="DL15" s="8" t="s">
        <v>63</v>
      </c>
      <c r="DM15" s="2"/>
      <c r="DN15" s="40" t="s">
        <v>98</v>
      </c>
      <c r="DO15" s="33"/>
      <c r="DP15" s="38" t="s">
        <v>429</v>
      </c>
      <c r="DQ15" s="37" t="s">
        <v>430</v>
      </c>
      <c r="DR15" s="37" t="s">
        <v>273</v>
      </c>
      <c r="DS15" s="37" t="s">
        <v>431</v>
      </c>
      <c r="DT15" s="1"/>
      <c r="DU15" s="1"/>
    </row>
    <row r="16" spans="1:125" ht="15.75" x14ac:dyDescent="0.5">
      <c r="J16" s="33"/>
      <c r="K16" s="37"/>
      <c r="L16" s="37" t="s">
        <v>1193</v>
      </c>
      <c r="M16" s="37" t="s">
        <v>1133</v>
      </c>
      <c r="N16" s="37"/>
      <c r="O16" s="37" t="s">
        <v>1240</v>
      </c>
      <c r="P16" s="1" t="s">
        <v>1133</v>
      </c>
      <c r="S16" s="30" t="s">
        <v>1306</v>
      </c>
      <c r="T16" s="624" t="s">
        <v>1305</v>
      </c>
      <c r="U16" s="623"/>
      <c r="V16" s="624"/>
      <c r="W16" s="623"/>
      <c r="X16" s="624"/>
      <c r="Y16" s="623"/>
      <c r="Z16" s="19"/>
      <c r="AA16" s="635"/>
      <c r="AB16" s="636"/>
      <c r="AC16" s="639" t="s">
        <v>97</v>
      </c>
      <c r="AD16" s="654" t="s">
        <v>1345</v>
      </c>
      <c r="AE16" s="639"/>
      <c r="AF16" s="636"/>
      <c r="AG16" s="641"/>
      <c r="AH16" s="636"/>
      <c r="AI16" s="641"/>
      <c r="AJ16" s="663"/>
      <c r="AK16" s="623" t="s">
        <v>92</v>
      </c>
      <c r="AL16" s="624"/>
      <c r="AM16" s="47" t="s">
        <v>1371</v>
      </c>
      <c r="AN16" s="31" t="s">
        <v>1372</v>
      </c>
      <c r="AO16" s="30"/>
      <c r="AP16" s="31"/>
      <c r="AQ16" s="30"/>
      <c r="AR16" s="31"/>
      <c r="AS16" s="30"/>
      <c r="AT16" s="37"/>
      <c r="AU16" s="665" t="s">
        <v>60</v>
      </c>
      <c r="AV16" s="31"/>
      <c r="AW16" s="37"/>
      <c r="AX16" s="37"/>
      <c r="AY16" s="674"/>
      <c r="AZ16" s="727"/>
      <c r="BA16" s="720"/>
      <c r="BB16" s="730"/>
      <c r="BC16" s="733"/>
      <c r="BD16" s="730"/>
      <c r="BE16" s="733"/>
      <c r="BF16" s="730"/>
      <c r="BG16" s="639"/>
      <c r="BH16" s="727"/>
      <c r="BI16" s="720"/>
      <c r="BJ16" s="727"/>
      <c r="BK16" s="720"/>
      <c r="BL16" s="727"/>
      <c r="BM16" s="674" t="s">
        <v>1535</v>
      </c>
      <c r="BN16" s="722" t="s">
        <v>1534</v>
      </c>
      <c r="BO16" s="720"/>
      <c r="BP16" s="727"/>
      <c r="BQ16" s="720"/>
      <c r="BR16" s="727"/>
      <c r="BS16" s="885" t="s">
        <v>1736</v>
      </c>
      <c r="BT16" s="722" t="s">
        <v>1749</v>
      </c>
      <c r="BU16" s="706" t="s">
        <v>1771</v>
      </c>
      <c r="BV16" s="721" t="s">
        <v>1772</v>
      </c>
      <c r="BW16" s="667" t="s">
        <v>95</v>
      </c>
      <c r="BX16" s="668" t="s">
        <v>96</v>
      </c>
      <c r="BY16" s="668"/>
      <c r="BZ16" s="668"/>
      <c r="CA16" s="634"/>
      <c r="CB16" s="667"/>
      <c r="CC16" s="634"/>
      <c r="CD16" s="667"/>
      <c r="CE16" s="634"/>
      <c r="CF16" s="667"/>
      <c r="CG16" s="634"/>
      <c r="CH16" s="667"/>
      <c r="CI16" s="634"/>
      <c r="CJ16" s="633"/>
      <c r="CK16" s="8"/>
      <c r="CL16" s="6"/>
      <c r="CM16" s="11"/>
      <c r="CN16" s="11"/>
      <c r="CO16" s="11"/>
      <c r="CP16" s="3"/>
      <c r="CQ16" s="6"/>
      <c r="CR16" s="7"/>
      <c r="CS16" s="7"/>
      <c r="CT16" s="7"/>
      <c r="CU16" s="7"/>
      <c r="CV16" s="7"/>
      <c r="CW16" s="10" t="s">
        <v>59</v>
      </c>
      <c r="CX16" s="10" t="s">
        <v>94</v>
      </c>
      <c r="CY16" s="10" t="s">
        <v>23</v>
      </c>
      <c r="CZ16" s="4">
        <v>20</v>
      </c>
      <c r="DA16" s="4">
        <v>20</v>
      </c>
      <c r="DB16" s="3"/>
      <c r="DC16" s="3" t="s">
        <v>93</v>
      </c>
      <c r="DD16" s="3"/>
      <c r="DE16" s="3"/>
      <c r="DF16" s="3"/>
      <c r="DG16" s="3"/>
      <c r="DH16" s="8" t="s">
        <v>60</v>
      </c>
      <c r="DI16" s="8"/>
      <c r="DJ16" s="8" t="s">
        <v>60</v>
      </c>
      <c r="DK16" s="8" t="s">
        <v>60</v>
      </c>
      <c r="DL16" s="8" t="s">
        <v>60</v>
      </c>
      <c r="DM16" s="2"/>
      <c r="DN16" s="40" t="s">
        <v>92</v>
      </c>
      <c r="DO16" s="33"/>
      <c r="DP16" s="37"/>
      <c r="DQ16" s="37" t="s">
        <v>432</v>
      </c>
      <c r="DR16" s="37"/>
      <c r="DS16" s="37" t="s">
        <v>433</v>
      </c>
      <c r="DT16" s="1"/>
      <c r="DU16" s="1"/>
    </row>
    <row r="17" spans="10:125" ht="15.75" x14ac:dyDescent="0.5">
      <c r="J17" s="33"/>
      <c r="K17" s="37"/>
      <c r="L17" s="37" t="s">
        <v>1192</v>
      </c>
      <c r="M17" s="37" t="s">
        <v>1218</v>
      </c>
      <c r="N17" s="37"/>
      <c r="O17" s="37" t="s">
        <v>1241</v>
      </c>
      <c r="P17" s="1" t="s">
        <v>1248</v>
      </c>
      <c r="S17" s="30" t="s">
        <v>1308</v>
      </c>
      <c r="T17" s="624" t="s">
        <v>1307</v>
      </c>
      <c r="U17" s="623"/>
      <c r="V17" s="624"/>
      <c r="W17" s="623"/>
      <c r="X17" s="624"/>
      <c r="Y17" s="623"/>
      <c r="Z17" s="19"/>
      <c r="AA17" s="635"/>
      <c r="AB17" s="636"/>
      <c r="AC17" s="641"/>
      <c r="AD17" s="636" t="s">
        <v>0</v>
      </c>
      <c r="AE17" s="639"/>
      <c r="AF17" s="636"/>
      <c r="AG17" s="641"/>
      <c r="AH17" s="636"/>
      <c r="AI17" s="641"/>
      <c r="AJ17" s="663"/>
      <c r="AK17" s="623" t="s">
        <v>86</v>
      </c>
      <c r="AL17" s="624"/>
      <c r="AM17" s="37"/>
      <c r="AN17" s="31"/>
      <c r="AO17" s="30"/>
      <c r="AP17" s="31"/>
      <c r="AQ17" s="30"/>
      <c r="AR17" s="31"/>
      <c r="AS17" s="30"/>
      <c r="AT17" s="37"/>
      <c r="AU17" s="665" t="s">
        <v>87</v>
      </c>
      <c r="AV17" s="31"/>
      <c r="AW17" s="37"/>
      <c r="AX17" s="37"/>
      <c r="AY17" s="674"/>
      <c r="AZ17" s="727"/>
      <c r="BA17" s="720"/>
      <c r="BB17" s="730"/>
      <c r="BC17" s="733"/>
      <c r="BD17" s="730"/>
      <c r="BE17" s="733"/>
      <c r="BF17" s="730"/>
      <c r="BG17" s="639"/>
      <c r="BH17" s="659"/>
      <c r="BI17" s="720"/>
      <c r="BJ17" s="727"/>
      <c r="BK17" s="720"/>
      <c r="BL17" s="727"/>
      <c r="BM17" s="674" t="s">
        <v>1697</v>
      </c>
      <c r="BN17" s="722" t="s">
        <v>1504</v>
      </c>
      <c r="BO17" s="720"/>
      <c r="BP17" s="727"/>
      <c r="BQ17" s="720"/>
      <c r="BR17" s="727"/>
      <c r="BS17" s="885" t="s">
        <v>1737</v>
      </c>
      <c r="BT17" s="636" t="s">
        <v>1705</v>
      </c>
      <c r="BU17" s="706" t="s">
        <v>1414</v>
      </c>
      <c r="BV17" s="721" t="s">
        <v>1413</v>
      </c>
      <c r="BW17" s="667" t="s">
        <v>90</v>
      </c>
      <c r="BX17" s="668" t="s">
        <v>91</v>
      </c>
      <c r="BY17" s="668"/>
      <c r="BZ17" s="668"/>
      <c r="CA17" s="634"/>
      <c r="CB17" s="667"/>
      <c r="CC17" s="634"/>
      <c r="CD17" s="667"/>
      <c r="CE17" s="634"/>
      <c r="CF17" s="667"/>
      <c r="CG17" s="634"/>
      <c r="CH17" s="667"/>
      <c r="CI17" s="634"/>
      <c r="CJ17" s="633"/>
      <c r="CK17" s="8"/>
      <c r="CL17" s="6"/>
      <c r="CM17" s="11"/>
      <c r="CN17" s="11"/>
      <c r="CO17" s="11"/>
      <c r="CP17" s="3"/>
      <c r="CQ17" s="6"/>
      <c r="CR17" s="7"/>
      <c r="CS17" s="7"/>
      <c r="CT17" s="7"/>
      <c r="CU17" s="7"/>
      <c r="CV17" s="7"/>
      <c r="CW17" s="10" t="s">
        <v>57</v>
      </c>
      <c r="CX17" s="10" t="s">
        <v>89</v>
      </c>
      <c r="CY17" s="10" t="s">
        <v>21</v>
      </c>
      <c r="CZ17" s="4">
        <v>25</v>
      </c>
      <c r="DA17" s="4">
        <v>25</v>
      </c>
      <c r="DB17" s="3"/>
      <c r="DC17" s="3" t="s">
        <v>88</v>
      </c>
      <c r="DD17" s="3"/>
      <c r="DE17" s="3"/>
      <c r="DF17" s="3"/>
      <c r="DG17" s="3"/>
      <c r="DH17" s="8" t="s">
        <v>87</v>
      </c>
      <c r="DI17" s="8"/>
      <c r="DJ17" s="8" t="s">
        <v>87</v>
      </c>
      <c r="DK17" s="8" t="s">
        <v>87</v>
      </c>
      <c r="DL17" s="8" t="s">
        <v>87</v>
      </c>
      <c r="DM17" s="2"/>
      <c r="DN17" s="40" t="s">
        <v>86</v>
      </c>
      <c r="DO17" s="33"/>
      <c r="DP17" s="37"/>
      <c r="DQ17" s="37" t="s">
        <v>434</v>
      </c>
      <c r="DR17" s="37"/>
      <c r="DS17" s="37" t="s">
        <v>435</v>
      </c>
      <c r="DT17" s="1"/>
      <c r="DU17" s="1"/>
    </row>
    <row r="18" spans="10:125" ht="15.75" x14ac:dyDescent="0.5">
      <c r="J18" s="604"/>
      <c r="K18" s="37"/>
      <c r="L18" s="37" t="s">
        <v>1194</v>
      </c>
      <c r="M18" s="37" t="s">
        <v>1219</v>
      </c>
      <c r="N18" s="37"/>
      <c r="O18" s="37" t="s">
        <v>1249</v>
      </c>
      <c r="P18" s="1" t="s">
        <v>623</v>
      </c>
      <c r="S18" s="30" t="s">
        <v>1310</v>
      </c>
      <c r="T18" s="624" t="s">
        <v>1309</v>
      </c>
      <c r="U18" s="623"/>
      <c r="V18" s="624"/>
      <c r="W18" s="623"/>
      <c r="X18" s="624"/>
      <c r="Y18" s="623"/>
      <c r="Z18" s="19"/>
      <c r="AA18" s="635"/>
      <c r="AB18" s="636"/>
      <c r="AC18" s="641"/>
      <c r="AD18" s="636"/>
      <c r="AE18" s="660"/>
      <c r="AF18" s="636"/>
      <c r="AG18" s="641"/>
      <c r="AH18" s="636"/>
      <c r="AI18" s="641"/>
      <c r="AJ18" s="663"/>
      <c r="AK18" s="623" t="s">
        <v>80</v>
      </c>
      <c r="AL18" s="624"/>
      <c r="AM18" s="37"/>
      <c r="AN18" s="31"/>
      <c r="AO18" s="30"/>
      <c r="AP18" s="31"/>
      <c r="AQ18" s="30"/>
      <c r="AR18" s="31"/>
      <c r="AS18" s="30"/>
      <c r="AT18" s="37"/>
      <c r="AU18" s="665" t="s">
        <v>54</v>
      </c>
      <c r="AV18" s="31"/>
      <c r="AW18" s="37"/>
      <c r="AX18" s="37"/>
      <c r="AY18" s="674"/>
      <c r="AZ18" s="727"/>
      <c r="BA18" s="720"/>
      <c r="BB18" s="730"/>
      <c r="BC18" s="733"/>
      <c r="BD18" s="730"/>
      <c r="BE18" s="733"/>
      <c r="BF18" s="730"/>
      <c r="BG18" s="639"/>
      <c r="BH18" s="659"/>
      <c r="BI18" s="720"/>
      <c r="BJ18" s="727"/>
      <c r="BK18" s="720"/>
      <c r="BL18" s="727"/>
      <c r="BM18" s="674" t="s">
        <v>1698</v>
      </c>
      <c r="BN18" s="722" t="s">
        <v>1505</v>
      </c>
      <c r="BO18" s="720"/>
      <c r="BP18" s="727"/>
      <c r="BQ18" s="720"/>
      <c r="BR18" s="727"/>
      <c r="BS18" s="885" t="s">
        <v>1738</v>
      </c>
      <c r="BT18" s="722" t="s">
        <v>1720</v>
      </c>
      <c r="BU18" s="706" t="s">
        <v>1416</v>
      </c>
      <c r="BV18" s="721" t="s">
        <v>1415</v>
      </c>
      <c r="BW18" s="667" t="s">
        <v>84</v>
      </c>
      <c r="BX18" s="668" t="s">
        <v>85</v>
      </c>
      <c r="BY18" s="668"/>
      <c r="BZ18" s="668"/>
      <c r="CA18" s="634"/>
      <c r="CB18" s="667"/>
      <c r="CC18" s="634"/>
      <c r="CD18" s="667"/>
      <c r="CE18" s="634"/>
      <c r="CF18" s="667"/>
      <c r="CG18" s="634"/>
      <c r="CH18" s="667"/>
      <c r="CI18" s="634"/>
      <c r="CJ18" s="633"/>
      <c r="CK18" s="8"/>
      <c r="CL18" s="6"/>
      <c r="CM18" s="11"/>
      <c r="CN18" s="11"/>
      <c r="CO18" s="11"/>
      <c r="CP18" s="3"/>
      <c r="CQ18" s="6"/>
      <c r="CR18" s="7"/>
      <c r="CS18" s="7"/>
      <c r="CT18" s="7"/>
      <c r="CU18" s="7"/>
      <c r="CV18" s="7"/>
      <c r="CW18" s="10" t="s">
        <v>55</v>
      </c>
      <c r="CX18" s="10" t="s">
        <v>82</v>
      </c>
      <c r="CY18" s="10" t="s">
        <v>19</v>
      </c>
      <c r="CZ18" s="4">
        <v>30</v>
      </c>
      <c r="DA18" s="4">
        <v>30</v>
      </c>
      <c r="DB18" s="3"/>
      <c r="DC18" s="3" t="s">
        <v>81</v>
      </c>
      <c r="DD18" s="3"/>
      <c r="DE18" s="3"/>
      <c r="DF18" s="3"/>
      <c r="DG18" s="3"/>
      <c r="DH18" s="8" t="s">
        <v>54</v>
      </c>
      <c r="DI18" s="8"/>
      <c r="DJ18" s="8" t="s">
        <v>54</v>
      </c>
      <c r="DK18" s="8" t="s">
        <v>54</v>
      </c>
      <c r="DL18" s="8" t="s">
        <v>54</v>
      </c>
      <c r="DM18" s="2"/>
      <c r="DN18" s="40" t="s">
        <v>80</v>
      </c>
      <c r="DO18" s="604"/>
      <c r="DP18" s="37"/>
      <c r="DQ18" s="37" t="s">
        <v>436</v>
      </c>
      <c r="DR18" s="37"/>
      <c r="DS18" s="37" t="s">
        <v>437</v>
      </c>
      <c r="DT18" s="1"/>
      <c r="DU18" s="1"/>
    </row>
    <row r="19" spans="10:125" ht="16.149999999999999" thickBot="1" x14ac:dyDescent="0.55000000000000004">
      <c r="J19" s="605"/>
      <c r="K19" s="37"/>
      <c r="L19" s="37" t="s">
        <v>1195</v>
      </c>
      <c r="M19" s="37" t="s">
        <v>1220</v>
      </c>
      <c r="N19" s="37"/>
      <c r="O19" s="37" t="s">
        <v>1250</v>
      </c>
      <c r="P19" s="1" t="s">
        <v>1138</v>
      </c>
      <c r="S19" s="628"/>
      <c r="T19" s="629"/>
      <c r="U19" s="628"/>
      <c r="V19" s="629"/>
      <c r="W19" s="623"/>
      <c r="X19" s="624"/>
      <c r="Y19" s="623"/>
      <c r="Z19" s="19"/>
      <c r="AA19" s="642"/>
      <c r="AB19" s="643"/>
      <c r="AC19" s="655"/>
      <c r="AD19" s="643"/>
      <c r="AE19" s="661"/>
      <c r="AF19" s="643"/>
      <c r="AG19" s="655"/>
      <c r="AH19" s="643"/>
      <c r="AI19" s="655"/>
      <c r="AJ19" s="664"/>
      <c r="AK19" s="623" t="s">
        <v>75</v>
      </c>
      <c r="AL19" s="624"/>
      <c r="AM19" s="37"/>
      <c r="AN19" s="31"/>
      <c r="AO19" s="628"/>
      <c r="AP19" s="629"/>
      <c r="AQ19" s="628"/>
      <c r="AR19" s="629"/>
      <c r="AS19" s="628"/>
      <c r="AT19" s="645"/>
      <c r="AU19" s="665" t="s">
        <v>52</v>
      </c>
      <c r="AV19" s="31"/>
      <c r="AW19" s="37"/>
      <c r="AX19" s="37"/>
      <c r="AY19" s="692"/>
      <c r="AZ19" s="728"/>
      <c r="BA19" s="724"/>
      <c r="BB19" s="731"/>
      <c r="BC19" s="734"/>
      <c r="BD19" s="731"/>
      <c r="BE19" s="734"/>
      <c r="BF19" s="731"/>
      <c r="BG19" s="735"/>
      <c r="BH19" s="693"/>
      <c r="BI19" s="724"/>
      <c r="BJ19" s="728"/>
      <c r="BK19" s="724"/>
      <c r="BL19" s="728"/>
      <c r="BM19" s="674" t="s">
        <v>1538</v>
      </c>
      <c r="BN19" s="722" t="s">
        <v>1537</v>
      </c>
      <c r="BO19" s="720"/>
      <c r="BP19" s="727"/>
      <c r="BQ19" s="724"/>
      <c r="BR19" s="728"/>
      <c r="BS19" s="885" t="s">
        <v>1739</v>
      </c>
      <c r="BT19" s="722" t="s">
        <v>1721</v>
      </c>
      <c r="BU19" s="706" t="s">
        <v>1418</v>
      </c>
      <c r="BV19" s="721" t="s">
        <v>1417</v>
      </c>
      <c r="BW19" s="667" t="s">
        <v>77</v>
      </c>
      <c r="BX19" s="668" t="s">
        <v>78</v>
      </c>
      <c r="BY19" s="668"/>
      <c r="BZ19" s="668"/>
      <c r="CA19" s="634"/>
      <c r="CB19" s="667"/>
      <c r="CC19" s="634"/>
      <c r="CD19" s="667"/>
      <c r="CE19" s="634"/>
      <c r="CF19" s="667"/>
      <c r="CG19" s="634"/>
      <c r="CH19" s="667"/>
      <c r="CI19" s="634"/>
      <c r="CJ19" s="633"/>
      <c r="CK19" s="8"/>
      <c r="CL19" s="6"/>
      <c r="CM19" s="11"/>
      <c r="CN19" s="11"/>
      <c r="CO19" s="11"/>
      <c r="CP19" s="3"/>
      <c r="CQ19" s="6"/>
      <c r="CR19" s="7"/>
      <c r="CS19" s="7"/>
      <c r="CT19" s="7"/>
      <c r="CU19" s="7"/>
      <c r="CV19" s="7"/>
      <c r="CW19" s="10" t="s">
        <v>53</v>
      </c>
      <c r="CX19" s="10" t="s">
        <v>76</v>
      </c>
      <c r="CY19" s="10" t="s">
        <v>17</v>
      </c>
      <c r="CZ19" s="4">
        <v>35</v>
      </c>
      <c r="DA19" s="4">
        <v>35</v>
      </c>
      <c r="DB19" s="3"/>
      <c r="DC19" s="3"/>
      <c r="DD19" s="3"/>
      <c r="DE19" s="3"/>
      <c r="DF19" s="3"/>
      <c r="DG19" s="3"/>
      <c r="DH19" s="8" t="s">
        <v>52</v>
      </c>
      <c r="DI19" s="8"/>
      <c r="DJ19" s="8" t="s">
        <v>52</v>
      </c>
      <c r="DK19" s="8" t="s">
        <v>52</v>
      </c>
      <c r="DL19" s="8" t="s">
        <v>52</v>
      </c>
      <c r="DM19" s="2"/>
      <c r="DN19" s="40" t="s">
        <v>75</v>
      </c>
      <c r="DO19" s="605"/>
      <c r="DP19" s="37"/>
      <c r="DQ19" s="37" t="s">
        <v>438</v>
      </c>
      <c r="DR19" s="37"/>
      <c r="DS19" s="37" t="s">
        <v>439</v>
      </c>
      <c r="DT19" s="1"/>
      <c r="DU19" s="1"/>
    </row>
    <row r="20" spans="10:125" ht="16.149999999999999" thickBot="1" x14ac:dyDescent="0.55000000000000004">
      <c r="J20" s="33"/>
      <c r="K20" s="37"/>
      <c r="L20" s="37"/>
      <c r="M20" s="37"/>
      <c r="N20" s="37"/>
      <c r="O20" s="37"/>
      <c r="W20" s="628"/>
      <c r="X20" s="629"/>
      <c r="Y20" s="623"/>
      <c r="Z20" s="19"/>
      <c r="AA20" s="633"/>
      <c r="AB20" s="634"/>
      <c r="AD20" s="634"/>
      <c r="AE20" s="658"/>
      <c r="AF20" s="634"/>
      <c r="AH20" s="634"/>
      <c r="AJ20" s="634"/>
      <c r="AK20" s="639" t="s">
        <v>6</v>
      </c>
      <c r="AL20" s="636"/>
      <c r="AM20" s="37"/>
      <c r="AN20" s="31"/>
      <c r="AU20" s="665" t="s">
        <v>48</v>
      </c>
      <c r="AV20" s="659"/>
      <c r="AW20" s="33"/>
      <c r="AX20" s="33"/>
      <c r="AY20" s="666"/>
      <c r="AZ20" s="667"/>
      <c r="BA20" s="667"/>
      <c r="BB20" s="667"/>
      <c r="BC20" s="667"/>
      <c r="BD20" s="667"/>
      <c r="BE20" s="667"/>
      <c r="BF20" s="667"/>
      <c r="BG20" s="634"/>
      <c r="BI20" s="667"/>
      <c r="BJ20" s="667"/>
      <c r="BK20" s="667"/>
      <c r="BL20" s="667"/>
      <c r="BM20" s="674" t="s">
        <v>1539</v>
      </c>
      <c r="BN20" s="729" t="s">
        <v>1514</v>
      </c>
      <c r="BO20" s="724"/>
      <c r="BP20" s="728"/>
      <c r="BQ20" s="667"/>
      <c r="BR20" s="667"/>
      <c r="BS20" s="885" t="s">
        <v>1740</v>
      </c>
      <c r="BT20" s="722" t="s">
        <v>1722</v>
      </c>
      <c r="BU20" s="706" t="s">
        <v>1420</v>
      </c>
      <c r="BV20" s="721" t="s">
        <v>1419</v>
      </c>
      <c r="BW20" s="667" t="s">
        <v>73</v>
      </c>
      <c r="BX20" s="668" t="s">
        <v>74</v>
      </c>
      <c r="BY20" s="668"/>
      <c r="BZ20" s="668"/>
      <c r="CA20" s="634"/>
      <c r="CB20" s="667"/>
      <c r="CC20" s="634"/>
      <c r="CD20" s="667"/>
      <c r="CE20" s="634"/>
      <c r="CF20" s="667"/>
      <c r="CG20" s="634"/>
      <c r="CH20" s="667"/>
      <c r="CI20" s="634"/>
      <c r="CJ20" s="633"/>
      <c r="CK20" s="666"/>
      <c r="CL20" s="667"/>
      <c r="CM20" s="667"/>
      <c r="CN20" s="667"/>
      <c r="CO20" s="667"/>
      <c r="CP20" s="634"/>
      <c r="CQ20" s="667"/>
      <c r="CR20" s="667"/>
      <c r="CS20" s="667"/>
      <c r="CT20" s="667"/>
      <c r="CU20" s="667"/>
      <c r="CV20" s="667"/>
      <c r="CW20" s="670" t="s">
        <v>51</v>
      </c>
      <c r="CX20" s="670" t="s">
        <v>72</v>
      </c>
      <c r="CY20" s="670" t="s">
        <v>15</v>
      </c>
      <c r="CZ20" s="671">
        <v>40</v>
      </c>
      <c r="DA20" s="671">
        <v>40</v>
      </c>
      <c r="DB20" s="634"/>
      <c r="DC20" s="634"/>
      <c r="DD20" s="634"/>
      <c r="DE20" s="634"/>
      <c r="DF20" s="634"/>
      <c r="DG20" s="634"/>
      <c r="DH20" s="666" t="s">
        <v>48</v>
      </c>
      <c r="DI20" s="666"/>
      <c r="DJ20" s="666" t="s">
        <v>48</v>
      </c>
      <c r="DK20" s="666" t="s">
        <v>48</v>
      </c>
      <c r="DL20" s="666" t="s">
        <v>48</v>
      </c>
      <c r="DM20" s="669"/>
      <c r="DN20" s="672" t="s">
        <v>6</v>
      </c>
      <c r="DO20" s="33"/>
      <c r="DP20" s="33"/>
      <c r="DQ20" s="33"/>
      <c r="DR20" s="33"/>
      <c r="DS20" s="33"/>
    </row>
    <row r="21" spans="10:125" ht="18.399999999999999" thickBot="1" x14ac:dyDescent="0.55000000000000004">
      <c r="J21" s="33" t="s">
        <v>440</v>
      </c>
      <c r="K21" s="38" t="s">
        <v>441</v>
      </c>
      <c r="L21" s="37" t="s">
        <v>1196</v>
      </c>
      <c r="M21" s="37" t="s">
        <v>1221</v>
      </c>
      <c r="N21" s="37" t="s">
        <v>192</v>
      </c>
      <c r="O21" s="37" t="s">
        <v>1242</v>
      </c>
      <c r="P21" s="1" t="s">
        <v>1251</v>
      </c>
      <c r="Y21" s="628"/>
      <c r="Z21" s="645"/>
      <c r="AA21" s="633"/>
      <c r="AB21" s="634"/>
      <c r="AD21" s="634"/>
      <c r="AE21" s="658"/>
      <c r="AF21" s="634"/>
      <c r="AG21" s="634"/>
      <c r="AH21" s="634"/>
      <c r="AJ21" s="634"/>
      <c r="AK21" s="639" t="s">
        <v>67</v>
      </c>
      <c r="AL21" s="636"/>
      <c r="AM21" s="37"/>
      <c r="AN21" s="31"/>
      <c r="AU21" s="674" t="s">
        <v>46</v>
      </c>
      <c r="AV21" s="659"/>
      <c r="AW21" s="33"/>
      <c r="AX21" s="33"/>
      <c r="AY21" s="634"/>
      <c r="AZ21" s="667"/>
      <c r="BA21" s="667"/>
      <c r="BB21" s="667"/>
      <c r="BC21" s="667"/>
      <c r="BD21" s="667"/>
      <c r="BE21" s="667"/>
      <c r="BF21" s="667"/>
      <c r="BG21" s="634"/>
      <c r="BI21" s="667"/>
      <c r="BJ21" s="667"/>
      <c r="BK21" s="667"/>
      <c r="BL21" s="667"/>
      <c r="BO21" s="667"/>
      <c r="BP21" s="667"/>
      <c r="BQ21" s="667"/>
      <c r="BR21" s="667"/>
      <c r="BS21" s="885" t="s">
        <v>1741</v>
      </c>
      <c r="BT21" s="722" t="s">
        <v>1724</v>
      </c>
      <c r="BU21" s="706" t="s">
        <v>1422</v>
      </c>
      <c r="BV21" s="721" t="s">
        <v>1421</v>
      </c>
      <c r="BW21" s="667" t="s">
        <v>70</v>
      </c>
      <c r="BX21" s="668" t="s">
        <v>71</v>
      </c>
      <c r="BY21" s="668"/>
      <c r="BZ21" s="668"/>
      <c r="CA21" s="634"/>
      <c r="CB21" s="667"/>
      <c r="CC21" s="634"/>
      <c r="CD21" s="667"/>
      <c r="CE21" s="634"/>
      <c r="CF21" s="667"/>
      <c r="CG21" s="634"/>
      <c r="CH21" s="667"/>
      <c r="CI21" s="634"/>
      <c r="CJ21" s="633"/>
      <c r="CK21" s="634"/>
      <c r="CL21" s="667"/>
      <c r="CM21" s="667"/>
      <c r="CN21" s="667"/>
      <c r="CO21" s="667"/>
      <c r="CP21" s="634"/>
      <c r="CQ21" s="667"/>
      <c r="CR21" s="667"/>
      <c r="CS21" s="667"/>
      <c r="CT21" s="667"/>
      <c r="CU21" s="667"/>
      <c r="CV21" s="667"/>
      <c r="CW21" s="670" t="s">
        <v>49</v>
      </c>
      <c r="CX21" s="670" t="s">
        <v>69</v>
      </c>
      <c r="CY21" s="673" t="s">
        <v>0</v>
      </c>
      <c r="CZ21" s="671">
        <v>45</v>
      </c>
      <c r="DA21" s="671">
        <v>45</v>
      </c>
      <c r="DB21" s="634"/>
      <c r="DC21" s="634"/>
      <c r="DD21" s="634"/>
      <c r="DE21" s="634"/>
      <c r="DF21" s="634"/>
      <c r="DG21" s="634"/>
      <c r="DH21" s="666" t="s">
        <v>68</v>
      </c>
      <c r="DI21" s="666"/>
      <c r="DJ21" s="666" t="s">
        <v>46</v>
      </c>
      <c r="DK21" s="666" t="s">
        <v>46</v>
      </c>
      <c r="DL21" s="666" t="s">
        <v>68</v>
      </c>
      <c r="DM21" s="669"/>
      <c r="DN21" s="672" t="s">
        <v>67</v>
      </c>
      <c r="DO21" s="33" t="s">
        <v>440</v>
      </c>
      <c r="DP21" s="240" t="s">
        <v>441</v>
      </c>
      <c r="DQ21" s="33" t="s">
        <v>442</v>
      </c>
      <c r="DR21" s="33" t="s">
        <v>192</v>
      </c>
      <c r="DS21" s="33" t="s">
        <v>443</v>
      </c>
    </row>
    <row r="22" spans="10:125" ht="16.149999999999999" thickBot="1" x14ac:dyDescent="0.55000000000000004">
      <c r="J22" s="33"/>
      <c r="K22" s="37"/>
      <c r="L22" s="37" t="s">
        <v>1197</v>
      </c>
      <c r="M22" s="37" t="s">
        <v>1222</v>
      </c>
      <c r="N22" s="37"/>
      <c r="O22" s="37"/>
      <c r="AA22" s="633"/>
      <c r="AB22" s="634"/>
      <c r="AD22" s="634"/>
      <c r="AE22" s="658"/>
      <c r="AF22" s="634"/>
      <c r="AG22" s="634"/>
      <c r="AH22" s="634"/>
      <c r="AI22" s="634"/>
      <c r="AJ22" s="634"/>
      <c r="AK22" s="639" t="s">
        <v>63</v>
      </c>
      <c r="AL22" s="636"/>
      <c r="AM22" s="645"/>
      <c r="AN22" s="629"/>
      <c r="AU22" s="674" t="s">
        <v>34</v>
      </c>
      <c r="AV22" s="659"/>
      <c r="AW22" s="33"/>
      <c r="AX22" s="33"/>
      <c r="AY22" s="634"/>
      <c r="AZ22" s="667"/>
      <c r="BA22" s="667"/>
      <c r="BB22" s="667"/>
      <c r="BC22" s="667"/>
      <c r="BD22" s="667"/>
      <c r="BE22" s="667"/>
      <c r="BF22" s="667"/>
      <c r="BG22" s="634"/>
      <c r="BI22" s="667"/>
      <c r="BJ22" s="667"/>
      <c r="BK22" s="667"/>
      <c r="BL22" s="667"/>
      <c r="BM22" s="720"/>
      <c r="BN22" s="727"/>
      <c r="BO22" s="667"/>
      <c r="BP22" s="667"/>
      <c r="BQ22" s="657"/>
      <c r="BR22" s="667"/>
      <c r="BS22" s="885" t="s">
        <v>1742</v>
      </c>
      <c r="BT22" s="722" t="s">
        <v>1714</v>
      </c>
      <c r="BU22" s="706" t="s">
        <v>1424</v>
      </c>
      <c r="BV22" s="721" t="s">
        <v>1423</v>
      </c>
      <c r="BW22" s="667" t="s">
        <v>65</v>
      </c>
      <c r="BX22" s="634" t="s">
        <v>66</v>
      </c>
      <c r="BY22" s="634"/>
      <c r="BZ22" s="634"/>
      <c r="CA22" s="634"/>
      <c r="CB22" s="667"/>
      <c r="CC22" s="634"/>
      <c r="CD22" s="667"/>
      <c r="CE22" s="634"/>
      <c r="CF22" s="667"/>
      <c r="CG22" s="634"/>
      <c r="CH22" s="667"/>
      <c r="CI22" s="634"/>
      <c r="CJ22" s="633"/>
      <c r="CK22" s="634"/>
      <c r="CL22" s="667"/>
      <c r="CM22" s="667"/>
      <c r="CN22" s="667"/>
      <c r="CO22" s="667"/>
      <c r="CP22" s="634"/>
      <c r="CQ22" s="667"/>
      <c r="CR22" s="667"/>
      <c r="CS22" s="667"/>
      <c r="CT22" s="667"/>
      <c r="CU22" s="657"/>
      <c r="CV22" s="667"/>
      <c r="CW22" s="670" t="s">
        <v>47</v>
      </c>
      <c r="CX22" s="670" t="s">
        <v>64</v>
      </c>
      <c r="CY22" s="634"/>
      <c r="CZ22" s="671">
        <v>50</v>
      </c>
      <c r="DA22" s="671">
        <v>50</v>
      </c>
      <c r="DB22" s="634"/>
      <c r="DC22" s="634"/>
      <c r="DD22" s="634"/>
      <c r="DE22" s="634"/>
      <c r="DF22" s="634"/>
      <c r="DG22" s="634"/>
      <c r="DH22" s="666" t="s">
        <v>46</v>
      </c>
      <c r="DI22" s="666"/>
      <c r="DJ22" s="666" t="s">
        <v>34</v>
      </c>
      <c r="DK22" s="666" t="s">
        <v>34</v>
      </c>
      <c r="DL22" s="666" t="s">
        <v>46</v>
      </c>
      <c r="DM22" s="669"/>
      <c r="DN22" s="672" t="s">
        <v>63</v>
      </c>
      <c r="DO22" s="33"/>
      <c r="DP22" s="33"/>
      <c r="DQ22" s="33" t="s">
        <v>444</v>
      </c>
      <c r="DR22" s="33"/>
      <c r="DS22" s="33"/>
    </row>
    <row r="23" spans="10:125" ht="16.149999999999999" x14ac:dyDescent="0.5">
      <c r="J23" s="33"/>
      <c r="K23" s="37"/>
      <c r="L23" s="37" t="s">
        <v>1198</v>
      </c>
      <c r="M23" s="37" t="s">
        <v>1223</v>
      </c>
      <c r="N23" s="37"/>
      <c r="O23" s="37"/>
      <c r="AA23" s="633"/>
      <c r="AB23" s="634"/>
      <c r="AD23" s="634"/>
      <c r="AE23" s="633"/>
      <c r="AF23" s="634"/>
      <c r="AG23" s="634"/>
      <c r="AH23" s="634"/>
      <c r="AI23" s="634"/>
      <c r="AJ23" s="634"/>
      <c r="AK23" s="639" t="s">
        <v>60</v>
      </c>
      <c r="AL23" s="636"/>
      <c r="AU23" s="674" t="s">
        <v>32</v>
      </c>
      <c r="AV23" s="659"/>
      <c r="AW23" s="33"/>
      <c r="AX23" s="33"/>
      <c r="AY23" s="666"/>
      <c r="AZ23" s="667"/>
      <c r="BA23" s="667"/>
      <c r="BB23" s="667"/>
      <c r="BC23" s="667"/>
      <c r="BD23" s="667"/>
      <c r="BE23" s="667"/>
      <c r="BF23" s="667"/>
      <c r="BG23" s="634"/>
      <c r="BH23" s="719"/>
      <c r="BI23" s="667"/>
      <c r="BJ23" s="667"/>
      <c r="BK23" s="667"/>
      <c r="BL23" s="667"/>
      <c r="BM23" s="720"/>
      <c r="BN23" s="727"/>
      <c r="BO23" s="667"/>
      <c r="BP23" s="657"/>
      <c r="BQ23" s="666"/>
      <c r="BR23" s="667"/>
      <c r="BS23" s="885" t="s">
        <v>1743</v>
      </c>
      <c r="BT23" s="722" t="s">
        <v>1727</v>
      </c>
      <c r="BU23" s="706" t="s">
        <v>1426</v>
      </c>
      <c r="BV23" s="721" t="s">
        <v>1425</v>
      </c>
      <c r="BW23" s="667" t="s">
        <v>62</v>
      </c>
      <c r="BX23" s="634" t="s">
        <v>0</v>
      </c>
      <c r="BY23" s="634"/>
      <c r="BZ23" s="634"/>
      <c r="CA23" s="634"/>
      <c r="CB23" s="667"/>
      <c r="CC23" s="634"/>
      <c r="CD23" s="667"/>
      <c r="CE23" s="634"/>
      <c r="CF23" s="667"/>
      <c r="CG23" s="634"/>
      <c r="CH23" s="667"/>
      <c r="CI23" s="634"/>
      <c r="CJ23" s="633"/>
      <c r="CK23" s="666"/>
      <c r="CL23" s="667"/>
      <c r="CM23" s="667"/>
      <c r="CN23" s="667"/>
      <c r="CO23" s="667"/>
      <c r="CP23" s="634"/>
      <c r="CQ23" s="667"/>
      <c r="CR23" s="667"/>
      <c r="CS23" s="667"/>
      <c r="CT23" s="667"/>
      <c r="CU23" s="666"/>
      <c r="CV23" s="667"/>
      <c r="CW23" s="670" t="s">
        <v>45</v>
      </c>
      <c r="CX23" s="670" t="s">
        <v>61</v>
      </c>
      <c r="CY23" s="634"/>
      <c r="CZ23" s="671"/>
      <c r="DA23" s="671">
        <v>60</v>
      </c>
      <c r="DB23" s="634"/>
      <c r="DC23" s="634"/>
      <c r="DD23" s="634"/>
      <c r="DE23" s="634"/>
      <c r="DF23" s="634"/>
      <c r="DG23" s="634"/>
      <c r="DH23" s="666" t="s">
        <v>34</v>
      </c>
      <c r="DI23" s="666"/>
      <c r="DJ23" s="666" t="s">
        <v>32</v>
      </c>
      <c r="DK23" s="666" t="s">
        <v>32</v>
      </c>
      <c r="DL23" s="666" t="s">
        <v>34</v>
      </c>
      <c r="DM23" s="669"/>
      <c r="DN23" s="672" t="s">
        <v>60</v>
      </c>
      <c r="DO23" s="33"/>
      <c r="DP23" s="33"/>
      <c r="DQ23" s="33" t="s">
        <v>445</v>
      </c>
      <c r="DR23" s="33"/>
      <c r="DS23" s="33"/>
    </row>
    <row r="24" spans="10:125" ht="15.75" x14ac:dyDescent="0.5">
      <c r="J24" s="33"/>
      <c r="K24" s="37"/>
      <c r="L24" s="37" t="s">
        <v>1200</v>
      </c>
      <c r="M24" s="37" t="s">
        <v>1225</v>
      </c>
      <c r="N24" s="37"/>
      <c r="O24" s="37"/>
      <c r="AA24" s="633"/>
      <c r="AB24" s="634"/>
      <c r="AD24" s="634"/>
      <c r="AE24" s="634"/>
      <c r="AF24" s="634"/>
      <c r="AG24" s="634"/>
      <c r="AH24" s="634"/>
      <c r="AI24" s="634"/>
      <c r="AJ24" s="634"/>
      <c r="AK24" s="639" t="s">
        <v>58</v>
      </c>
      <c r="AL24" s="636"/>
      <c r="AU24" s="674" t="s">
        <v>26</v>
      </c>
      <c r="AV24" s="659"/>
      <c r="AW24" s="33"/>
      <c r="AX24" s="33"/>
      <c r="AY24" s="666"/>
      <c r="AZ24" s="667"/>
      <c r="BA24" s="667"/>
      <c r="BB24" s="667"/>
      <c r="BC24" s="667"/>
      <c r="BD24" s="667"/>
      <c r="BE24" s="667"/>
      <c r="BF24" s="667"/>
      <c r="BG24" s="634"/>
      <c r="BH24" s="667"/>
      <c r="BI24" s="667"/>
      <c r="BJ24" s="667"/>
      <c r="BK24" s="667"/>
      <c r="BL24" s="667"/>
      <c r="BM24" s="720"/>
      <c r="BN24" s="727"/>
      <c r="BO24" s="667"/>
      <c r="BP24" s="666"/>
      <c r="BQ24" s="666"/>
      <c r="BR24" s="704"/>
      <c r="BS24" s="885" t="s">
        <v>1744</v>
      </c>
      <c r="BT24" s="722" t="s">
        <v>1729</v>
      </c>
      <c r="BU24" s="706" t="s">
        <v>1774</v>
      </c>
      <c r="BV24" s="721" t="s">
        <v>1775</v>
      </c>
      <c r="BW24" s="667"/>
      <c r="BX24" s="667"/>
      <c r="BY24" s="667"/>
      <c r="BZ24" s="667"/>
      <c r="CA24" s="634"/>
      <c r="CB24" s="667"/>
      <c r="CC24" s="634"/>
      <c r="CD24" s="667"/>
      <c r="CE24" s="634"/>
      <c r="CF24" s="667"/>
      <c r="CG24" s="634"/>
      <c r="CH24" s="667"/>
      <c r="CI24" s="634"/>
      <c r="CJ24" s="633"/>
      <c r="CK24" s="666"/>
      <c r="CL24" s="667"/>
      <c r="CM24" s="667"/>
      <c r="CN24" s="667"/>
      <c r="CO24" s="667"/>
      <c r="CP24" s="634"/>
      <c r="CQ24" s="667"/>
      <c r="CR24" s="667"/>
      <c r="CS24" s="667"/>
      <c r="CT24" s="667"/>
      <c r="CU24" s="666"/>
      <c r="CV24" s="667"/>
      <c r="CW24" s="670" t="s">
        <v>43</v>
      </c>
      <c r="CX24" s="670" t="s">
        <v>59</v>
      </c>
      <c r="CY24" s="670"/>
      <c r="CZ24" s="671"/>
      <c r="DA24" s="671">
        <v>70</v>
      </c>
      <c r="DB24" s="634"/>
      <c r="DC24" s="634"/>
      <c r="DD24" s="634"/>
      <c r="DE24" s="634"/>
      <c r="DF24" s="634"/>
      <c r="DG24" s="634"/>
      <c r="DH24" s="666" t="s">
        <v>32</v>
      </c>
      <c r="DI24" s="666"/>
      <c r="DJ24" s="666" t="s">
        <v>26</v>
      </c>
      <c r="DK24" s="666" t="s">
        <v>26</v>
      </c>
      <c r="DL24" s="666" t="s">
        <v>32</v>
      </c>
      <c r="DM24" s="669"/>
      <c r="DN24" s="672" t="s">
        <v>58</v>
      </c>
      <c r="DO24" s="33"/>
      <c r="DP24" s="33"/>
      <c r="DQ24" s="33" t="s">
        <v>446</v>
      </c>
      <c r="DR24" s="33"/>
      <c r="DS24" s="33"/>
    </row>
    <row r="25" spans="10:125" ht="15.75" x14ac:dyDescent="0.5">
      <c r="J25" s="33"/>
      <c r="K25" s="37"/>
      <c r="N25" s="37"/>
      <c r="O25" s="37"/>
      <c r="AA25" s="633"/>
      <c r="AB25" s="634"/>
      <c r="AD25" s="634"/>
      <c r="AE25" s="634"/>
      <c r="AF25" s="634"/>
      <c r="AG25" s="634"/>
      <c r="AH25" s="634"/>
      <c r="AI25" s="634"/>
      <c r="AJ25" s="634"/>
      <c r="AK25" s="639" t="s">
        <v>56</v>
      </c>
      <c r="AL25" s="636"/>
      <c r="AU25" s="674" t="s">
        <v>16</v>
      </c>
      <c r="AV25" s="659"/>
      <c r="AW25" s="33"/>
      <c r="AX25" s="33"/>
      <c r="AY25" s="666"/>
      <c r="AZ25" s="667"/>
      <c r="BA25" s="667"/>
      <c r="BB25" s="667"/>
      <c r="BC25" s="667"/>
      <c r="BD25" s="667"/>
      <c r="BE25" s="667"/>
      <c r="BF25" s="667"/>
      <c r="BG25" s="634"/>
      <c r="BH25" s="667"/>
      <c r="BI25" s="667"/>
      <c r="BJ25" s="667"/>
      <c r="BK25" s="667"/>
      <c r="BL25" s="667"/>
      <c r="BM25" s="720"/>
      <c r="BN25" s="727"/>
      <c r="BO25" s="667"/>
      <c r="BP25" s="666"/>
      <c r="BQ25" s="666"/>
      <c r="BR25" s="705"/>
      <c r="BS25" s="885" t="s">
        <v>1745</v>
      </c>
      <c r="BT25" s="722" t="s">
        <v>1731</v>
      </c>
      <c r="BU25" s="706" t="s">
        <v>1428</v>
      </c>
      <c r="BV25" s="721" t="s">
        <v>1427</v>
      </c>
      <c r="BW25" s="667"/>
      <c r="BX25" s="667"/>
      <c r="BY25" s="667"/>
      <c r="BZ25" s="667"/>
      <c r="CA25" s="634"/>
      <c r="CB25" s="667"/>
      <c r="CC25" s="634"/>
      <c r="CD25" s="667"/>
      <c r="CE25" s="634"/>
      <c r="CF25" s="667"/>
      <c r="CG25" s="634"/>
      <c r="CH25" s="667"/>
      <c r="CI25" s="634"/>
      <c r="CJ25" s="633"/>
      <c r="CK25" s="666"/>
      <c r="CL25" s="667"/>
      <c r="CM25" s="667"/>
      <c r="CN25" s="667"/>
      <c r="CO25" s="667"/>
      <c r="CP25" s="634"/>
      <c r="CQ25" s="667"/>
      <c r="CR25" s="667"/>
      <c r="CS25" s="667"/>
      <c r="CT25" s="667"/>
      <c r="CU25" s="666"/>
      <c r="CV25" s="667"/>
      <c r="CW25" s="670" t="s">
        <v>41</v>
      </c>
      <c r="CX25" s="670" t="s">
        <v>57</v>
      </c>
      <c r="CY25" s="670"/>
      <c r="CZ25" s="671"/>
      <c r="DA25" s="671">
        <v>80</v>
      </c>
      <c r="DB25" s="634"/>
      <c r="DC25" s="634"/>
      <c r="DD25" s="634"/>
      <c r="DE25" s="634"/>
      <c r="DF25" s="634"/>
      <c r="DG25" s="634"/>
      <c r="DH25" s="666" t="s">
        <v>26</v>
      </c>
      <c r="DI25" s="666"/>
      <c r="DJ25" s="666" t="s">
        <v>16</v>
      </c>
      <c r="DK25" s="666" t="s">
        <v>16</v>
      </c>
      <c r="DL25" s="666" t="s">
        <v>26</v>
      </c>
      <c r="DM25" s="669"/>
      <c r="DN25" s="672" t="s">
        <v>56</v>
      </c>
      <c r="DO25" s="33"/>
      <c r="DP25" s="33"/>
      <c r="DQ25" s="33"/>
      <c r="DR25" s="33"/>
      <c r="DS25" s="33"/>
    </row>
    <row r="26" spans="10:125" ht="15.75" x14ac:dyDescent="0.5">
      <c r="J26" s="33"/>
      <c r="K26" s="38" t="s">
        <v>447</v>
      </c>
      <c r="L26" s="37" t="s">
        <v>1199</v>
      </c>
      <c r="M26" s="37" t="s">
        <v>1224</v>
      </c>
      <c r="N26" s="37"/>
      <c r="O26" s="37" t="s">
        <v>1243</v>
      </c>
      <c r="P26" s="1" t="s">
        <v>1252</v>
      </c>
      <c r="AA26" s="633"/>
      <c r="AB26" s="634"/>
      <c r="AD26" s="634"/>
      <c r="AE26" s="634"/>
      <c r="AF26" s="634"/>
      <c r="AG26" s="634"/>
      <c r="AH26" s="634"/>
      <c r="AI26" s="634"/>
      <c r="AJ26" s="634"/>
      <c r="AK26" s="639" t="s">
        <v>54</v>
      </c>
      <c r="AL26" s="636"/>
      <c r="AU26" s="639" t="s">
        <v>6</v>
      </c>
      <c r="AV26" s="659"/>
      <c r="AW26" s="33"/>
      <c r="AX26" s="33"/>
      <c r="AY26" s="666"/>
      <c r="AZ26" s="667"/>
      <c r="BA26" s="667"/>
      <c r="BB26" s="667"/>
      <c r="BC26" s="667"/>
      <c r="BD26" s="667"/>
      <c r="BE26" s="667"/>
      <c r="BF26" s="667"/>
      <c r="BG26" s="634"/>
      <c r="BH26" s="667"/>
      <c r="BI26" s="667"/>
      <c r="BJ26" s="667"/>
      <c r="BK26" s="667"/>
      <c r="BL26" s="667"/>
      <c r="BM26" s="720"/>
      <c r="BN26" s="727"/>
      <c r="BO26" s="667"/>
      <c r="BP26" s="666"/>
      <c r="BQ26" s="666"/>
      <c r="BS26" s="885" t="s">
        <v>1746</v>
      </c>
      <c r="BT26" s="722" t="s">
        <v>1733</v>
      </c>
      <c r="BU26" s="706" t="s">
        <v>1430</v>
      </c>
      <c r="BV26" s="721" t="s">
        <v>1429</v>
      </c>
      <c r="BW26" s="667"/>
      <c r="BX26" s="667"/>
      <c r="BY26" s="667"/>
      <c r="BZ26" s="667"/>
      <c r="CA26" s="634"/>
      <c r="CB26" s="667"/>
      <c r="CC26" s="634"/>
      <c r="CD26" s="667"/>
      <c r="CE26" s="634"/>
      <c r="CF26" s="667"/>
      <c r="CG26" s="634"/>
      <c r="CH26" s="667"/>
      <c r="CI26" s="634"/>
      <c r="CJ26" s="633"/>
      <c r="CK26" s="666"/>
      <c r="CL26" s="667"/>
      <c r="CM26" s="667"/>
      <c r="CN26" s="667"/>
      <c r="CO26" s="667"/>
      <c r="CP26" s="634"/>
      <c r="CQ26" s="667"/>
      <c r="CR26" s="667"/>
      <c r="CS26" s="667"/>
      <c r="CT26" s="667"/>
      <c r="CU26" s="666"/>
      <c r="CV26" s="667"/>
      <c r="CW26" s="670" t="s">
        <v>39</v>
      </c>
      <c r="CX26" s="670" t="s">
        <v>55</v>
      </c>
      <c r="CY26" s="670"/>
      <c r="CZ26" s="671"/>
      <c r="DA26" s="671">
        <v>90</v>
      </c>
      <c r="DB26" s="634"/>
      <c r="DC26" s="634"/>
      <c r="DD26" s="634"/>
      <c r="DE26" s="634"/>
      <c r="DF26" s="634"/>
      <c r="DG26" s="634"/>
      <c r="DH26" s="666" t="s">
        <v>16</v>
      </c>
      <c r="DI26" s="634"/>
      <c r="DJ26" s="634" t="s">
        <v>6</v>
      </c>
      <c r="DK26" s="634" t="s">
        <v>6</v>
      </c>
      <c r="DL26" s="666" t="s">
        <v>16</v>
      </c>
      <c r="DM26" s="669"/>
      <c r="DN26" s="672" t="s">
        <v>54</v>
      </c>
      <c r="DO26" s="33"/>
      <c r="DP26" s="240" t="s">
        <v>447</v>
      </c>
      <c r="DQ26" s="33" t="s">
        <v>448</v>
      </c>
      <c r="DR26" s="33"/>
      <c r="DS26" s="33" t="s">
        <v>449</v>
      </c>
    </row>
    <row r="27" spans="10:125" ht="15.75" x14ac:dyDescent="0.5">
      <c r="J27" s="33"/>
      <c r="K27" s="37"/>
      <c r="L27" s="37" t="s">
        <v>1201</v>
      </c>
      <c r="M27" s="37" t="s">
        <v>1226</v>
      </c>
      <c r="N27" s="37"/>
      <c r="O27" s="37"/>
      <c r="AA27" s="633"/>
      <c r="AB27" s="634"/>
      <c r="AD27" s="634"/>
      <c r="AE27" s="634"/>
      <c r="AF27" s="634"/>
      <c r="AG27" s="634"/>
      <c r="AH27" s="634"/>
      <c r="AI27" s="634"/>
      <c r="AJ27" s="634"/>
      <c r="AK27" s="639" t="s">
        <v>52</v>
      </c>
      <c r="AL27" s="636"/>
      <c r="AU27" s="674" t="s">
        <v>5</v>
      </c>
      <c r="AV27" s="659"/>
      <c r="AW27" s="33"/>
      <c r="AX27" s="33"/>
      <c r="AY27" s="666"/>
      <c r="AZ27" s="667"/>
      <c r="BA27" s="667"/>
      <c r="BB27" s="667"/>
      <c r="BC27" s="667"/>
      <c r="BD27" s="667"/>
      <c r="BE27" s="667"/>
      <c r="BF27" s="667"/>
      <c r="BG27" s="634"/>
      <c r="BH27" s="667"/>
      <c r="BI27" s="667"/>
      <c r="BJ27" s="667"/>
      <c r="BK27" s="667"/>
      <c r="BL27" s="667"/>
      <c r="BM27" s="720"/>
      <c r="BN27" s="727"/>
      <c r="BO27" s="667"/>
      <c r="BP27" s="666"/>
      <c r="BQ27" s="666"/>
      <c r="BS27" s="885" t="s">
        <v>1747</v>
      </c>
      <c r="BT27" s="43" t="s">
        <v>1735</v>
      </c>
      <c r="BU27" s="706" t="s">
        <v>1432</v>
      </c>
      <c r="BV27" s="721" t="s">
        <v>1431</v>
      </c>
      <c r="BW27" s="667"/>
      <c r="BX27" s="667"/>
      <c r="BY27" s="667"/>
      <c r="BZ27" s="667"/>
      <c r="CA27" s="634"/>
      <c r="CB27" s="667"/>
      <c r="CC27" s="668"/>
      <c r="CD27" s="667"/>
      <c r="CE27" s="634"/>
      <c r="CF27" s="667"/>
      <c r="CG27" s="634"/>
      <c r="CH27" s="667"/>
      <c r="CI27" s="634"/>
      <c r="CJ27" s="633"/>
      <c r="CK27" s="666"/>
      <c r="CL27" s="667"/>
      <c r="CM27" s="667"/>
      <c r="CN27" s="667"/>
      <c r="CO27" s="667"/>
      <c r="CP27" s="634"/>
      <c r="CQ27" s="667"/>
      <c r="CR27" s="667"/>
      <c r="CS27" s="667"/>
      <c r="CT27" s="667"/>
      <c r="CU27" s="666"/>
      <c r="CV27" s="667"/>
      <c r="CW27" s="670" t="s">
        <v>37</v>
      </c>
      <c r="CX27" s="670" t="s">
        <v>53</v>
      </c>
      <c r="CY27" s="670"/>
      <c r="CZ27" s="671"/>
      <c r="DA27" s="671">
        <v>100</v>
      </c>
      <c r="DB27" s="634"/>
      <c r="DC27" s="634"/>
      <c r="DD27" s="634"/>
      <c r="DE27" s="634"/>
      <c r="DF27" s="634"/>
      <c r="DG27" s="634"/>
      <c r="DH27" s="634" t="s">
        <v>6</v>
      </c>
      <c r="DI27" s="666"/>
      <c r="DJ27" s="666" t="s">
        <v>5</v>
      </c>
      <c r="DK27" s="666" t="s">
        <v>5</v>
      </c>
      <c r="DL27" s="634" t="s">
        <v>6</v>
      </c>
      <c r="DM27" s="669"/>
      <c r="DN27" s="672" t="s">
        <v>52</v>
      </c>
      <c r="DO27" s="33"/>
      <c r="DP27" s="33"/>
      <c r="DQ27" s="33" t="s">
        <v>450</v>
      </c>
      <c r="DR27" s="33"/>
      <c r="DS27" s="33"/>
    </row>
    <row r="28" spans="10:125" ht="16.149999999999999" thickBot="1" x14ac:dyDescent="0.55000000000000004">
      <c r="J28" s="41"/>
      <c r="K28" s="37"/>
      <c r="L28" s="37" t="s">
        <v>1202</v>
      </c>
      <c r="M28" s="37" t="s">
        <v>1227</v>
      </c>
      <c r="N28" s="37"/>
      <c r="O28" s="37"/>
      <c r="AA28" s="634"/>
      <c r="AB28" s="634"/>
      <c r="AD28" s="634"/>
      <c r="AE28" s="634"/>
      <c r="AF28" s="634"/>
      <c r="AG28" s="634"/>
      <c r="AH28" s="634"/>
      <c r="AI28" s="634"/>
      <c r="AJ28" s="634"/>
      <c r="AK28" s="639" t="s">
        <v>50</v>
      </c>
      <c r="AL28" s="636"/>
      <c r="AU28" s="674" t="s">
        <v>4</v>
      </c>
      <c r="AV28" s="659"/>
      <c r="AW28" s="33"/>
      <c r="AX28" s="33"/>
      <c r="AY28" s="634"/>
      <c r="AZ28" s="667"/>
      <c r="BA28" s="667"/>
      <c r="BB28" s="667"/>
      <c r="BC28" s="667"/>
      <c r="BD28" s="667"/>
      <c r="BE28" s="667"/>
      <c r="BF28" s="667"/>
      <c r="BG28" s="634"/>
      <c r="BH28" s="667"/>
      <c r="BI28" s="667"/>
      <c r="BJ28" s="667"/>
      <c r="BK28" s="667"/>
      <c r="BL28" s="667"/>
      <c r="BM28" s="724"/>
      <c r="BN28" s="728"/>
      <c r="BO28" s="667"/>
      <c r="BP28" s="666"/>
      <c r="BQ28" s="666"/>
      <c r="BS28" s="885" t="s">
        <v>109</v>
      </c>
      <c r="BT28" s="43" t="s">
        <v>1716</v>
      </c>
      <c r="BU28" s="706" t="s">
        <v>1434</v>
      </c>
      <c r="BV28" s="721" t="s">
        <v>1433</v>
      </c>
      <c r="BW28" s="667"/>
      <c r="BX28" s="667"/>
      <c r="BY28" s="667"/>
      <c r="BZ28" s="667"/>
      <c r="CA28" s="634"/>
      <c r="CB28" s="667"/>
      <c r="CC28" s="668"/>
      <c r="CD28" s="667"/>
      <c r="CE28" s="634"/>
      <c r="CF28" s="667"/>
      <c r="CG28" s="634"/>
      <c r="CH28" s="667"/>
      <c r="CI28" s="634"/>
      <c r="CJ28" s="633"/>
      <c r="CK28" s="634"/>
      <c r="CL28" s="667"/>
      <c r="CM28" s="667"/>
      <c r="CN28" s="667"/>
      <c r="CO28" s="667"/>
      <c r="CP28" s="634"/>
      <c r="CQ28" s="667"/>
      <c r="CR28" s="667"/>
      <c r="CS28" s="667"/>
      <c r="CT28" s="667"/>
      <c r="CU28" s="666"/>
      <c r="CV28" s="667"/>
      <c r="CW28" s="670" t="s">
        <v>35</v>
      </c>
      <c r="CX28" s="670" t="s">
        <v>51</v>
      </c>
      <c r="CY28" s="670"/>
      <c r="CZ28" s="671"/>
      <c r="DA28" s="671"/>
      <c r="DB28" s="634"/>
      <c r="DC28" s="634"/>
      <c r="DD28" s="634"/>
      <c r="DE28" s="634"/>
      <c r="DF28" s="634"/>
      <c r="DG28" s="634"/>
      <c r="DH28" s="666" t="s">
        <v>5</v>
      </c>
      <c r="DI28" s="666"/>
      <c r="DJ28" s="666" t="s">
        <v>4</v>
      </c>
      <c r="DK28" s="666" t="s">
        <v>4</v>
      </c>
      <c r="DL28" s="666" t="s">
        <v>0</v>
      </c>
      <c r="DM28" s="669"/>
      <c r="DN28" s="672" t="s">
        <v>50</v>
      </c>
      <c r="DO28" s="41"/>
      <c r="DP28" s="33"/>
      <c r="DQ28" s="33" t="s">
        <v>451</v>
      </c>
      <c r="DR28" s="33"/>
      <c r="DS28" s="33"/>
    </row>
    <row r="29" spans="10:125" ht="18" x14ac:dyDescent="0.5">
      <c r="J29" s="41"/>
      <c r="K29" s="37"/>
      <c r="L29" s="37" t="s">
        <v>1203</v>
      </c>
      <c r="M29" s="37" t="s">
        <v>1228</v>
      </c>
      <c r="N29" s="37"/>
      <c r="O29" s="37"/>
      <c r="AA29" s="634"/>
      <c r="AB29" s="634"/>
      <c r="AD29" s="634"/>
      <c r="AE29" s="634"/>
      <c r="AF29" s="634"/>
      <c r="AG29" s="634"/>
      <c r="AH29" s="634"/>
      <c r="AI29" s="634"/>
      <c r="AJ29" s="634"/>
      <c r="AK29" s="639" t="s">
        <v>48</v>
      </c>
      <c r="AL29" s="636"/>
      <c r="AU29" s="674" t="s">
        <v>3</v>
      </c>
      <c r="AV29" s="659"/>
      <c r="AW29" s="33"/>
      <c r="AX29" s="33"/>
      <c r="AY29" s="666"/>
      <c r="AZ29" s="667"/>
      <c r="BA29" s="667"/>
      <c r="BB29" s="667"/>
      <c r="BC29" s="667"/>
      <c r="BD29" s="667"/>
      <c r="BE29" s="667"/>
      <c r="BF29" s="667"/>
      <c r="BG29" s="634"/>
      <c r="BH29" s="667"/>
      <c r="BI29" s="667"/>
      <c r="BJ29" s="667"/>
      <c r="BK29" s="667"/>
      <c r="BL29" s="667"/>
      <c r="BM29" s="667"/>
      <c r="BN29" s="667"/>
      <c r="BO29" s="667"/>
      <c r="BP29" s="666"/>
      <c r="BQ29" s="666"/>
      <c r="BS29" s="885" t="s">
        <v>1748</v>
      </c>
      <c r="BT29" s="722" t="s">
        <v>1749</v>
      </c>
      <c r="BU29" s="706" t="s">
        <v>1436</v>
      </c>
      <c r="BV29" s="721" t="s">
        <v>1435</v>
      </c>
      <c r="BW29" s="667"/>
      <c r="BX29" s="667"/>
      <c r="BY29" s="667"/>
      <c r="BZ29" s="667"/>
      <c r="CA29" s="634"/>
      <c r="CB29" s="667"/>
      <c r="CC29" s="668"/>
      <c r="CD29" s="667"/>
      <c r="CE29" s="634"/>
      <c r="CF29" s="667"/>
      <c r="CG29" s="634"/>
      <c r="CH29" s="667"/>
      <c r="CI29" s="634"/>
      <c r="CJ29" s="633"/>
      <c r="CK29" s="666"/>
      <c r="CL29" s="667"/>
      <c r="CM29" s="667"/>
      <c r="CN29" s="667"/>
      <c r="CO29" s="667"/>
      <c r="CP29" s="634"/>
      <c r="CQ29" s="667"/>
      <c r="CR29" s="667"/>
      <c r="CS29" s="667"/>
      <c r="CT29" s="667"/>
      <c r="CU29" s="666"/>
      <c r="CV29" s="667"/>
      <c r="CW29" s="670" t="s">
        <v>33</v>
      </c>
      <c r="CX29" s="670" t="s">
        <v>49</v>
      </c>
      <c r="CY29" s="670"/>
      <c r="CZ29" s="671"/>
      <c r="DA29" s="671"/>
      <c r="DB29" s="634"/>
      <c r="DC29" s="634"/>
      <c r="DD29" s="634"/>
      <c r="DE29" s="634"/>
      <c r="DF29" s="634"/>
      <c r="DG29" s="634"/>
      <c r="DH29" s="666" t="s">
        <v>4</v>
      </c>
      <c r="DI29" s="666"/>
      <c r="DJ29" s="666" t="s">
        <v>3</v>
      </c>
      <c r="DK29" s="666" t="s">
        <v>3</v>
      </c>
      <c r="DL29" s="634"/>
      <c r="DM29" s="669"/>
      <c r="DN29" s="672" t="s">
        <v>48</v>
      </c>
      <c r="DO29" s="41"/>
      <c r="DP29" s="33"/>
      <c r="DQ29" s="33" t="s">
        <v>452</v>
      </c>
      <c r="DR29" s="33"/>
      <c r="DS29" s="33"/>
    </row>
    <row r="30" spans="10:125" ht="15.75" x14ac:dyDescent="0.5">
      <c r="J30" s="32"/>
      <c r="K30" s="37"/>
      <c r="L30" s="37"/>
      <c r="M30" s="37"/>
      <c r="N30" s="37"/>
      <c r="O30" s="37"/>
      <c r="AA30" s="634"/>
      <c r="AB30" s="634"/>
      <c r="AD30" s="634"/>
      <c r="AE30" s="634"/>
      <c r="AF30" s="634"/>
      <c r="AG30" s="634"/>
      <c r="AH30" s="634"/>
      <c r="AI30" s="634"/>
      <c r="AJ30" s="634"/>
      <c r="AK30" s="639" t="s">
        <v>46</v>
      </c>
      <c r="AL30" s="636"/>
      <c r="AU30" s="674" t="s">
        <v>872</v>
      </c>
      <c r="AV30" s="659"/>
      <c r="AW30" s="33"/>
      <c r="AX30" s="33"/>
      <c r="AY30" s="666"/>
      <c r="AZ30" s="667"/>
      <c r="BA30" s="667"/>
      <c r="BB30" s="667"/>
      <c r="BC30" s="667"/>
      <c r="BD30" s="667"/>
      <c r="BE30" s="667"/>
      <c r="BF30" s="667"/>
      <c r="BG30" s="634"/>
      <c r="BH30" s="667"/>
      <c r="BI30" s="667"/>
      <c r="BJ30" s="667"/>
      <c r="BK30" s="667"/>
      <c r="BL30" s="667"/>
      <c r="BM30" s="667"/>
      <c r="BO30" s="667"/>
      <c r="BP30" s="666"/>
      <c r="BQ30" s="666"/>
      <c r="BT30" s="667"/>
      <c r="BU30" s="706" t="s">
        <v>1438</v>
      </c>
      <c r="BV30" s="721" t="s">
        <v>1437</v>
      </c>
      <c r="BW30" s="667"/>
      <c r="BX30" s="667"/>
      <c r="BY30" s="667"/>
      <c r="BZ30" s="667"/>
      <c r="CA30" s="634"/>
      <c r="CB30" s="667"/>
      <c r="CC30" s="668"/>
      <c r="CD30" s="667"/>
      <c r="CE30" s="634"/>
      <c r="CF30" s="667"/>
      <c r="CG30" s="634"/>
      <c r="CH30" s="667"/>
      <c r="CI30" s="634"/>
      <c r="CJ30" s="633"/>
      <c r="CK30" s="666"/>
      <c r="CL30" s="667"/>
      <c r="CM30" s="667"/>
      <c r="CN30" s="667"/>
      <c r="CO30" s="667"/>
      <c r="CP30" s="634"/>
      <c r="CQ30" s="667"/>
      <c r="CR30" s="667"/>
      <c r="CS30" s="667"/>
      <c r="CT30" s="667"/>
      <c r="CU30" s="666"/>
      <c r="CV30" s="667"/>
      <c r="CW30" s="670" t="s">
        <v>31</v>
      </c>
      <c r="CX30" s="670" t="s">
        <v>47</v>
      </c>
      <c r="CY30" s="670"/>
      <c r="CZ30" s="671"/>
      <c r="DA30" s="671"/>
      <c r="DB30" s="634"/>
      <c r="DC30" s="634"/>
      <c r="DD30" s="634"/>
      <c r="DE30" s="634"/>
      <c r="DF30" s="634"/>
      <c r="DG30" s="634"/>
      <c r="DH30" s="666" t="s">
        <v>3</v>
      </c>
      <c r="DI30" s="666"/>
      <c r="DJ30" s="666" t="s">
        <v>2</v>
      </c>
      <c r="DK30" s="666" t="s">
        <v>2</v>
      </c>
      <c r="DL30" s="634"/>
      <c r="DM30" s="669"/>
      <c r="DN30" s="672" t="s">
        <v>46</v>
      </c>
      <c r="DO30" s="32"/>
      <c r="DP30" s="33"/>
      <c r="DQ30" s="33"/>
      <c r="DR30" s="33"/>
      <c r="DS30" s="33"/>
    </row>
    <row r="31" spans="10:125" ht="16.149999999999999" x14ac:dyDescent="0.5">
      <c r="J31" s="605"/>
      <c r="K31" s="37"/>
      <c r="L31" s="37"/>
      <c r="M31" s="37"/>
      <c r="N31" s="37"/>
      <c r="O31" s="37"/>
      <c r="AA31" s="634"/>
      <c r="AB31" s="634"/>
      <c r="AC31" s="634"/>
      <c r="AD31" s="634"/>
      <c r="AE31" s="634"/>
      <c r="AF31" s="634"/>
      <c r="AG31" s="634"/>
      <c r="AH31" s="634"/>
      <c r="AI31" s="634"/>
      <c r="AJ31" s="634"/>
      <c r="AK31" s="639" t="s">
        <v>44</v>
      </c>
      <c r="AL31" s="636"/>
      <c r="AU31" s="674" t="s">
        <v>604</v>
      </c>
      <c r="AV31" s="659"/>
      <c r="AW31" s="33"/>
      <c r="AX31" s="33"/>
      <c r="AY31" s="666"/>
      <c r="AZ31" s="667"/>
      <c r="BA31" s="667"/>
      <c r="BB31" s="667"/>
      <c r="BC31" s="667"/>
      <c r="BD31" s="667"/>
      <c r="BE31" s="667"/>
      <c r="BF31" s="667"/>
      <c r="BG31" s="634"/>
      <c r="BH31" s="667"/>
      <c r="BI31" s="667"/>
      <c r="BJ31" s="667"/>
      <c r="BK31" s="667"/>
      <c r="BL31" s="667"/>
      <c r="BM31" s="667"/>
      <c r="BO31" s="667"/>
      <c r="BP31" s="666"/>
      <c r="BQ31" s="666"/>
      <c r="BT31" s="667"/>
      <c r="BU31" s="706" t="s">
        <v>1440</v>
      </c>
      <c r="BV31" s="721" t="s">
        <v>1439</v>
      </c>
      <c r="BW31" s="667"/>
      <c r="BX31" s="667"/>
      <c r="BY31" s="667"/>
      <c r="BZ31" s="667"/>
      <c r="CA31" s="634"/>
      <c r="CB31" s="667"/>
      <c r="CC31" s="668"/>
      <c r="CD31" s="667"/>
      <c r="CE31" s="634"/>
      <c r="CF31" s="667"/>
      <c r="CG31" s="634"/>
      <c r="CH31" s="667"/>
      <c r="CI31" s="634"/>
      <c r="CJ31" s="633"/>
      <c r="CK31" s="666"/>
      <c r="CL31" s="667"/>
      <c r="CM31" s="667"/>
      <c r="CN31" s="667"/>
      <c r="CO31" s="667"/>
      <c r="CP31" s="634"/>
      <c r="CQ31" s="667"/>
      <c r="CR31" s="667"/>
      <c r="CS31" s="667"/>
      <c r="CT31" s="667"/>
      <c r="CU31" s="666"/>
      <c r="CV31" s="667"/>
      <c r="CW31" s="670" t="s">
        <v>29</v>
      </c>
      <c r="CX31" s="670" t="s">
        <v>45</v>
      </c>
      <c r="CY31" s="670"/>
      <c r="CZ31" s="671"/>
      <c r="DA31" s="671"/>
      <c r="DB31" s="634"/>
      <c r="DC31" s="634"/>
      <c r="DD31" s="634"/>
      <c r="DE31" s="634"/>
      <c r="DF31" s="634"/>
      <c r="DG31" s="634"/>
      <c r="DH31" s="666" t="s">
        <v>2</v>
      </c>
      <c r="DI31" s="666"/>
      <c r="DJ31" s="666" t="s">
        <v>1</v>
      </c>
      <c r="DK31" s="666" t="s">
        <v>1</v>
      </c>
      <c r="DL31" s="634"/>
      <c r="DM31" s="669"/>
      <c r="DN31" s="672" t="s">
        <v>44</v>
      </c>
      <c r="DO31" s="609"/>
      <c r="DP31" s="33"/>
      <c r="DQ31" s="33"/>
      <c r="DR31" s="33"/>
      <c r="DS31" s="33"/>
    </row>
    <row r="32" spans="10:125" ht="15.75" x14ac:dyDescent="0.5">
      <c r="J32" s="42" t="s">
        <v>571</v>
      </c>
      <c r="K32" s="37" t="s">
        <v>1476</v>
      </c>
      <c r="L32" s="37" t="s">
        <v>1204</v>
      </c>
      <c r="M32" s="37" t="s">
        <v>1075</v>
      </c>
      <c r="N32" s="37" t="s">
        <v>455</v>
      </c>
      <c r="O32" s="37" t="s">
        <v>1244</v>
      </c>
      <c r="P32" s="1" t="s">
        <v>1047</v>
      </c>
      <c r="AA32" s="634"/>
      <c r="AB32" s="634"/>
      <c r="AC32" s="658"/>
      <c r="AD32" s="634"/>
      <c r="AE32" s="634"/>
      <c r="AF32" s="634"/>
      <c r="AG32" s="634"/>
      <c r="AH32" s="634"/>
      <c r="AI32" s="634"/>
      <c r="AJ32" s="634"/>
      <c r="AK32" s="639" t="s">
        <v>42</v>
      </c>
      <c r="AL32" s="636"/>
      <c r="AU32" s="674" t="s">
        <v>7</v>
      </c>
      <c r="AV32" s="659"/>
      <c r="AW32" s="33"/>
      <c r="AX32" s="33"/>
      <c r="AY32" s="666"/>
      <c r="AZ32" s="667"/>
      <c r="BA32" s="667"/>
      <c r="BB32" s="667"/>
      <c r="BC32" s="667"/>
      <c r="BD32" s="667"/>
      <c r="BE32" s="667"/>
      <c r="BF32" s="667"/>
      <c r="BG32" s="666"/>
      <c r="BH32" s="667"/>
      <c r="BI32" s="667"/>
      <c r="BJ32" s="667"/>
      <c r="BK32" s="667"/>
      <c r="BL32" s="667"/>
      <c r="BM32" s="667"/>
      <c r="BO32" s="667"/>
      <c r="BP32" s="666"/>
      <c r="BQ32" s="666"/>
      <c r="BT32" s="667"/>
      <c r="BU32" s="706" t="s">
        <v>1442</v>
      </c>
      <c r="BV32" s="721" t="s">
        <v>1776</v>
      </c>
      <c r="BW32" s="667"/>
      <c r="BX32" s="667"/>
      <c r="BY32" s="667"/>
      <c r="BZ32" s="667"/>
      <c r="CA32" s="634"/>
      <c r="CB32" s="667"/>
      <c r="CC32" s="668"/>
      <c r="CD32" s="667"/>
      <c r="CE32" s="634"/>
      <c r="CF32" s="667"/>
      <c r="CG32" s="634"/>
      <c r="CH32" s="667"/>
      <c r="CI32" s="634"/>
      <c r="CJ32" s="633"/>
      <c r="CK32" s="666"/>
      <c r="CL32" s="667"/>
      <c r="CM32" s="667"/>
      <c r="CN32" s="667"/>
      <c r="CO32" s="667"/>
      <c r="CP32" s="666"/>
      <c r="CQ32" s="667"/>
      <c r="CR32" s="667"/>
      <c r="CS32" s="667"/>
      <c r="CT32" s="667"/>
      <c r="CU32" s="666"/>
      <c r="CV32" s="667"/>
      <c r="CW32" s="670" t="s">
        <v>27</v>
      </c>
      <c r="CX32" s="670" t="s">
        <v>43</v>
      </c>
      <c r="CY32" s="670"/>
      <c r="CZ32" s="671"/>
      <c r="DA32" s="671"/>
      <c r="DB32" s="634"/>
      <c r="DC32" s="634"/>
      <c r="DD32" s="634"/>
      <c r="DE32" s="634"/>
      <c r="DF32" s="634"/>
      <c r="DG32" s="634"/>
      <c r="DH32" s="666" t="s">
        <v>1</v>
      </c>
      <c r="DI32" s="666"/>
      <c r="DJ32" s="666" t="s">
        <v>7</v>
      </c>
      <c r="DK32" s="666" t="s">
        <v>7</v>
      </c>
      <c r="DL32" s="634"/>
      <c r="DM32" s="669"/>
      <c r="DN32" s="672" t="s">
        <v>42</v>
      </c>
      <c r="DO32" s="42" t="s">
        <v>453</v>
      </c>
      <c r="DP32" s="33"/>
      <c r="DQ32" s="33" t="s">
        <v>454</v>
      </c>
      <c r="DR32" s="33" t="s">
        <v>455</v>
      </c>
      <c r="DS32" s="33" t="s">
        <v>456</v>
      </c>
    </row>
    <row r="33" spans="10:123" ht="16.149999999999999" thickBot="1" x14ac:dyDescent="0.55000000000000004">
      <c r="J33" s="605"/>
      <c r="K33" s="37" t="s">
        <v>1705</v>
      </c>
      <c r="L33" s="37" t="s">
        <v>1205</v>
      </c>
      <c r="M33" s="37" t="s">
        <v>1229</v>
      </c>
      <c r="N33" s="37"/>
      <c r="O33" s="37" t="s">
        <v>1253</v>
      </c>
      <c r="P33" s="1" t="s">
        <v>381</v>
      </c>
      <c r="AA33" s="634"/>
      <c r="AB33" s="634"/>
      <c r="AC33" s="658"/>
      <c r="AD33" s="634"/>
      <c r="AE33" s="634"/>
      <c r="AF33" s="634"/>
      <c r="AG33" s="634"/>
      <c r="AH33" s="634"/>
      <c r="AI33" s="634"/>
      <c r="AJ33" s="634"/>
      <c r="AK33" s="639" t="s">
        <v>40</v>
      </c>
      <c r="AL33" s="636"/>
      <c r="AU33" s="692" t="s">
        <v>0</v>
      </c>
      <c r="AV33" s="693"/>
      <c r="AW33" s="33"/>
      <c r="AX33" s="33"/>
      <c r="AY33" s="666"/>
      <c r="AZ33" s="667"/>
      <c r="BA33" s="667"/>
      <c r="BB33" s="667"/>
      <c r="BC33" s="667"/>
      <c r="BD33" s="667"/>
      <c r="BE33" s="667"/>
      <c r="BF33" s="667"/>
      <c r="BG33" s="666"/>
      <c r="BH33" s="667"/>
      <c r="BI33" s="667"/>
      <c r="BJ33" s="667"/>
      <c r="BK33" s="667"/>
      <c r="BL33" s="667"/>
      <c r="BM33" s="667"/>
      <c r="BO33" s="667"/>
      <c r="BP33" s="666"/>
      <c r="BQ33" s="666"/>
      <c r="BT33" s="667"/>
      <c r="BU33" s="706" t="s">
        <v>1442</v>
      </c>
      <c r="BV33" s="721" t="s">
        <v>1441</v>
      </c>
      <c r="BW33" s="667"/>
      <c r="BX33" s="667"/>
      <c r="BY33" s="667"/>
      <c r="BZ33" s="667"/>
      <c r="CA33" s="634"/>
      <c r="CB33" s="667"/>
      <c r="CC33" s="668"/>
      <c r="CD33" s="667"/>
      <c r="CE33" s="634"/>
      <c r="CF33" s="667"/>
      <c r="CG33" s="634"/>
      <c r="CH33" s="667"/>
      <c r="CI33" s="634"/>
      <c r="CJ33" s="633"/>
      <c r="CK33" s="666"/>
      <c r="CL33" s="667"/>
      <c r="CM33" s="667"/>
      <c r="CN33" s="667"/>
      <c r="CO33" s="667"/>
      <c r="CP33" s="666"/>
      <c r="CQ33" s="667"/>
      <c r="CR33" s="667"/>
      <c r="CS33" s="667"/>
      <c r="CT33" s="667"/>
      <c r="CU33" s="666"/>
      <c r="CV33" s="667"/>
      <c r="CW33" s="670" t="s">
        <v>25</v>
      </c>
      <c r="CX33" s="670" t="s">
        <v>41</v>
      </c>
      <c r="CY33" s="670"/>
      <c r="CZ33" s="671"/>
      <c r="DA33" s="671"/>
      <c r="DB33" s="634"/>
      <c r="DC33" s="634"/>
      <c r="DD33" s="634"/>
      <c r="DE33" s="634"/>
      <c r="DF33" s="634"/>
      <c r="DG33" s="634"/>
      <c r="DH33" s="666" t="s">
        <v>7</v>
      </c>
      <c r="DI33" s="666"/>
      <c r="DJ33" s="666" t="s">
        <v>0</v>
      </c>
      <c r="DK33" s="666" t="s">
        <v>0</v>
      </c>
      <c r="DL33" s="634"/>
      <c r="DM33" s="669"/>
      <c r="DN33" s="672" t="s">
        <v>40</v>
      </c>
      <c r="DO33" s="609"/>
      <c r="DP33" s="33"/>
      <c r="DQ33" s="33" t="s">
        <v>457</v>
      </c>
      <c r="DR33" s="33"/>
      <c r="DS33" s="33" t="s">
        <v>458</v>
      </c>
    </row>
    <row r="34" spans="10:123" ht="15.75" x14ac:dyDescent="0.5">
      <c r="J34" s="605"/>
      <c r="K34" s="37"/>
      <c r="L34" s="37" t="s">
        <v>1206</v>
      </c>
      <c r="M34" s="37" t="s">
        <v>1230</v>
      </c>
      <c r="N34" s="37"/>
      <c r="O34" s="37" t="s">
        <v>1254</v>
      </c>
      <c r="P34" s="1" t="s">
        <v>1230</v>
      </c>
      <c r="AA34" s="634"/>
      <c r="AB34" s="634"/>
      <c r="AC34" s="658"/>
      <c r="AD34" s="634"/>
      <c r="AE34" s="634"/>
      <c r="AF34" s="634"/>
      <c r="AG34" s="634"/>
      <c r="AH34" s="634"/>
      <c r="AI34" s="634"/>
      <c r="AJ34" s="634"/>
      <c r="AK34" s="639" t="s">
        <v>38</v>
      </c>
      <c r="AL34" s="636"/>
      <c r="AY34" s="666"/>
      <c r="AZ34" s="667"/>
      <c r="BA34" s="667"/>
      <c r="BB34" s="667"/>
      <c r="BC34" s="667"/>
      <c r="BD34" s="667"/>
      <c r="BE34" s="667"/>
      <c r="BF34" s="667"/>
      <c r="BG34" s="666"/>
      <c r="BH34" s="667"/>
      <c r="BI34" s="667"/>
      <c r="BJ34" s="667"/>
      <c r="BK34" s="667"/>
      <c r="BL34" s="667"/>
      <c r="BM34" s="667"/>
      <c r="BN34" s="667"/>
      <c r="BO34" s="667"/>
      <c r="BP34" s="666"/>
      <c r="BQ34" s="666"/>
      <c r="BT34" s="667"/>
      <c r="BU34" s="706" t="s">
        <v>1442</v>
      </c>
      <c r="BV34" s="721" t="s">
        <v>1443</v>
      </c>
      <c r="BW34" s="667"/>
      <c r="BX34" s="667"/>
      <c r="BY34" s="667"/>
      <c r="BZ34" s="667"/>
      <c r="CA34" s="634"/>
      <c r="CB34" s="667"/>
      <c r="CC34" s="668"/>
      <c r="CD34" s="667"/>
      <c r="CE34" s="634"/>
      <c r="CF34" s="667"/>
      <c r="CG34" s="634"/>
      <c r="CH34" s="667"/>
      <c r="CI34" s="634"/>
      <c r="CJ34" s="633"/>
      <c r="CK34" s="666"/>
      <c r="CL34" s="667"/>
      <c r="CM34" s="667"/>
      <c r="CN34" s="667"/>
      <c r="CO34" s="667"/>
      <c r="CP34" s="666"/>
      <c r="CQ34" s="667"/>
      <c r="CR34" s="667"/>
      <c r="CS34" s="667"/>
      <c r="CT34" s="667"/>
      <c r="CU34" s="666"/>
      <c r="CV34" s="667"/>
      <c r="CW34" s="670" t="s">
        <v>23</v>
      </c>
      <c r="CX34" s="670" t="s">
        <v>39</v>
      </c>
      <c r="CY34" s="670"/>
      <c r="CZ34" s="671"/>
      <c r="DA34" s="671"/>
      <c r="DB34" s="634"/>
      <c r="DC34" s="634"/>
      <c r="DD34" s="634"/>
      <c r="DE34" s="634"/>
      <c r="DF34" s="634"/>
      <c r="DG34" s="634"/>
      <c r="DH34" s="666" t="s">
        <v>0</v>
      </c>
      <c r="DI34" s="634"/>
      <c r="DJ34" s="634"/>
      <c r="DK34" s="634"/>
      <c r="DL34" s="634"/>
      <c r="DM34" s="669"/>
      <c r="DN34" s="672" t="s">
        <v>38</v>
      </c>
      <c r="DO34" s="609"/>
      <c r="DP34" s="33"/>
      <c r="DQ34" s="33" t="s">
        <v>459</v>
      </c>
      <c r="DR34" s="33"/>
      <c r="DS34" s="33" t="s">
        <v>460</v>
      </c>
    </row>
    <row r="35" spans="10:123" ht="15.75" x14ac:dyDescent="0.5">
      <c r="J35" s="605"/>
      <c r="K35" s="37"/>
      <c r="L35" s="37" t="s">
        <v>1207</v>
      </c>
      <c r="M35" s="37" t="s">
        <v>1228</v>
      </c>
      <c r="N35" s="37"/>
      <c r="O35" s="37"/>
      <c r="AA35" s="634"/>
      <c r="AB35" s="634"/>
      <c r="AC35" s="658"/>
      <c r="AD35" s="634"/>
      <c r="AE35" s="634"/>
      <c r="AF35" s="634"/>
      <c r="AG35" s="634"/>
      <c r="AH35" s="634"/>
      <c r="AI35" s="634"/>
      <c r="AJ35" s="634"/>
      <c r="AK35" s="639" t="s">
        <v>36</v>
      </c>
      <c r="AL35" s="636"/>
      <c r="AY35" s="666"/>
      <c r="AZ35" s="667"/>
      <c r="BA35" s="667"/>
      <c r="BB35" s="667"/>
      <c r="BC35" s="667"/>
      <c r="BD35" s="667"/>
      <c r="BE35" s="667"/>
      <c r="BF35" s="667"/>
      <c r="BG35" s="666"/>
      <c r="BH35" s="667"/>
      <c r="BI35" s="667"/>
      <c r="BJ35" s="667"/>
      <c r="BK35" s="667"/>
      <c r="BL35" s="667"/>
      <c r="BM35" s="667"/>
      <c r="BN35" s="667"/>
      <c r="BO35" s="667"/>
      <c r="BP35" s="666"/>
      <c r="BQ35" s="666"/>
      <c r="BT35" s="667"/>
      <c r="BU35" s="706" t="s">
        <v>1442</v>
      </c>
      <c r="BV35" s="721" t="s">
        <v>1444</v>
      </c>
      <c r="BW35" s="667"/>
      <c r="BX35" s="667"/>
      <c r="BY35" s="667"/>
      <c r="BZ35" s="667"/>
      <c r="CA35" s="634"/>
      <c r="CB35" s="667"/>
      <c r="CC35" s="668"/>
      <c r="CD35" s="667"/>
      <c r="CE35" s="634"/>
      <c r="CF35" s="667"/>
      <c r="CG35" s="634"/>
      <c r="CH35" s="667"/>
      <c r="CI35" s="634"/>
      <c r="CJ35" s="633"/>
      <c r="CK35" s="666"/>
      <c r="CL35" s="667"/>
      <c r="CM35" s="667"/>
      <c r="CN35" s="667"/>
      <c r="CO35" s="667"/>
      <c r="CP35" s="666"/>
      <c r="CQ35" s="667"/>
      <c r="CR35" s="667"/>
      <c r="CS35" s="667"/>
      <c r="CT35" s="667"/>
      <c r="CU35" s="666"/>
      <c r="CV35" s="667"/>
      <c r="CW35" s="670" t="s">
        <v>21</v>
      </c>
      <c r="CX35" s="670" t="s">
        <v>37</v>
      </c>
      <c r="CY35" s="670"/>
      <c r="CZ35" s="671"/>
      <c r="DA35" s="671"/>
      <c r="DB35" s="634"/>
      <c r="DC35" s="634"/>
      <c r="DD35" s="634"/>
      <c r="DE35" s="634"/>
      <c r="DF35" s="634"/>
      <c r="DG35" s="634"/>
      <c r="DH35" s="634"/>
      <c r="DI35" s="634"/>
      <c r="DJ35" s="634"/>
      <c r="DK35" s="634"/>
      <c r="DL35" s="634"/>
      <c r="DM35" s="669"/>
      <c r="DN35" s="672" t="s">
        <v>36</v>
      </c>
      <c r="DO35" s="609"/>
      <c r="DP35" s="33"/>
      <c r="DQ35" s="33" t="s">
        <v>461</v>
      </c>
      <c r="DR35" s="33"/>
      <c r="DS35" s="33"/>
    </row>
    <row r="36" spans="10:123" ht="15.75" x14ac:dyDescent="0.5">
      <c r="J36" s="605"/>
      <c r="K36" s="37"/>
      <c r="L36" s="37"/>
      <c r="M36" s="37"/>
      <c r="N36" s="37"/>
      <c r="O36" s="37"/>
      <c r="AA36" s="634"/>
      <c r="AB36" s="634"/>
      <c r="AC36" s="658"/>
      <c r="AD36" s="634"/>
      <c r="AE36" s="634"/>
      <c r="AF36" s="634"/>
      <c r="AG36" s="634"/>
      <c r="AH36" s="634"/>
      <c r="AI36" s="634"/>
      <c r="AJ36" s="634"/>
      <c r="AK36" s="639" t="s">
        <v>34</v>
      </c>
      <c r="AL36" s="636"/>
      <c r="AY36" s="666"/>
      <c r="AZ36" s="667"/>
      <c r="BA36" s="667"/>
      <c r="BB36" s="667"/>
      <c r="BC36" s="667"/>
      <c r="BD36" s="667"/>
      <c r="BE36" s="667"/>
      <c r="BF36" s="667"/>
      <c r="BG36" s="666"/>
      <c r="BH36" s="667"/>
      <c r="BI36" s="667"/>
      <c r="BJ36" s="667"/>
      <c r="BK36" s="667"/>
      <c r="BL36" s="667"/>
      <c r="BM36" s="667"/>
      <c r="BN36" s="667"/>
      <c r="BO36" s="667"/>
      <c r="BP36" s="666"/>
      <c r="BQ36" s="666"/>
      <c r="BT36" s="667"/>
      <c r="BU36" s="706" t="s">
        <v>1442</v>
      </c>
      <c r="BV36" s="721" t="s">
        <v>1445</v>
      </c>
      <c r="BW36" s="667"/>
      <c r="BX36" s="667"/>
      <c r="BY36" s="667"/>
      <c r="BZ36" s="667"/>
      <c r="CA36" s="634"/>
      <c r="CB36" s="667"/>
      <c r="CC36" s="668"/>
      <c r="CD36" s="667"/>
      <c r="CE36" s="634"/>
      <c r="CF36" s="667"/>
      <c r="CG36" s="634"/>
      <c r="CH36" s="667"/>
      <c r="CI36" s="634"/>
      <c r="CJ36" s="633"/>
      <c r="CK36" s="666"/>
      <c r="CL36" s="667"/>
      <c r="CM36" s="667"/>
      <c r="CN36" s="667"/>
      <c r="CO36" s="667"/>
      <c r="CP36" s="666"/>
      <c r="CQ36" s="667"/>
      <c r="CR36" s="667"/>
      <c r="CS36" s="667"/>
      <c r="CT36" s="667"/>
      <c r="CU36" s="666"/>
      <c r="CV36" s="667"/>
      <c r="CW36" s="670" t="s">
        <v>19</v>
      </c>
      <c r="CX36" s="670" t="s">
        <v>35</v>
      </c>
      <c r="CY36" s="670"/>
      <c r="CZ36" s="671"/>
      <c r="DA36" s="671"/>
      <c r="DB36" s="634"/>
      <c r="DC36" s="634"/>
      <c r="DD36" s="634"/>
      <c r="DE36" s="634"/>
      <c r="DF36" s="634"/>
      <c r="DG36" s="634"/>
      <c r="DH36" s="634"/>
      <c r="DI36" s="634"/>
      <c r="DJ36" s="634"/>
      <c r="DK36" s="634"/>
      <c r="DL36" s="634"/>
      <c r="DM36" s="669"/>
      <c r="DN36" s="672" t="s">
        <v>34</v>
      </c>
      <c r="DO36" s="609"/>
      <c r="DP36" s="33"/>
      <c r="DQ36" s="33"/>
      <c r="DR36" s="33"/>
      <c r="DS36" s="33"/>
    </row>
    <row r="37" spans="10:123" ht="15.75" x14ac:dyDescent="0.5">
      <c r="J37" s="33" t="s">
        <v>462</v>
      </c>
      <c r="K37" s="37" t="s">
        <v>1073</v>
      </c>
      <c r="L37" s="37" t="s">
        <v>1208</v>
      </c>
      <c r="M37" s="37" t="s">
        <v>612</v>
      </c>
      <c r="N37" s="37" t="s">
        <v>227</v>
      </c>
      <c r="O37" s="37" t="s">
        <v>1255</v>
      </c>
      <c r="P37" s="1" t="s">
        <v>393</v>
      </c>
      <c r="AA37" s="634"/>
      <c r="AB37" s="634"/>
      <c r="AC37" s="658"/>
      <c r="AD37" s="634"/>
      <c r="AE37" s="634"/>
      <c r="AF37" s="634"/>
      <c r="AG37" s="634"/>
      <c r="AH37" s="634"/>
      <c r="AI37" s="634"/>
      <c r="AJ37" s="634"/>
      <c r="AK37" s="639" t="s">
        <v>32</v>
      </c>
      <c r="AL37" s="636"/>
      <c r="AY37" s="666"/>
      <c r="AZ37" s="667"/>
      <c r="BA37" s="667"/>
      <c r="BB37" s="667"/>
      <c r="BC37" s="667"/>
      <c r="BD37" s="667"/>
      <c r="BE37" s="667"/>
      <c r="BF37" s="667"/>
      <c r="BG37" s="666"/>
      <c r="BH37" s="667"/>
      <c r="BI37" s="667"/>
      <c r="BJ37" s="667"/>
      <c r="BK37" s="667"/>
      <c r="BL37" s="667"/>
      <c r="BM37" s="667"/>
      <c r="BN37" s="667"/>
      <c r="BO37" s="667"/>
      <c r="BP37" s="666"/>
      <c r="BQ37" s="666"/>
      <c r="BT37" s="667"/>
      <c r="BU37" s="706" t="s">
        <v>1442</v>
      </c>
      <c r="BV37" s="721" t="s">
        <v>1446</v>
      </c>
      <c r="BW37" s="667"/>
      <c r="BX37" s="667"/>
      <c r="BY37" s="667"/>
      <c r="BZ37" s="667"/>
      <c r="CA37" s="634"/>
      <c r="CB37" s="667"/>
      <c r="CC37" s="668"/>
      <c r="CD37" s="667"/>
      <c r="CE37" s="634"/>
      <c r="CF37" s="667"/>
      <c r="CG37" s="634"/>
      <c r="CH37" s="667"/>
      <c r="CI37" s="634"/>
      <c r="CJ37" s="633"/>
      <c r="CK37" s="666"/>
      <c r="CL37" s="667"/>
      <c r="CM37" s="667"/>
      <c r="CN37" s="667"/>
      <c r="CO37" s="667"/>
      <c r="CP37" s="666"/>
      <c r="CQ37" s="667"/>
      <c r="CR37" s="667"/>
      <c r="CS37" s="667"/>
      <c r="CT37" s="667"/>
      <c r="CU37" s="666"/>
      <c r="CV37" s="667"/>
      <c r="CW37" s="670" t="s">
        <v>17</v>
      </c>
      <c r="CX37" s="670" t="s">
        <v>33</v>
      </c>
      <c r="CY37" s="670"/>
      <c r="CZ37" s="671"/>
      <c r="DA37" s="671"/>
      <c r="DB37" s="634"/>
      <c r="DC37" s="634"/>
      <c r="DD37" s="634"/>
      <c r="DE37" s="634"/>
      <c r="DF37" s="634"/>
      <c r="DG37" s="634"/>
      <c r="DH37" s="634"/>
      <c r="DI37" s="634"/>
      <c r="DJ37" s="634"/>
      <c r="DK37" s="634"/>
      <c r="DL37" s="634"/>
      <c r="DM37" s="669"/>
      <c r="DN37" s="672" t="s">
        <v>32</v>
      </c>
      <c r="DO37" s="33" t="s">
        <v>462</v>
      </c>
      <c r="DP37" s="33"/>
      <c r="DQ37" s="33" t="s">
        <v>463</v>
      </c>
      <c r="DR37" s="33" t="s">
        <v>227</v>
      </c>
      <c r="DS37" s="33" t="s">
        <v>464</v>
      </c>
    </row>
    <row r="38" spans="10:123" ht="15.75" x14ac:dyDescent="0.5">
      <c r="J38" s="33"/>
      <c r="K38" s="37"/>
      <c r="L38" s="37" t="s">
        <v>1209</v>
      </c>
      <c r="M38" s="37" t="s">
        <v>613</v>
      </c>
      <c r="N38" s="37"/>
      <c r="O38" s="37" t="s">
        <v>1256</v>
      </c>
      <c r="P38" s="1" t="s">
        <v>1257</v>
      </c>
      <c r="AA38" s="634"/>
      <c r="AB38" s="634"/>
      <c r="AC38" s="634"/>
      <c r="AD38" s="634"/>
      <c r="AE38" s="634"/>
      <c r="AF38" s="634"/>
      <c r="AG38" s="634"/>
      <c r="AH38" s="634"/>
      <c r="AI38" s="634"/>
      <c r="AJ38" s="634"/>
      <c r="AK38" s="639" t="s">
        <v>30</v>
      </c>
      <c r="AL38" s="636"/>
      <c r="AY38" s="666"/>
      <c r="AZ38" s="667"/>
      <c r="BA38" s="667"/>
      <c r="BB38" s="667"/>
      <c r="BC38" s="667"/>
      <c r="BD38" s="667"/>
      <c r="BE38" s="667"/>
      <c r="BF38" s="667"/>
      <c r="BG38" s="666"/>
      <c r="BH38" s="667"/>
      <c r="BI38" s="667"/>
      <c r="BJ38" s="667"/>
      <c r="BK38" s="667"/>
      <c r="BL38" s="667"/>
      <c r="BM38" s="667"/>
      <c r="BN38" s="667"/>
      <c r="BO38" s="667"/>
      <c r="BP38" s="666"/>
      <c r="BQ38" s="666"/>
      <c r="BT38" s="667"/>
      <c r="BU38" s="706" t="s">
        <v>1448</v>
      </c>
      <c r="BV38" s="721" t="s">
        <v>1447</v>
      </c>
      <c r="BW38" s="667"/>
      <c r="BX38" s="667"/>
      <c r="BY38" s="667"/>
      <c r="BZ38" s="667"/>
      <c r="CA38" s="634"/>
      <c r="CB38" s="667"/>
      <c r="CC38" s="668"/>
      <c r="CD38" s="667"/>
      <c r="CE38" s="634"/>
      <c r="CF38" s="667"/>
      <c r="CG38" s="634"/>
      <c r="CH38" s="667"/>
      <c r="CI38" s="634"/>
      <c r="CJ38" s="633"/>
      <c r="CK38" s="666"/>
      <c r="CL38" s="667"/>
      <c r="CM38" s="667"/>
      <c r="CN38" s="667"/>
      <c r="CO38" s="667"/>
      <c r="CP38" s="666"/>
      <c r="CQ38" s="667"/>
      <c r="CR38" s="667"/>
      <c r="CS38" s="667"/>
      <c r="CT38" s="667"/>
      <c r="CU38" s="666"/>
      <c r="CV38" s="667"/>
      <c r="CW38" s="670" t="s">
        <v>15</v>
      </c>
      <c r="CX38" s="670" t="s">
        <v>31</v>
      </c>
      <c r="CY38" s="670"/>
      <c r="CZ38" s="671"/>
      <c r="DA38" s="671"/>
      <c r="DB38" s="634"/>
      <c r="DC38" s="634"/>
      <c r="DD38" s="634"/>
      <c r="DE38" s="634"/>
      <c r="DF38" s="634"/>
      <c r="DG38" s="634"/>
      <c r="DH38" s="634"/>
      <c r="DI38" s="634"/>
      <c r="DJ38" s="634"/>
      <c r="DK38" s="634"/>
      <c r="DL38" s="634"/>
      <c r="DM38" s="669"/>
      <c r="DN38" s="672" t="s">
        <v>30</v>
      </c>
      <c r="DO38" s="33"/>
      <c r="DP38" s="33"/>
      <c r="DQ38" s="33" t="s">
        <v>465</v>
      </c>
      <c r="DR38" s="33"/>
      <c r="DS38" s="33" t="s">
        <v>466</v>
      </c>
    </row>
    <row r="39" spans="10:123" ht="15.75" x14ac:dyDescent="0.5">
      <c r="J39" s="604"/>
      <c r="K39" s="37"/>
      <c r="L39" s="37" t="s">
        <v>1210</v>
      </c>
      <c r="M39" s="37" t="s">
        <v>614</v>
      </c>
      <c r="N39" s="37"/>
      <c r="O39" s="37" t="s">
        <v>1258</v>
      </c>
      <c r="P39" s="1" t="s">
        <v>1259</v>
      </c>
      <c r="AA39" s="634"/>
      <c r="AB39" s="634"/>
      <c r="AC39" s="634"/>
      <c r="AD39" s="634"/>
      <c r="AE39" s="634"/>
      <c r="AF39" s="634"/>
      <c r="AG39" s="634"/>
      <c r="AH39" s="634"/>
      <c r="AI39" s="634"/>
      <c r="AJ39" s="634"/>
      <c r="AK39" s="639" t="s">
        <v>28</v>
      </c>
      <c r="AL39" s="636"/>
      <c r="AY39" s="666"/>
      <c r="AZ39" s="667"/>
      <c r="BA39" s="667"/>
      <c r="BB39" s="667"/>
      <c r="BC39" s="667"/>
      <c r="BD39" s="667"/>
      <c r="BE39" s="667"/>
      <c r="BF39" s="667"/>
      <c r="BG39" s="666"/>
      <c r="BH39" s="667"/>
      <c r="BI39" s="667"/>
      <c r="BJ39" s="667"/>
      <c r="BK39" s="667"/>
      <c r="BL39" s="667"/>
      <c r="BM39" s="667"/>
      <c r="BN39" s="667"/>
      <c r="BO39" s="667"/>
      <c r="BP39" s="666"/>
      <c r="BQ39" s="666"/>
      <c r="BT39" s="667"/>
      <c r="BU39" s="706" t="s">
        <v>1450</v>
      </c>
      <c r="BV39" s="721" t="s">
        <v>1449</v>
      </c>
      <c r="BW39" s="667"/>
      <c r="BX39" s="667"/>
      <c r="BY39" s="667"/>
      <c r="BZ39" s="667"/>
      <c r="CA39" s="634"/>
      <c r="CB39" s="667"/>
      <c r="CC39" s="634"/>
      <c r="CD39" s="667"/>
      <c r="CE39" s="634"/>
      <c r="CF39" s="667"/>
      <c r="CG39" s="634"/>
      <c r="CH39" s="667"/>
      <c r="CI39" s="634"/>
      <c r="CJ39" s="633"/>
      <c r="CK39" s="666"/>
      <c r="CL39" s="667"/>
      <c r="CM39" s="667"/>
      <c r="CN39" s="667"/>
      <c r="CO39" s="667"/>
      <c r="CP39" s="666"/>
      <c r="CQ39" s="667"/>
      <c r="CR39" s="667"/>
      <c r="CS39" s="667"/>
      <c r="CT39" s="667"/>
      <c r="CU39" s="666"/>
      <c r="CV39" s="667"/>
      <c r="CW39" s="673" t="s">
        <v>0</v>
      </c>
      <c r="CX39" s="670" t="s">
        <v>29</v>
      </c>
      <c r="CY39" s="670"/>
      <c r="CZ39" s="671"/>
      <c r="DA39" s="671"/>
      <c r="DB39" s="634"/>
      <c r="DC39" s="634"/>
      <c r="DD39" s="634"/>
      <c r="DE39" s="634"/>
      <c r="DF39" s="634"/>
      <c r="DG39" s="634"/>
      <c r="DH39" s="634"/>
      <c r="DI39" s="634"/>
      <c r="DJ39" s="634"/>
      <c r="DK39" s="634"/>
      <c r="DL39" s="634"/>
      <c r="DM39" s="669"/>
      <c r="DN39" s="672" t="s">
        <v>28</v>
      </c>
      <c r="DO39" s="608"/>
      <c r="DP39" s="33"/>
      <c r="DQ39" s="33" t="s">
        <v>467</v>
      </c>
      <c r="DR39" s="33"/>
      <c r="DS39" s="33" t="s">
        <v>468</v>
      </c>
    </row>
    <row r="40" spans="10:123" ht="15.75" x14ac:dyDescent="0.5">
      <c r="J40" s="604"/>
      <c r="K40" s="37"/>
      <c r="L40" s="37" t="s">
        <v>1211</v>
      </c>
      <c r="M40" s="37" t="s">
        <v>1231</v>
      </c>
      <c r="N40" s="37"/>
      <c r="O40" s="37" t="s">
        <v>1260</v>
      </c>
      <c r="P40" s="1" t="s">
        <v>390</v>
      </c>
      <c r="AA40" s="634"/>
      <c r="AB40" s="634"/>
      <c r="AC40" s="634"/>
      <c r="AD40" s="634"/>
      <c r="AE40" s="634"/>
      <c r="AF40" s="634"/>
      <c r="AG40" s="634"/>
      <c r="AH40" s="634"/>
      <c r="AI40" s="634"/>
      <c r="AJ40" s="634"/>
      <c r="AK40" s="639" t="s">
        <v>26</v>
      </c>
      <c r="AL40" s="636"/>
      <c r="AY40" s="666"/>
      <c r="AZ40" s="667"/>
      <c r="BA40" s="667"/>
      <c r="BB40" s="667"/>
      <c r="BC40" s="667"/>
      <c r="BD40" s="667"/>
      <c r="BE40" s="667"/>
      <c r="BF40" s="667"/>
      <c r="BG40" s="666"/>
      <c r="BH40" s="667"/>
      <c r="BI40" s="667"/>
      <c r="BJ40" s="667"/>
      <c r="BK40" s="667"/>
      <c r="BL40" s="667"/>
      <c r="BM40" s="667"/>
      <c r="BN40" s="667"/>
      <c r="BO40" s="667"/>
      <c r="BP40" s="666"/>
      <c r="BQ40" s="666"/>
      <c r="BT40" s="667"/>
      <c r="BU40" s="706" t="s">
        <v>1777</v>
      </c>
      <c r="BV40" s="721" t="s">
        <v>1778</v>
      </c>
      <c r="BW40" s="667"/>
      <c r="BX40" s="667"/>
      <c r="BY40" s="667"/>
      <c r="BZ40" s="667"/>
      <c r="CA40" s="634"/>
      <c r="CB40" s="667"/>
      <c r="CC40" s="634"/>
      <c r="CD40" s="667"/>
      <c r="CE40" s="634"/>
      <c r="CF40" s="667"/>
      <c r="CG40" s="634"/>
      <c r="CH40" s="667"/>
      <c r="CI40" s="634"/>
      <c r="CJ40" s="633"/>
      <c r="CK40" s="666"/>
      <c r="CL40" s="667"/>
      <c r="CM40" s="667"/>
      <c r="CN40" s="667"/>
      <c r="CO40" s="667"/>
      <c r="CP40" s="666"/>
      <c r="CQ40" s="667"/>
      <c r="CR40" s="667"/>
      <c r="CS40" s="667"/>
      <c r="CT40" s="667"/>
      <c r="CU40" s="666"/>
      <c r="CV40" s="667"/>
      <c r="CW40" s="634"/>
      <c r="CX40" s="670" t="s">
        <v>27</v>
      </c>
      <c r="CY40" s="670"/>
      <c r="CZ40" s="671"/>
      <c r="DA40" s="671"/>
      <c r="DB40" s="634"/>
      <c r="DC40" s="634"/>
      <c r="DD40" s="634"/>
      <c r="DE40" s="634"/>
      <c r="DF40" s="634"/>
      <c r="DG40" s="634"/>
      <c r="DH40" s="634"/>
      <c r="DI40" s="634"/>
      <c r="DJ40" s="634"/>
      <c r="DK40" s="634"/>
      <c r="DL40" s="634"/>
      <c r="DM40" s="669"/>
      <c r="DN40" s="672" t="s">
        <v>26</v>
      </c>
      <c r="DO40" s="608"/>
      <c r="DP40" s="33"/>
      <c r="DQ40" s="33" t="s">
        <v>469</v>
      </c>
      <c r="DR40" s="33"/>
      <c r="DS40" s="33" t="s">
        <v>470</v>
      </c>
    </row>
    <row r="41" spans="10:123" ht="15.75" x14ac:dyDescent="0.5">
      <c r="J41" s="32"/>
      <c r="K41" s="37"/>
      <c r="L41" s="37"/>
      <c r="M41" s="37"/>
      <c r="N41" s="37"/>
      <c r="O41" s="37"/>
      <c r="AA41" s="634"/>
      <c r="AB41" s="634"/>
      <c r="AC41" s="634"/>
      <c r="AD41" s="634"/>
      <c r="AE41" s="634"/>
      <c r="AF41" s="634"/>
      <c r="AG41" s="634"/>
      <c r="AH41" s="634"/>
      <c r="AI41" s="634"/>
      <c r="AJ41" s="634"/>
      <c r="AK41" s="639" t="s">
        <v>24</v>
      </c>
      <c r="AL41" s="636"/>
      <c r="AY41" s="666"/>
      <c r="AZ41" s="667"/>
      <c r="BA41" s="667"/>
      <c r="BB41" s="667"/>
      <c r="BC41" s="667"/>
      <c r="BD41" s="667"/>
      <c r="BE41" s="667"/>
      <c r="BF41" s="667"/>
      <c r="BG41" s="666"/>
      <c r="BH41" s="667"/>
      <c r="BI41" s="667"/>
      <c r="BJ41" s="667"/>
      <c r="BK41" s="667"/>
      <c r="BL41" s="667"/>
      <c r="BM41" s="667"/>
      <c r="BN41" s="667"/>
      <c r="BO41" s="667"/>
      <c r="BP41" s="666"/>
      <c r="BQ41" s="666"/>
      <c r="BT41" s="667"/>
      <c r="BU41" s="706" t="s">
        <v>1452</v>
      </c>
      <c r="BV41" s="721" t="s">
        <v>1451</v>
      </c>
      <c r="BW41" s="667"/>
      <c r="BX41" s="667"/>
      <c r="BY41" s="667"/>
      <c r="BZ41" s="667"/>
      <c r="CA41" s="634"/>
      <c r="CB41" s="667"/>
      <c r="CC41" s="634"/>
      <c r="CD41" s="667"/>
      <c r="CE41" s="634"/>
      <c r="CF41" s="667"/>
      <c r="CG41" s="634"/>
      <c r="CH41" s="667"/>
      <c r="CI41" s="634"/>
      <c r="CJ41" s="633"/>
      <c r="CK41" s="666"/>
      <c r="CL41" s="667"/>
      <c r="CM41" s="667"/>
      <c r="CN41" s="667"/>
      <c r="CO41" s="667"/>
      <c r="CP41" s="666"/>
      <c r="CQ41" s="667"/>
      <c r="CR41" s="667"/>
      <c r="CS41" s="667"/>
      <c r="CT41" s="667"/>
      <c r="CU41" s="666"/>
      <c r="CV41" s="667"/>
      <c r="CW41" s="634"/>
      <c r="CX41" s="670" t="s">
        <v>25</v>
      </c>
      <c r="CY41" s="670"/>
      <c r="CZ41" s="671"/>
      <c r="DA41" s="671"/>
      <c r="DB41" s="634"/>
      <c r="DC41" s="634"/>
      <c r="DD41" s="634"/>
      <c r="DE41" s="634"/>
      <c r="DF41" s="634"/>
      <c r="DG41" s="634"/>
      <c r="DH41" s="634"/>
      <c r="DI41" s="634"/>
      <c r="DJ41" s="634"/>
      <c r="DK41" s="634"/>
      <c r="DL41" s="634"/>
      <c r="DM41" s="669"/>
      <c r="DN41" s="672" t="s">
        <v>24</v>
      </c>
      <c r="DO41" s="32"/>
      <c r="DP41" s="33"/>
      <c r="DQ41" s="33"/>
      <c r="DR41" s="33"/>
      <c r="DS41" s="33"/>
    </row>
    <row r="42" spans="10:123" ht="15.75" x14ac:dyDescent="0.5">
      <c r="J42" s="605"/>
      <c r="K42" s="37"/>
      <c r="L42" s="37"/>
      <c r="M42" s="37"/>
      <c r="N42" s="37"/>
      <c r="O42" s="37"/>
      <c r="AA42" s="634"/>
      <c r="AB42" s="634"/>
      <c r="AC42" s="634"/>
      <c r="AD42" s="634"/>
      <c r="AE42" s="634"/>
      <c r="AF42" s="634"/>
      <c r="AG42" s="634"/>
      <c r="AH42" s="634"/>
      <c r="AI42" s="634"/>
      <c r="AJ42" s="634"/>
      <c r="AK42" s="639" t="s">
        <v>22</v>
      </c>
      <c r="AL42" s="636"/>
      <c r="AY42" s="666"/>
      <c r="AZ42" s="667"/>
      <c r="BA42" s="667"/>
      <c r="BB42" s="667"/>
      <c r="BC42" s="667"/>
      <c r="BD42" s="667"/>
      <c r="BE42" s="667"/>
      <c r="BF42" s="667"/>
      <c r="BG42" s="666"/>
      <c r="BH42" s="667"/>
      <c r="BI42" s="667"/>
      <c r="BJ42" s="667"/>
      <c r="BK42" s="667"/>
      <c r="BL42" s="667"/>
      <c r="BM42" s="667"/>
      <c r="BN42" s="667"/>
      <c r="BO42" s="667"/>
      <c r="BP42" s="666"/>
      <c r="BQ42" s="666"/>
      <c r="BT42" s="667"/>
      <c r="BU42" s="706" t="s">
        <v>1454</v>
      </c>
      <c r="BV42" s="721" t="s">
        <v>1453</v>
      </c>
      <c r="BW42" s="667"/>
      <c r="BX42" s="667"/>
      <c r="BY42" s="667"/>
      <c r="BZ42" s="667"/>
      <c r="CA42" s="634"/>
      <c r="CB42" s="667"/>
      <c r="CC42" s="634"/>
      <c r="CD42" s="667"/>
      <c r="CE42" s="634"/>
      <c r="CF42" s="667"/>
      <c r="CG42" s="634"/>
      <c r="CH42" s="667"/>
      <c r="CI42" s="634"/>
      <c r="CJ42" s="633"/>
      <c r="CK42" s="666"/>
      <c r="CL42" s="667"/>
      <c r="CM42" s="667"/>
      <c r="CN42" s="667"/>
      <c r="CO42" s="667"/>
      <c r="CP42" s="666"/>
      <c r="CQ42" s="667"/>
      <c r="CR42" s="667"/>
      <c r="CS42" s="667"/>
      <c r="CT42" s="667"/>
      <c r="CU42" s="666"/>
      <c r="CV42" s="667"/>
      <c r="CW42" s="634"/>
      <c r="CX42" s="670" t="s">
        <v>23</v>
      </c>
      <c r="CY42" s="670"/>
      <c r="CZ42" s="671"/>
      <c r="DA42" s="671"/>
      <c r="DB42" s="634"/>
      <c r="DC42" s="634"/>
      <c r="DD42" s="634"/>
      <c r="DE42" s="634"/>
      <c r="DF42" s="634"/>
      <c r="DG42" s="634"/>
      <c r="DH42" s="634"/>
      <c r="DI42" s="634"/>
      <c r="DJ42" s="634"/>
      <c r="DK42" s="634"/>
      <c r="DL42" s="634"/>
      <c r="DM42" s="669"/>
      <c r="DN42" s="672" t="s">
        <v>22</v>
      </c>
      <c r="DO42" s="609"/>
      <c r="DP42" s="33"/>
      <c r="DQ42" s="33"/>
      <c r="DR42" s="33"/>
      <c r="DS42" s="33"/>
    </row>
    <row r="43" spans="10:123" ht="15.75" x14ac:dyDescent="0.5">
      <c r="J43" s="33" t="s">
        <v>471</v>
      </c>
      <c r="K43" s="37"/>
      <c r="L43" s="37"/>
      <c r="M43" s="37"/>
      <c r="N43" s="37"/>
      <c r="O43" s="37"/>
      <c r="AA43" s="634"/>
      <c r="AB43" s="634"/>
      <c r="AC43" s="634"/>
      <c r="AD43" s="634"/>
      <c r="AE43" s="634"/>
      <c r="AF43" s="634"/>
      <c r="AG43" s="634"/>
      <c r="AH43" s="634"/>
      <c r="AI43" s="634"/>
      <c r="AJ43" s="634"/>
      <c r="AK43" s="639" t="s">
        <v>20</v>
      </c>
      <c r="AL43" s="636"/>
      <c r="AY43" s="666"/>
      <c r="AZ43" s="667"/>
      <c r="BA43" s="667"/>
      <c r="BB43" s="667"/>
      <c r="BC43" s="667"/>
      <c r="BD43" s="667"/>
      <c r="BE43" s="667"/>
      <c r="BF43" s="667"/>
      <c r="BG43" s="666"/>
      <c r="BH43" s="667"/>
      <c r="BI43" s="667"/>
      <c r="BJ43" s="667"/>
      <c r="BK43" s="667"/>
      <c r="BL43" s="667"/>
      <c r="BM43" s="667"/>
      <c r="BN43" s="667"/>
      <c r="BO43" s="667"/>
      <c r="BP43" s="666"/>
      <c r="BQ43" s="666"/>
      <c r="BT43" s="667"/>
      <c r="BU43" s="706" t="s">
        <v>1456</v>
      </c>
      <c r="BV43" s="721" t="s">
        <v>1455</v>
      </c>
      <c r="BW43" s="667"/>
      <c r="BX43" s="667"/>
      <c r="BY43" s="667"/>
      <c r="BZ43" s="667"/>
      <c r="CA43" s="634"/>
      <c r="CB43" s="667"/>
      <c r="CC43" s="634"/>
      <c r="CD43" s="667"/>
      <c r="CE43" s="634"/>
      <c r="CF43" s="667"/>
      <c r="CG43" s="634"/>
      <c r="CH43" s="667"/>
      <c r="CI43" s="634"/>
      <c r="CJ43" s="633"/>
      <c r="CK43" s="666"/>
      <c r="CL43" s="667"/>
      <c r="CM43" s="667"/>
      <c r="CN43" s="667"/>
      <c r="CO43" s="667"/>
      <c r="CP43" s="666"/>
      <c r="CQ43" s="667"/>
      <c r="CR43" s="667"/>
      <c r="CS43" s="667"/>
      <c r="CT43" s="667"/>
      <c r="CU43" s="666"/>
      <c r="CV43" s="667"/>
      <c r="CW43" s="634"/>
      <c r="CX43" s="670" t="s">
        <v>21</v>
      </c>
      <c r="CY43" s="670"/>
      <c r="CZ43" s="671"/>
      <c r="DA43" s="671"/>
      <c r="DB43" s="634"/>
      <c r="DC43" s="634"/>
      <c r="DD43" s="634"/>
      <c r="DE43" s="634"/>
      <c r="DF43" s="634"/>
      <c r="DG43" s="634"/>
      <c r="DH43" s="634"/>
      <c r="DI43" s="634"/>
      <c r="DJ43" s="634"/>
      <c r="DK43" s="634"/>
      <c r="DL43" s="634"/>
      <c r="DM43" s="669"/>
      <c r="DN43" s="672" t="s">
        <v>20</v>
      </c>
      <c r="DO43" s="33" t="s">
        <v>471</v>
      </c>
      <c r="DP43" s="33"/>
      <c r="DQ43" s="33"/>
      <c r="DR43" s="33"/>
      <c r="DS43" s="33"/>
    </row>
    <row r="44" spans="10:123" ht="15.75" x14ac:dyDescent="0.5">
      <c r="J44" s="37"/>
      <c r="K44" s="37"/>
      <c r="L44" s="37"/>
      <c r="M44" s="37"/>
      <c r="N44" s="37"/>
      <c r="O44" s="37"/>
      <c r="AA44" s="634"/>
      <c r="AB44" s="634"/>
      <c r="AC44" s="634"/>
      <c r="AD44" s="634"/>
      <c r="AE44" s="634"/>
      <c r="AF44" s="634"/>
      <c r="AG44" s="634"/>
      <c r="AH44" s="634"/>
      <c r="AI44" s="634"/>
      <c r="AJ44" s="634"/>
      <c r="AK44" s="639" t="s">
        <v>18</v>
      </c>
      <c r="AL44" s="636"/>
      <c r="AY44" s="666"/>
      <c r="AZ44" s="667"/>
      <c r="BA44" s="667"/>
      <c r="BB44" s="667"/>
      <c r="BC44" s="667"/>
      <c r="BD44" s="667"/>
      <c r="BE44" s="667"/>
      <c r="BF44" s="667"/>
      <c r="BG44" s="666"/>
      <c r="BH44" s="667"/>
      <c r="BI44" s="667"/>
      <c r="BJ44" s="667"/>
      <c r="BK44" s="667"/>
      <c r="BL44" s="667"/>
      <c r="BM44" s="667"/>
      <c r="BN44" s="667"/>
      <c r="BO44" s="667"/>
      <c r="BP44" s="666"/>
      <c r="BQ44" s="666"/>
      <c r="BT44" s="667"/>
      <c r="BU44" s="706" t="s">
        <v>1458</v>
      </c>
      <c r="BV44" s="721" t="s">
        <v>1457</v>
      </c>
      <c r="BW44" s="667"/>
      <c r="BX44" s="667"/>
      <c r="BY44" s="667"/>
      <c r="BZ44" s="667"/>
      <c r="CA44" s="634"/>
      <c r="CB44" s="667"/>
      <c r="CC44" s="634"/>
      <c r="CD44" s="667"/>
      <c r="CE44" s="634"/>
      <c r="CF44" s="667"/>
      <c r="CG44" s="634"/>
      <c r="CH44" s="667"/>
      <c r="CI44" s="634"/>
      <c r="CJ44" s="633"/>
      <c r="CK44" s="666"/>
      <c r="CL44" s="667"/>
      <c r="CM44" s="667"/>
      <c r="CN44" s="667"/>
      <c r="CO44" s="667"/>
      <c r="CP44" s="666"/>
      <c r="CQ44" s="667"/>
      <c r="CR44" s="667"/>
      <c r="CS44" s="667"/>
      <c r="CT44" s="667"/>
      <c r="CU44" s="666"/>
      <c r="CV44" s="667"/>
      <c r="CW44" s="634"/>
      <c r="CX44" s="670" t="s">
        <v>19</v>
      </c>
      <c r="CY44" s="670"/>
      <c r="CZ44" s="671"/>
      <c r="DA44" s="671"/>
      <c r="DB44" s="634"/>
      <c r="DC44" s="634"/>
      <c r="DD44" s="634"/>
      <c r="DE44" s="634"/>
      <c r="DF44" s="634"/>
      <c r="DG44" s="634"/>
      <c r="DH44" s="634"/>
      <c r="DI44" s="634"/>
      <c r="DJ44" s="634"/>
      <c r="DK44" s="634"/>
      <c r="DL44" s="634"/>
      <c r="DM44" s="669"/>
      <c r="DN44" s="672" t="s">
        <v>18</v>
      </c>
      <c r="DO44" s="33"/>
      <c r="DP44" s="33"/>
      <c r="DQ44" s="33"/>
      <c r="DR44" s="33"/>
      <c r="DS44" s="33"/>
    </row>
    <row r="45" spans="10:123" ht="15.75" x14ac:dyDescent="0.5">
      <c r="AA45" s="634"/>
      <c r="AB45" s="634"/>
      <c r="AC45" s="634"/>
      <c r="AD45" s="634"/>
      <c r="AE45" s="634"/>
      <c r="AF45" s="634"/>
      <c r="AG45" s="634"/>
      <c r="AH45" s="634"/>
      <c r="AI45" s="634"/>
      <c r="AJ45" s="634"/>
      <c r="AK45" s="674" t="s">
        <v>0</v>
      </c>
      <c r="AL45" s="636"/>
      <c r="AY45" s="666"/>
      <c r="AZ45" s="667"/>
      <c r="BA45" s="667"/>
      <c r="BB45" s="667"/>
      <c r="BC45" s="667"/>
      <c r="BD45" s="667"/>
      <c r="BE45" s="667"/>
      <c r="BF45" s="667"/>
      <c r="BG45" s="666"/>
      <c r="BH45" s="667"/>
      <c r="BI45" s="667"/>
      <c r="BJ45" s="667"/>
      <c r="BK45" s="667"/>
      <c r="BL45" s="667"/>
      <c r="BM45" s="667"/>
      <c r="BN45" s="667"/>
      <c r="BO45" s="667"/>
      <c r="BP45" s="666"/>
      <c r="BQ45" s="666"/>
      <c r="BT45" s="667"/>
      <c r="BU45" s="706" t="s">
        <v>1460</v>
      </c>
      <c r="BV45" s="721" t="s">
        <v>1459</v>
      </c>
      <c r="BW45" s="667"/>
      <c r="BX45" s="667"/>
      <c r="BY45" s="667"/>
      <c r="BZ45" s="667"/>
      <c r="CA45" s="634"/>
      <c r="CB45" s="667"/>
      <c r="CC45" s="634"/>
      <c r="CD45" s="667"/>
      <c r="CE45" s="634"/>
      <c r="CF45" s="667"/>
      <c r="CG45" s="634"/>
      <c r="CH45" s="667"/>
      <c r="CI45" s="634"/>
      <c r="CJ45" s="633"/>
      <c r="CK45" s="666"/>
      <c r="CL45" s="667"/>
      <c r="CM45" s="667"/>
      <c r="CN45" s="667"/>
      <c r="CO45" s="667"/>
      <c r="CP45" s="666"/>
      <c r="CQ45" s="667"/>
      <c r="CR45" s="667"/>
      <c r="CS45" s="667"/>
      <c r="CT45" s="667"/>
      <c r="CU45" s="666"/>
      <c r="CV45" s="667"/>
      <c r="CW45" s="634"/>
      <c r="CX45" s="670" t="s">
        <v>17</v>
      </c>
      <c r="CY45" s="670"/>
      <c r="CZ45" s="671"/>
      <c r="DA45" s="671"/>
      <c r="DB45" s="634"/>
      <c r="DC45" s="634"/>
      <c r="DD45" s="634"/>
      <c r="DE45" s="634"/>
      <c r="DF45" s="634"/>
      <c r="DG45" s="634"/>
      <c r="DH45" s="634"/>
      <c r="DI45" s="634"/>
      <c r="DJ45" s="634"/>
      <c r="DK45" s="634"/>
      <c r="DL45" s="634"/>
      <c r="DM45" s="669"/>
      <c r="DN45" s="633" t="s">
        <v>16</v>
      </c>
    </row>
    <row r="46" spans="10:123" ht="15.75" x14ac:dyDescent="0.5">
      <c r="AA46" s="634"/>
      <c r="AB46" s="634"/>
      <c r="AC46" s="634"/>
      <c r="AD46" s="634"/>
      <c r="AE46" s="634"/>
      <c r="AF46" s="634"/>
      <c r="AG46" s="634"/>
      <c r="AH46" s="634"/>
      <c r="AI46" s="634"/>
      <c r="AJ46" s="634"/>
      <c r="AK46" s="639" t="s">
        <v>16</v>
      </c>
      <c r="AL46" s="636"/>
      <c r="AY46" s="666"/>
      <c r="AZ46" s="667"/>
      <c r="BA46" s="667"/>
      <c r="BB46" s="667"/>
      <c r="BC46" s="667"/>
      <c r="BD46" s="667"/>
      <c r="BE46" s="667"/>
      <c r="BF46" s="667"/>
      <c r="BG46" s="666"/>
      <c r="BH46" s="667"/>
      <c r="BI46" s="667"/>
      <c r="BJ46" s="667"/>
      <c r="BK46" s="667"/>
      <c r="BL46" s="667"/>
      <c r="BM46" s="667"/>
      <c r="BN46" s="667"/>
      <c r="BO46" s="667"/>
      <c r="BP46" s="666"/>
      <c r="BQ46" s="666"/>
      <c r="BT46" s="667"/>
      <c r="BU46" s="706" t="s">
        <v>1462</v>
      </c>
      <c r="BV46" s="721" t="s">
        <v>1461</v>
      </c>
      <c r="BW46" s="667"/>
      <c r="BX46" s="667"/>
      <c r="BY46" s="667"/>
      <c r="BZ46" s="667"/>
      <c r="CA46" s="634"/>
      <c r="CB46" s="667"/>
      <c r="CC46" s="634"/>
      <c r="CD46" s="667"/>
      <c r="CE46" s="634"/>
      <c r="CF46" s="667"/>
      <c r="CG46" s="634"/>
      <c r="CH46" s="667"/>
      <c r="CI46" s="634"/>
      <c r="CJ46" s="633"/>
      <c r="CK46" s="666"/>
      <c r="CL46" s="667"/>
      <c r="CM46" s="667"/>
      <c r="CN46" s="667"/>
      <c r="CO46" s="667"/>
      <c r="CP46" s="666"/>
      <c r="CQ46" s="667"/>
      <c r="CR46" s="667"/>
      <c r="CS46" s="667"/>
      <c r="CT46" s="667"/>
      <c r="CU46" s="666"/>
      <c r="CV46" s="667"/>
      <c r="CW46" s="634"/>
      <c r="CX46" s="670" t="s">
        <v>15</v>
      </c>
      <c r="CY46" s="670"/>
      <c r="CZ46" s="671"/>
      <c r="DA46" s="671"/>
      <c r="DB46" s="634"/>
      <c r="DC46" s="634"/>
      <c r="DD46" s="634"/>
      <c r="DE46" s="634"/>
      <c r="DF46" s="634"/>
      <c r="DG46" s="634"/>
      <c r="DH46" s="634"/>
      <c r="DI46" s="634"/>
      <c r="DJ46" s="634"/>
      <c r="DK46" s="634"/>
      <c r="DL46" s="634"/>
      <c r="DM46" s="669"/>
      <c r="DN46" s="633" t="s">
        <v>14</v>
      </c>
    </row>
    <row r="47" spans="10:123" ht="16.149999999999999" thickBot="1" x14ac:dyDescent="0.55000000000000004">
      <c r="AA47" s="634"/>
      <c r="AB47" s="634"/>
      <c r="AC47" s="634"/>
      <c r="AD47" s="634"/>
      <c r="AE47" s="634"/>
      <c r="AF47" s="634"/>
      <c r="AG47" s="634"/>
      <c r="AH47" s="634"/>
      <c r="AI47" s="634"/>
      <c r="AJ47" s="634"/>
      <c r="AK47" s="735" t="s">
        <v>1691</v>
      </c>
      <c r="AL47" s="643"/>
      <c r="AY47" s="666"/>
      <c r="AZ47" s="667"/>
      <c r="BA47" s="667"/>
      <c r="BB47" s="667"/>
      <c r="BC47" s="667"/>
      <c r="BD47" s="667"/>
      <c r="BE47" s="667"/>
      <c r="BF47" s="667"/>
      <c r="BG47" s="666"/>
      <c r="BH47" s="667"/>
      <c r="BI47" s="667"/>
      <c r="BJ47" s="667"/>
      <c r="BK47" s="667"/>
      <c r="BL47" s="667"/>
      <c r="BM47" s="667"/>
      <c r="BN47" s="667"/>
      <c r="BO47" s="667"/>
      <c r="BP47" s="666"/>
      <c r="BQ47" s="666"/>
      <c r="BT47" s="667"/>
      <c r="BU47" s="706" t="s">
        <v>1464</v>
      </c>
      <c r="BV47" s="721" t="s">
        <v>1463</v>
      </c>
      <c r="BW47" s="667"/>
      <c r="BX47" s="667"/>
      <c r="BY47" s="667"/>
      <c r="BZ47" s="667"/>
      <c r="CA47" s="634"/>
      <c r="CB47" s="667"/>
      <c r="CC47" s="634"/>
      <c r="CD47" s="667"/>
      <c r="CE47" s="634"/>
      <c r="CF47" s="667"/>
      <c r="CG47" s="634"/>
      <c r="CH47" s="667"/>
      <c r="CI47" s="634"/>
      <c r="CJ47" s="633"/>
      <c r="CK47" s="666"/>
      <c r="CL47" s="667"/>
      <c r="CM47" s="667"/>
      <c r="CN47" s="667"/>
      <c r="CO47" s="667"/>
      <c r="CP47" s="666"/>
      <c r="CQ47" s="667"/>
      <c r="CR47" s="667"/>
      <c r="CS47" s="667"/>
      <c r="CT47" s="667"/>
      <c r="CU47" s="666"/>
      <c r="CV47" s="667"/>
      <c r="CW47" s="634"/>
      <c r="CX47" s="673" t="s">
        <v>0</v>
      </c>
      <c r="CY47" s="634"/>
      <c r="CZ47" s="671"/>
      <c r="DA47" s="671"/>
      <c r="DB47" s="634"/>
      <c r="DC47" s="634"/>
      <c r="DD47" s="634"/>
      <c r="DE47" s="634"/>
      <c r="DF47" s="634"/>
      <c r="DG47" s="634"/>
      <c r="DH47" s="634"/>
      <c r="DI47" s="634"/>
      <c r="DJ47" s="634"/>
      <c r="DK47" s="634"/>
      <c r="DL47" s="634"/>
      <c r="DM47" s="669"/>
      <c r="DN47" s="633" t="s">
        <v>13</v>
      </c>
    </row>
    <row r="48" spans="10:123" ht="15.75" x14ac:dyDescent="0.5">
      <c r="AA48" s="634"/>
      <c r="AB48" s="634"/>
      <c r="AC48" s="634"/>
      <c r="AD48" s="634"/>
      <c r="AE48" s="634"/>
      <c r="AF48" s="634"/>
      <c r="AG48" s="634"/>
      <c r="AH48" s="634"/>
      <c r="AI48" s="634"/>
      <c r="AJ48" s="634"/>
      <c r="AK48" s="633" t="s">
        <v>2373</v>
      </c>
      <c r="AL48" s="633"/>
      <c r="AY48" s="666"/>
      <c r="AZ48" s="667"/>
      <c r="BA48" s="667"/>
      <c r="BB48" s="667"/>
      <c r="BC48" s="667"/>
      <c r="BD48" s="667"/>
      <c r="BE48" s="667"/>
      <c r="BF48" s="667"/>
      <c r="BG48" s="666"/>
      <c r="BH48" s="667"/>
      <c r="BI48" s="667"/>
      <c r="BJ48" s="667"/>
      <c r="BK48" s="667"/>
      <c r="BL48" s="667"/>
      <c r="BM48" s="667"/>
      <c r="BN48" s="667"/>
      <c r="BO48" s="667"/>
      <c r="BP48" s="666"/>
      <c r="BQ48" s="666"/>
      <c r="BT48" s="667"/>
      <c r="BU48" s="706" t="s">
        <v>1779</v>
      </c>
      <c r="BV48" s="721" t="s">
        <v>1780</v>
      </c>
      <c r="BW48" s="667"/>
      <c r="BX48" s="667"/>
      <c r="BY48" s="667"/>
      <c r="BZ48" s="667"/>
      <c r="CA48" s="634"/>
      <c r="CB48" s="667"/>
      <c r="CC48" s="634"/>
      <c r="CD48" s="667"/>
      <c r="CE48" s="634"/>
      <c r="CF48" s="667"/>
      <c r="CG48" s="634"/>
      <c r="CH48" s="667"/>
      <c r="CI48" s="634"/>
      <c r="CJ48" s="633"/>
      <c r="CK48" s="666"/>
      <c r="CL48" s="667"/>
      <c r="CM48" s="667"/>
      <c r="CN48" s="667"/>
      <c r="CO48" s="667"/>
      <c r="CP48" s="666"/>
      <c r="CQ48" s="667"/>
      <c r="CR48" s="667"/>
      <c r="CS48" s="667"/>
      <c r="CT48" s="667"/>
      <c r="CU48" s="666"/>
      <c r="CV48" s="667"/>
      <c r="CW48" s="634"/>
      <c r="CX48" s="634"/>
      <c r="CY48" s="634"/>
      <c r="CZ48" s="671"/>
      <c r="DA48" s="671"/>
      <c r="DB48" s="634"/>
      <c r="DC48" s="634"/>
      <c r="DD48" s="634"/>
      <c r="DE48" s="634"/>
      <c r="DF48" s="634"/>
      <c r="DG48" s="634"/>
      <c r="DH48" s="634"/>
      <c r="DI48" s="634"/>
      <c r="DJ48" s="634"/>
      <c r="DK48" s="634"/>
      <c r="DL48" s="634"/>
      <c r="DM48" s="669"/>
      <c r="DN48" s="633" t="s">
        <v>12</v>
      </c>
    </row>
    <row r="49" spans="27:118" ht="15.75" x14ac:dyDescent="0.5">
      <c r="AA49" s="633"/>
      <c r="AB49" s="634"/>
      <c r="AC49" s="634"/>
      <c r="AD49" s="634"/>
      <c r="AE49" s="634"/>
      <c r="AF49" s="634"/>
      <c r="AG49" s="634"/>
      <c r="AH49" s="634"/>
      <c r="AI49" s="634"/>
      <c r="AJ49" s="634"/>
      <c r="AK49" s="633"/>
      <c r="AL49" s="633"/>
      <c r="AY49" s="666"/>
      <c r="AZ49" s="667"/>
      <c r="BA49" s="667"/>
      <c r="BB49" s="667"/>
      <c r="BC49" s="667"/>
      <c r="BD49" s="667"/>
      <c r="BE49" s="667"/>
      <c r="BF49" s="667"/>
      <c r="BG49" s="666"/>
      <c r="BH49" s="667"/>
      <c r="BI49" s="667"/>
      <c r="BJ49" s="667"/>
      <c r="BK49" s="667"/>
      <c r="BL49" s="667"/>
      <c r="BM49" s="667"/>
      <c r="BN49" s="667"/>
      <c r="BO49" s="667"/>
      <c r="BP49" s="666"/>
      <c r="BQ49" s="666"/>
      <c r="BT49" s="667"/>
      <c r="BU49" s="706" t="s">
        <v>1466</v>
      </c>
      <c r="BV49" s="721" t="s">
        <v>1465</v>
      </c>
      <c r="BW49" s="667"/>
      <c r="BX49" s="667"/>
      <c r="BY49" s="667"/>
      <c r="BZ49" s="667"/>
      <c r="CA49" s="634"/>
      <c r="CB49" s="667"/>
      <c r="CC49" s="634"/>
      <c r="CD49" s="667"/>
      <c r="CE49" s="634"/>
      <c r="CF49" s="667"/>
      <c r="CG49" s="634"/>
      <c r="CH49" s="667"/>
      <c r="CI49" s="634"/>
      <c r="CJ49" s="633"/>
      <c r="CK49" s="666"/>
      <c r="CL49" s="667"/>
      <c r="CM49" s="667"/>
      <c r="CN49" s="667"/>
      <c r="CO49" s="667"/>
      <c r="CP49" s="666"/>
      <c r="CQ49" s="667"/>
      <c r="CR49" s="667"/>
      <c r="CS49" s="667"/>
      <c r="CT49" s="667"/>
      <c r="CU49" s="666"/>
      <c r="CV49" s="667"/>
      <c r="CW49" s="634"/>
      <c r="CX49" s="634"/>
      <c r="CY49" s="634"/>
      <c r="CZ49" s="671"/>
      <c r="DA49" s="671"/>
      <c r="DB49" s="634"/>
      <c r="DC49" s="634"/>
      <c r="DD49" s="634"/>
      <c r="DE49" s="634"/>
      <c r="DF49" s="634"/>
      <c r="DG49" s="634"/>
      <c r="DH49" s="634"/>
      <c r="DI49" s="634"/>
      <c r="DJ49" s="634"/>
      <c r="DK49" s="634"/>
      <c r="DL49" s="634"/>
      <c r="DM49" s="669"/>
      <c r="DN49" s="633" t="s">
        <v>11</v>
      </c>
    </row>
    <row r="50" spans="27:118" ht="15.75" x14ac:dyDescent="0.5">
      <c r="AA50" s="633"/>
      <c r="AB50" s="634"/>
      <c r="AC50" s="634"/>
      <c r="AD50" s="634"/>
      <c r="AE50" s="634"/>
      <c r="AF50" s="634"/>
      <c r="AG50" s="634"/>
      <c r="AH50" s="634"/>
      <c r="AI50" s="634"/>
      <c r="AJ50" s="634"/>
      <c r="AK50" s="633"/>
      <c r="AL50" s="633"/>
      <c r="AY50" s="666"/>
      <c r="AZ50" s="667"/>
      <c r="BA50" s="667"/>
      <c r="BB50" s="667"/>
      <c r="BC50" s="667"/>
      <c r="BD50" s="667"/>
      <c r="BE50" s="667"/>
      <c r="BF50" s="667"/>
      <c r="BG50" s="666"/>
      <c r="BH50" s="667"/>
      <c r="BI50" s="667"/>
      <c r="BJ50" s="667"/>
      <c r="BK50" s="667"/>
      <c r="BL50" s="667"/>
      <c r="BM50" s="667"/>
      <c r="BN50" s="667"/>
      <c r="BO50" s="667"/>
      <c r="BP50" s="666"/>
      <c r="BQ50" s="667"/>
      <c r="BT50" s="667"/>
      <c r="BU50" s="706" t="s">
        <v>1468</v>
      </c>
      <c r="BV50" s="721" t="s">
        <v>1467</v>
      </c>
      <c r="BW50" s="667"/>
      <c r="BX50" s="667"/>
      <c r="BY50" s="667"/>
      <c r="BZ50" s="667"/>
      <c r="CA50" s="634"/>
      <c r="CB50" s="667"/>
      <c r="CC50" s="634"/>
      <c r="CD50" s="667"/>
      <c r="CE50" s="634"/>
      <c r="CF50" s="667"/>
      <c r="CG50" s="634"/>
      <c r="CH50" s="667"/>
      <c r="CI50" s="634"/>
      <c r="CJ50" s="633"/>
      <c r="CK50" s="666"/>
      <c r="CL50" s="667"/>
      <c r="CM50" s="667"/>
      <c r="CN50" s="667"/>
      <c r="CO50" s="667"/>
      <c r="CP50" s="666"/>
      <c r="CQ50" s="667"/>
      <c r="CR50" s="667"/>
      <c r="CS50" s="667"/>
      <c r="CT50" s="667"/>
      <c r="CU50" s="667"/>
      <c r="CV50" s="667"/>
      <c r="CW50" s="634"/>
      <c r="CX50" s="634"/>
      <c r="CY50" s="634"/>
      <c r="CZ50" s="671"/>
      <c r="DA50" s="671"/>
      <c r="DB50" s="634"/>
      <c r="DC50" s="634"/>
      <c r="DD50" s="634"/>
      <c r="DE50" s="634"/>
      <c r="DF50" s="634"/>
      <c r="DG50" s="634"/>
      <c r="DH50" s="634"/>
      <c r="DI50" s="634"/>
      <c r="DJ50" s="634"/>
      <c r="DK50" s="634"/>
      <c r="DL50" s="634"/>
      <c r="DM50" s="669"/>
      <c r="DN50" s="633" t="s">
        <v>10</v>
      </c>
    </row>
    <row r="51" spans="27:118" ht="15.75" x14ac:dyDescent="0.5">
      <c r="AA51" s="633"/>
      <c r="AB51" s="634"/>
      <c r="AC51" s="634"/>
      <c r="AD51" s="634"/>
      <c r="AE51" s="634"/>
      <c r="AF51" s="634"/>
      <c r="AG51" s="634"/>
      <c r="AH51" s="634"/>
      <c r="AI51" s="634"/>
      <c r="AJ51" s="634"/>
      <c r="AK51" s="633"/>
      <c r="AL51" s="633"/>
      <c r="AY51" s="666"/>
      <c r="AZ51" s="667"/>
      <c r="BA51" s="667"/>
      <c r="BB51" s="667"/>
      <c r="BC51" s="667"/>
      <c r="BD51" s="667"/>
      <c r="BE51" s="667"/>
      <c r="BF51" s="667"/>
      <c r="BG51" s="666"/>
      <c r="BH51" s="667"/>
      <c r="BI51" s="667"/>
      <c r="BJ51" s="667"/>
      <c r="BK51" s="667"/>
      <c r="BL51" s="667"/>
      <c r="BM51" s="667"/>
      <c r="BN51" s="667"/>
      <c r="BO51" s="667"/>
      <c r="BP51" s="667"/>
      <c r="BQ51" s="667"/>
      <c r="BT51" s="667"/>
      <c r="BU51" s="706" t="s">
        <v>1470</v>
      </c>
      <c r="BV51" s="721" t="s">
        <v>1469</v>
      </c>
      <c r="BW51" s="667"/>
      <c r="BX51" s="667"/>
      <c r="BY51" s="667"/>
      <c r="BZ51" s="667"/>
      <c r="CA51" s="634"/>
      <c r="CB51" s="667"/>
      <c r="CC51" s="634"/>
      <c r="CD51" s="667"/>
      <c r="CE51" s="634"/>
      <c r="CF51" s="667"/>
      <c r="CG51" s="634"/>
      <c r="CH51" s="667"/>
      <c r="CI51" s="634"/>
      <c r="CJ51" s="633"/>
      <c r="CK51" s="666"/>
      <c r="CL51" s="667"/>
      <c r="CM51" s="667"/>
      <c r="CN51" s="667"/>
      <c r="CO51" s="667"/>
      <c r="CP51" s="666"/>
      <c r="CQ51" s="667"/>
      <c r="CR51" s="667"/>
      <c r="CS51" s="667"/>
      <c r="CT51" s="667"/>
      <c r="CU51" s="667"/>
      <c r="CV51" s="667"/>
      <c r="CW51" s="634"/>
      <c r="CX51" s="634"/>
      <c r="CY51" s="634"/>
      <c r="CZ51" s="671"/>
      <c r="DA51" s="671"/>
      <c r="DB51" s="634"/>
      <c r="DC51" s="634"/>
      <c r="DD51" s="634"/>
      <c r="DE51" s="634"/>
      <c r="DF51" s="634"/>
      <c r="DG51" s="634"/>
      <c r="DH51" s="634"/>
      <c r="DI51" s="634"/>
      <c r="DJ51" s="634"/>
      <c r="DK51" s="634"/>
      <c r="DL51" s="634"/>
      <c r="DM51" s="669"/>
      <c r="DN51" s="633" t="s">
        <v>9</v>
      </c>
    </row>
    <row r="52" spans="27:118" ht="15.75" x14ac:dyDescent="0.5">
      <c r="AA52" s="633"/>
      <c r="AB52" s="634"/>
      <c r="AC52" s="634"/>
      <c r="AD52" s="634"/>
      <c r="AE52" s="634"/>
      <c r="AF52" s="634"/>
      <c r="AG52" s="634"/>
      <c r="AH52" s="634"/>
      <c r="AI52" s="634"/>
      <c r="AJ52" s="634"/>
      <c r="AK52" s="633"/>
      <c r="AL52" s="633"/>
      <c r="AY52" s="666"/>
      <c r="AZ52" s="667"/>
      <c r="BA52" s="667"/>
      <c r="BB52" s="667"/>
      <c r="BC52" s="667"/>
      <c r="BD52" s="667"/>
      <c r="BE52" s="667"/>
      <c r="BF52" s="667"/>
      <c r="BG52" s="666"/>
      <c r="BH52" s="667"/>
      <c r="BI52" s="667"/>
      <c r="BJ52" s="667"/>
      <c r="BK52" s="667"/>
      <c r="BL52" s="667"/>
      <c r="BM52" s="667"/>
      <c r="BN52" s="667"/>
      <c r="BO52" s="667"/>
      <c r="BP52" s="667"/>
      <c r="BQ52" s="667"/>
      <c r="BT52" s="667"/>
      <c r="BU52" s="706" t="s">
        <v>1472</v>
      </c>
      <c r="BV52" s="721" t="s">
        <v>1471</v>
      </c>
      <c r="BW52" s="667"/>
      <c r="BX52" s="667"/>
      <c r="BY52" s="667"/>
      <c r="BZ52" s="667"/>
      <c r="CA52" s="634"/>
      <c r="CB52" s="667"/>
      <c r="CC52" s="634"/>
      <c r="CD52" s="667"/>
      <c r="CE52" s="634"/>
      <c r="CF52" s="667"/>
      <c r="CG52" s="634"/>
      <c r="CH52" s="667"/>
      <c r="CI52" s="634"/>
      <c r="CJ52" s="633"/>
      <c r="CK52" s="666"/>
      <c r="CL52" s="667"/>
      <c r="CM52" s="667"/>
      <c r="CN52" s="667"/>
      <c r="CO52" s="667"/>
      <c r="CP52" s="666"/>
      <c r="CQ52" s="667"/>
      <c r="CR52" s="667"/>
      <c r="CS52" s="667"/>
      <c r="CT52" s="667"/>
      <c r="CU52" s="667"/>
      <c r="CV52" s="667"/>
      <c r="CW52" s="634"/>
      <c r="CX52" s="634"/>
      <c r="CY52" s="634"/>
      <c r="CZ52" s="671"/>
      <c r="DA52" s="671"/>
      <c r="DB52" s="634"/>
      <c r="DC52" s="634"/>
      <c r="DD52" s="634"/>
      <c r="DE52" s="634"/>
      <c r="DF52" s="634"/>
      <c r="DG52" s="634"/>
      <c r="DH52" s="634"/>
      <c r="DI52" s="634"/>
      <c r="DJ52" s="634"/>
      <c r="DK52" s="634"/>
      <c r="DL52" s="634"/>
      <c r="DM52" s="669"/>
      <c r="DN52" s="633" t="s">
        <v>8</v>
      </c>
    </row>
    <row r="53" spans="27:118" ht="15.75" x14ac:dyDescent="0.5">
      <c r="AA53" s="633"/>
      <c r="AB53" s="634"/>
      <c r="AC53" s="634"/>
      <c r="AD53" s="634"/>
      <c r="AE53" s="634"/>
      <c r="AF53" s="634"/>
      <c r="AG53" s="634"/>
      <c r="AH53" s="634"/>
      <c r="AI53" s="634"/>
      <c r="AJ53" s="634"/>
      <c r="AK53" s="633"/>
      <c r="AL53" s="633"/>
      <c r="AY53" s="666"/>
      <c r="AZ53" s="667"/>
      <c r="BA53" s="667"/>
      <c r="BB53" s="667"/>
      <c r="BC53" s="667"/>
      <c r="BD53" s="667"/>
      <c r="BE53" s="667"/>
      <c r="BF53" s="667"/>
      <c r="BG53" s="666"/>
      <c r="BH53" s="667"/>
      <c r="BI53" s="667"/>
      <c r="BJ53" s="667"/>
      <c r="BK53" s="667"/>
      <c r="BL53" s="667"/>
      <c r="BM53" s="667"/>
      <c r="BN53" s="667"/>
      <c r="BO53" s="667"/>
      <c r="BP53" s="667"/>
      <c r="BQ53" s="667"/>
      <c r="BT53" s="667"/>
      <c r="BU53" s="706" t="s">
        <v>1474</v>
      </c>
      <c r="BV53" s="721" t="s">
        <v>1473</v>
      </c>
      <c r="BW53" s="667"/>
      <c r="BX53" s="667"/>
      <c r="BY53" s="667"/>
      <c r="BZ53" s="667"/>
      <c r="CA53" s="634"/>
      <c r="CB53" s="667"/>
      <c r="CC53" s="634"/>
      <c r="CD53" s="667"/>
      <c r="CE53" s="634"/>
      <c r="CF53" s="667"/>
      <c r="CG53" s="634"/>
      <c r="CH53" s="667"/>
      <c r="CI53" s="634"/>
      <c r="CJ53" s="633"/>
      <c r="CK53" s="666"/>
      <c r="CL53" s="667"/>
      <c r="CM53" s="667"/>
      <c r="CN53" s="667"/>
      <c r="CO53" s="667"/>
      <c r="CP53" s="666"/>
      <c r="CQ53" s="667"/>
      <c r="CR53" s="667"/>
      <c r="CS53" s="667"/>
      <c r="CT53" s="667"/>
      <c r="CU53" s="667"/>
      <c r="CV53" s="667"/>
      <c r="CW53" s="634"/>
      <c r="CX53" s="634"/>
      <c r="CY53" s="634"/>
      <c r="CZ53" s="671"/>
      <c r="DA53" s="671"/>
      <c r="DB53" s="634"/>
      <c r="DC53" s="634"/>
      <c r="DD53" s="634"/>
      <c r="DE53" s="634"/>
      <c r="DF53" s="634"/>
      <c r="DG53" s="634"/>
      <c r="DH53" s="634"/>
      <c r="DI53" s="634"/>
      <c r="DJ53" s="634"/>
      <c r="DK53" s="634"/>
      <c r="DL53" s="634"/>
      <c r="DM53" s="669"/>
      <c r="DN53" s="666" t="s">
        <v>7</v>
      </c>
    </row>
    <row r="54" spans="27:118" ht="15.75" x14ac:dyDescent="0.5">
      <c r="AA54" s="633"/>
      <c r="AB54" s="634"/>
      <c r="AC54" s="634"/>
      <c r="AD54" s="634"/>
      <c r="AE54" s="634"/>
      <c r="AF54" s="634"/>
      <c r="AG54" s="634"/>
      <c r="AH54" s="634"/>
      <c r="AI54" s="634"/>
      <c r="AJ54" s="634"/>
      <c r="AK54" s="633"/>
      <c r="AL54" s="633"/>
      <c r="AY54" s="666"/>
      <c r="AZ54" s="667"/>
      <c r="BA54" s="667"/>
      <c r="BB54" s="667"/>
      <c r="BC54" s="667"/>
      <c r="BD54" s="667"/>
      <c r="BE54" s="667"/>
      <c r="BF54" s="667"/>
      <c r="BG54" s="666"/>
      <c r="BH54" s="667"/>
      <c r="BI54" s="667"/>
      <c r="BJ54" s="667"/>
      <c r="BK54" s="667"/>
      <c r="BL54" s="667"/>
      <c r="BM54" s="667"/>
      <c r="BN54" s="667"/>
      <c r="BO54" s="667"/>
      <c r="BP54" s="667"/>
      <c r="BQ54" s="667"/>
      <c r="BT54" s="667"/>
      <c r="BW54" s="667"/>
      <c r="BX54" s="667"/>
      <c r="BY54" s="667"/>
      <c r="BZ54" s="667"/>
      <c r="CA54" s="634"/>
      <c r="CB54" s="667"/>
      <c r="CC54" s="634"/>
      <c r="CD54" s="667"/>
      <c r="CE54" s="634"/>
      <c r="CF54" s="667"/>
      <c r="CG54" s="634"/>
      <c r="CH54" s="667"/>
      <c r="CI54" s="634"/>
      <c r="CJ54" s="633"/>
      <c r="CK54" s="666"/>
      <c r="CL54" s="667"/>
      <c r="CM54" s="667"/>
      <c r="CN54" s="667"/>
      <c r="CO54" s="667"/>
      <c r="CP54" s="666"/>
      <c r="CQ54" s="667"/>
      <c r="CR54" s="667"/>
      <c r="CS54" s="667"/>
      <c r="CT54" s="667"/>
      <c r="CU54" s="667"/>
      <c r="CV54" s="667"/>
      <c r="CW54" s="634"/>
      <c r="CX54" s="634"/>
      <c r="CY54" s="634"/>
      <c r="CZ54" s="671"/>
      <c r="DA54" s="671"/>
      <c r="DB54" s="634"/>
      <c r="DC54" s="634"/>
      <c r="DD54" s="634"/>
      <c r="DE54" s="634"/>
      <c r="DF54" s="634"/>
      <c r="DG54" s="634"/>
      <c r="DH54" s="634"/>
      <c r="DI54" s="634"/>
      <c r="DJ54" s="634"/>
      <c r="DK54" s="634"/>
      <c r="DL54" s="634"/>
      <c r="DM54" s="669"/>
      <c r="DN54" s="634" t="s">
        <v>6</v>
      </c>
    </row>
    <row r="55" spans="27:118" ht="15.75" x14ac:dyDescent="0.5">
      <c r="AA55" s="633"/>
      <c r="AB55" s="634"/>
      <c r="AC55" s="634"/>
      <c r="AD55" s="634"/>
      <c r="AE55" s="634"/>
      <c r="AF55" s="634"/>
      <c r="AG55" s="634"/>
      <c r="AH55" s="634"/>
      <c r="AI55" s="634"/>
      <c r="AJ55" s="634"/>
      <c r="AK55" s="633"/>
      <c r="AL55" s="633"/>
      <c r="AY55" s="666"/>
      <c r="AZ55" s="667"/>
      <c r="BA55" s="667"/>
      <c r="BB55" s="667"/>
      <c r="BC55" s="667"/>
      <c r="BD55" s="667"/>
      <c r="BE55" s="667"/>
      <c r="BF55" s="667"/>
      <c r="BG55" s="666"/>
      <c r="BH55" s="667"/>
      <c r="BI55" s="667"/>
      <c r="BJ55" s="667"/>
      <c r="BK55" s="667"/>
      <c r="BL55" s="667"/>
      <c r="BM55" s="667"/>
      <c r="BN55" s="667"/>
      <c r="BO55" s="667"/>
      <c r="BP55" s="667"/>
      <c r="BQ55" s="667"/>
      <c r="BT55" s="667"/>
      <c r="BW55" s="667"/>
      <c r="BX55" s="667"/>
      <c r="BY55" s="667"/>
      <c r="BZ55" s="667"/>
      <c r="CA55" s="634"/>
      <c r="CB55" s="667"/>
      <c r="CC55" s="634"/>
      <c r="CD55" s="667"/>
      <c r="CE55" s="634"/>
      <c r="CF55" s="667"/>
      <c r="CG55" s="634"/>
      <c r="CH55" s="667"/>
      <c r="CI55" s="634"/>
      <c r="CJ55" s="633"/>
      <c r="CK55" s="666"/>
      <c r="CL55" s="667"/>
      <c r="CM55" s="667"/>
      <c r="CN55" s="667"/>
      <c r="CO55" s="667"/>
      <c r="CP55" s="666"/>
      <c r="CQ55" s="667"/>
      <c r="CR55" s="667"/>
      <c r="CS55" s="667"/>
      <c r="CT55" s="667"/>
      <c r="CU55" s="667"/>
      <c r="CV55" s="667"/>
      <c r="CW55" s="634"/>
      <c r="CX55" s="634"/>
      <c r="CY55" s="634"/>
      <c r="CZ55" s="671"/>
      <c r="DA55" s="671"/>
      <c r="DB55" s="634"/>
      <c r="DC55" s="634"/>
      <c r="DD55" s="634"/>
      <c r="DE55" s="634"/>
      <c r="DF55" s="634"/>
      <c r="DG55" s="634"/>
      <c r="DH55" s="634"/>
      <c r="DI55" s="634"/>
      <c r="DJ55" s="634"/>
      <c r="DK55" s="634"/>
      <c r="DL55" s="634"/>
      <c r="DM55" s="669"/>
      <c r="DN55" s="666" t="s">
        <v>5</v>
      </c>
    </row>
    <row r="56" spans="27:118" ht="15.75" x14ac:dyDescent="0.5">
      <c r="AA56" s="633"/>
      <c r="AB56" s="634"/>
      <c r="AC56" s="634"/>
      <c r="AD56" s="634"/>
      <c r="AE56" s="634"/>
      <c r="AF56" s="634"/>
      <c r="AG56" s="634"/>
      <c r="AH56" s="634"/>
      <c r="AI56" s="634"/>
      <c r="AJ56" s="634"/>
      <c r="AK56" s="633"/>
      <c r="AL56" s="633"/>
      <c r="AY56" s="666"/>
      <c r="AZ56" s="667"/>
      <c r="BA56" s="667"/>
      <c r="BB56" s="667"/>
      <c r="BC56" s="667"/>
      <c r="BD56" s="667"/>
      <c r="BE56" s="667"/>
      <c r="BF56" s="667"/>
      <c r="BG56" s="666"/>
      <c r="BH56" s="667"/>
      <c r="BI56" s="667"/>
      <c r="BJ56" s="667"/>
      <c r="BK56" s="667"/>
      <c r="BL56" s="667"/>
      <c r="BM56" s="667"/>
      <c r="BN56" s="667"/>
      <c r="BO56" s="667"/>
      <c r="BP56" s="667"/>
      <c r="BQ56" s="667"/>
      <c r="BT56" s="667"/>
      <c r="BW56" s="667"/>
      <c r="BX56" s="667"/>
      <c r="BY56" s="667"/>
      <c r="BZ56" s="667"/>
      <c r="CA56" s="634"/>
      <c r="CB56" s="667"/>
      <c r="CC56" s="634"/>
      <c r="CD56" s="667"/>
      <c r="CE56" s="634"/>
      <c r="CF56" s="667"/>
      <c r="CG56" s="634"/>
      <c r="CH56" s="667"/>
      <c r="CI56" s="634"/>
      <c r="CJ56" s="633"/>
      <c r="CK56" s="666"/>
      <c r="CL56" s="667"/>
      <c r="CM56" s="667"/>
      <c r="CN56" s="667"/>
      <c r="CO56" s="667"/>
      <c r="CP56" s="666"/>
      <c r="CQ56" s="667"/>
      <c r="CR56" s="667"/>
      <c r="CS56" s="667"/>
      <c r="CT56" s="667"/>
      <c r="CU56" s="667"/>
      <c r="CV56" s="667"/>
      <c r="CW56" s="634"/>
      <c r="CX56" s="634"/>
      <c r="CY56" s="634"/>
      <c r="CZ56" s="671"/>
      <c r="DA56" s="671"/>
      <c r="DB56" s="634"/>
      <c r="DC56" s="634"/>
      <c r="DD56" s="634"/>
      <c r="DE56" s="634"/>
      <c r="DF56" s="634"/>
      <c r="DG56" s="634"/>
      <c r="DH56" s="634"/>
      <c r="DI56" s="634"/>
      <c r="DJ56" s="634"/>
      <c r="DK56" s="634"/>
      <c r="DL56" s="634"/>
      <c r="DM56" s="669"/>
      <c r="DN56" s="666" t="s">
        <v>4</v>
      </c>
    </row>
    <row r="57" spans="27:118" ht="15.75" x14ac:dyDescent="0.5">
      <c r="AA57" s="633"/>
      <c r="AB57" s="634"/>
      <c r="AC57" s="634"/>
      <c r="AD57" s="634"/>
      <c r="AE57" s="634"/>
      <c r="AF57" s="634"/>
      <c r="AG57" s="634"/>
      <c r="AH57" s="634"/>
      <c r="AI57" s="634"/>
      <c r="AJ57" s="634"/>
      <c r="AK57" s="633"/>
      <c r="AL57" s="633"/>
      <c r="AY57" s="666"/>
      <c r="AZ57" s="667"/>
      <c r="BA57" s="667"/>
      <c r="BB57" s="667"/>
      <c r="BC57" s="667"/>
      <c r="BD57" s="667"/>
      <c r="BE57" s="667"/>
      <c r="BF57" s="667"/>
      <c r="BG57" s="666"/>
      <c r="BH57" s="667"/>
      <c r="BI57" s="667"/>
      <c r="BJ57" s="667"/>
      <c r="BK57" s="667"/>
      <c r="BL57" s="667"/>
      <c r="BM57" s="667"/>
      <c r="BN57" s="667"/>
      <c r="BO57" s="667"/>
      <c r="BP57" s="667"/>
      <c r="BQ57" s="667"/>
      <c r="BT57" s="667"/>
      <c r="BW57" s="667"/>
      <c r="BX57" s="667"/>
      <c r="BY57" s="667"/>
      <c r="BZ57" s="667"/>
      <c r="CA57" s="634"/>
      <c r="CB57" s="667"/>
      <c r="CC57" s="634"/>
      <c r="CD57" s="667"/>
      <c r="CE57" s="634"/>
      <c r="CF57" s="667"/>
      <c r="CG57" s="634"/>
      <c r="CH57" s="667"/>
      <c r="CI57" s="634"/>
      <c r="CJ57" s="633"/>
      <c r="CK57" s="666"/>
      <c r="CL57" s="667"/>
      <c r="CM57" s="667"/>
      <c r="CN57" s="667"/>
      <c r="CO57" s="667"/>
      <c r="CP57" s="666"/>
      <c r="CQ57" s="667"/>
      <c r="CR57" s="667"/>
      <c r="CS57" s="667"/>
      <c r="CT57" s="667"/>
      <c r="CU57" s="667"/>
      <c r="CV57" s="667"/>
      <c r="CW57" s="634"/>
      <c r="CX57" s="634"/>
      <c r="CY57" s="634"/>
      <c r="CZ57" s="671"/>
      <c r="DA57" s="671"/>
      <c r="DB57" s="634"/>
      <c r="DC57" s="634"/>
      <c r="DD57" s="634"/>
      <c r="DE57" s="634"/>
      <c r="DF57" s="634"/>
      <c r="DG57" s="634"/>
      <c r="DH57" s="634"/>
      <c r="DI57" s="634"/>
      <c r="DJ57" s="634"/>
      <c r="DK57" s="634"/>
      <c r="DL57" s="634"/>
      <c r="DM57" s="669"/>
      <c r="DN57" s="666" t="s">
        <v>3</v>
      </c>
    </row>
    <row r="58" spans="27:118" ht="15.75" x14ac:dyDescent="0.5">
      <c r="AA58" s="633"/>
      <c r="AB58" s="634"/>
      <c r="AC58" s="634"/>
      <c r="AD58" s="634"/>
      <c r="AE58" s="634"/>
      <c r="AF58" s="634"/>
      <c r="AG58" s="634"/>
      <c r="AH58" s="634"/>
      <c r="AI58" s="634"/>
      <c r="AJ58" s="634"/>
      <c r="AK58" s="633"/>
      <c r="AL58" s="633"/>
      <c r="AY58" s="666"/>
      <c r="AZ58" s="667"/>
      <c r="BA58" s="667"/>
      <c r="BB58" s="667"/>
      <c r="BC58" s="667"/>
      <c r="BD58" s="667"/>
      <c r="BE58" s="667"/>
      <c r="BF58" s="667"/>
      <c r="BG58" s="666"/>
      <c r="BH58" s="667"/>
      <c r="BI58" s="667"/>
      <c r="BJ58" s="667"/>
      <c r="BK58" s="667"/>
      <c r="BL58" s="667"/>
      <c r="BM58" s="667"/>
      <c r="BN58" s="667"/>
      <c r="BO58" s="667"/>
      <c r="BP58" s="667"/>
      <c r="BQ58" s="667"/>
      <c r="BT58" s="667"/>
      <c r="BW58" s="667"/>
      <c r="BX58" s="667"/>
      <c r="BY58" s="667"/>
      <c r="BZ58" s="667"/>
      <c r="CA58" s="634"/>
      <c r="CB58" s="667"/>
      <c r="CC58" s="634"/>
      <c r="CD58" s="667"/>
      <c r="CE58" s="634"/>
      <c r="CF58" s="667"/>
      <c r="CG58" s="634"/>
      <c r="CH58" s="667"/>
      <c r="CI58" s="634"/>
      <c r="CJ58" s="633"/>
      <c r="CK58" s="666"/>
      <c r="CL58" s="667"/>
      <c r="CM58" s="667"/>
      <c r="CN58" s="667"/>
      <c r="CO58" s="667"/>
      <c r="CP58" s="666"/>
      <c r="CQ58" s="667"/>
      <c r="CR58" s="667"/>
      <c r="CS58" s="667"/>
      <c r="CT58" s="667"/>
      <c r="CU58" s="667"/>
      <c r="CV58" s="667"/>
      <c r="CW58" s="634"/>
      <c r="CX58" s="634"/>
      <c r="CY58" s="634"/>
      <c r="CZ58" s="671"/>
      <c r="DA58" s="671"/>
      <c r="DB58" s="634"/>
      <c r="DC58" s="634"/>
      <c r="DD58" s="634"/>
      <c r="DE58" s="634"/>
      <c r="DF58" s="634"/>
      <c r="DG58" s="634"/>
      <c r="DH58" s="634"/>
      <c r="DI58" s="634"/>
      <c r="DJ58" s="634"/>
      <c r="DK58" s="634"/>
      <c r="DL58" s="634"/>
      <c r="DM58" s="669"/>
      <c r="DN58" s="666" t="s">
        <v>2</v>
      </c>
    </row>
    <row r="59" spans="27:118" ht="15.75" x14ac:dyDescent="0.5">
      <c r="AA59" s="633"/>
      <c r="AB59" s="634"/>
      <c r="AC59" s="634"/>
      <c r="AD59" s="634"/>
      <c r="AE59" s="634"/>
      <c r="AF59" s="634"/>
      <c r="AG59" s="634"/>
      <c r="AH59" s="634"/>
      <c r="AI59" s="634"/>
      <c r="AJ59" s="634"/>
      <c r="AK59" s="633"/>
      <c r="AL59" s="633"/>
      <c r="AY59" s="666"/>
      <c r="AZ59" s="667"/>
      <c r="BA59" s="667"/>
      <c r="BB59" s="667"/>
      <c r="BC59" s="667"/>
      <c r="BD59" s="667"/>
      <c r="BE59" s="667"/>
      <c r="BF59" s="667"/>
      <c r="BG59" s="666"/>
      <c r="BH59" s="667"/>
      <c r="BI59" s="667"/>
      <c r="BJ59" s="667"/>
      <c r="BK59" s="667"/>
      <c r="BL59" s="667"/>
      <c r="BM59" s="667"/>
      <c r="BN59" s="667"/>
      <c r="BO59" s="667"/>
      <c r="BP59" s="667"/>
      <c r="BQ59" s="667"/>
      <c r="BT59" s="667"/>
      <c r="BW59" s="667"/>
      <c r="BX59" s="667"/>
      <c r="BY59" s="667"/>
      <c r="BZ59" s="667"/>
      <c r="CA59" s="634"/>
      <c r="CB59" s="667"/>
      <c r="CC59" s="634"/>
      <c r="CD59" s="667"/>
      <c r="CE59" s="634"/>
      <c r="CF59" s="667"/>
      <c r="CG59" s="634"/>
      <c r="CH59" s="667"/>
      <c r="CI59" s="634"/>
      <c r="CJ59" s="633"/>
      <c r="CK59" s="666"/>
      <c r="CL59" s="667"/>
      <c r="CM59" s="667"/>
      <c r="CN59" s="667"/>
      <c r="CO59" s="667"/>
      <c r="CP59" s="666"/>
      <c r="CQ59" s="667"/>
      <c r="CR59" s="667"/>
      <c r="CS59" s="667"/>
      <c r="CT59" s="667"/>
      <c r="CU59" s="667"/>
      <c r="CV59" s="667"/>
      <c r="CW59" s="634"/>
      <c r="CX59" s="634"/>
      <c r="CY59" s="634"/>
      <c r="CZ59" s="671"/>
      <c r="DA59" s="671"/>
      <c r="DB59" s="634"/>
      <c r="DC59" s="634"/>
      <c r="DD59" s="634"/>
      <c r="DE59" s="634"/>
      <c r="DF59" s="634"/>
      <c r="DG59" s="634"/>
      <c r="DH59" s="634"/>
      <c r="DI59" s="634"/>
      <c r="DJ59" s="634"/>
      <c r="DK59" s="634"/>
      <c r="DL59" s="634"/>
      <c r="DM59" s="669"/>
      <c r="DN59" s="666" t="s">
        <v>1</v>
      </c>
    </row>
    <row r="60" spans="27:118" ht="15.75" x14ac:dyDescent="0.5">
      <c r="AA60" s="633"/>
      <c r="AB60" s="634"/>
      <c r="AC60" s="634"/>
      <c r="AD60" s="634"/>
      <c r="AE60" s="634"/>
      <c r="AF60" s="634"/>
      <c r="AG60" s="634"/>
      <c r="AH60" s="634"/>
      <c r="AI60" s="634"/>
      <c r="AJ60" s="634"/>
      <c r="AK60" s="633"/>
      <c r="AL60" s="633"/>
      <c r="AY60" s="666"/>
      <c r="AZ60" s="667"/>
      <c r="BA60" s="667"/>
      <c r="BB60" s="667"/>
      <c r="BC60" s="667"/>
      <c r="BD60" s="667"/>
      <c r="BE60" s="667"/>
      <c r="BF60" s="667"/>
      <c r="BG60" s="666"/>
      <c r="BH60" s="667"/>
      <c r="BI60" s="667"/>
      <c r="BJ60" s="667"/>
      <c r="BK60" s="667"/>
      <c r="BL60" s="667"/>
      <c r="BM60" s="667"/>
      <c r="BN60" s="667"/>
      <c r="BO60" s="667"/>
      <c r="BP60" s="667"/>
      <c r="BQ60" s="667"/>
      <c r="BT60" s="667"/>
      <c r="BW60" s="667"/>
      <c r="BX60" s="667"/>
      <c r="BY60" s="667"/>
      <c r="BZ60" s="667"/>
      <c r="CA60" s="634"/>
      <c r="CB60" s="667"/>
      <c r="CC60" s="634"/>
      <c r="CD60" s="667"/>
      <c r="CE60" s="634"/>
      <c r="CF60" s="667"/>
      <c r="CG60" s="634"/>
      <c r="CH60" s="667"/>
      <c r="CI60" s="634"/>
      <c r="CJ60" s="633"/>
      <c r="CK60" s="666"/>
      <c r="CL60" s="667"/>
      <c r="CM60" s="667"/>
      <c r="CN60" s="667"/>
      <c r="CO60" s="667"/>
      <c r="CP60" s="666"/>
      <c r="CQ60" s="667"/>
      <c r="CR60" s="667"/>
      <c r="CS60" s="667"/>
      <c r="CT60" s="667"/>
      <c r="CU60" s="667"/>
      <c r="CV60" s="667"/>
      <c r="CW60" s="634"/>
      <c r="CX60" s="634"/>
      <c r="CY60" s="634"/>
      <c r="CZ60" s="671"/>
      <c r="DA60" s="671"/>
      <c r="DB60" s="634"/>
      <c r="DC60" s="634"/>
      <c r="DD60" s="634"/>
      <c r="DE60" s="634"/>
      <c r="DF60" s="634"/>
      <c r="DG60" s="634"/>
      <c r="DH60" s="634"/>
      <c r="DI60" s="634"/>
      <c r="DJ60" s="634"/>
      <c r="DK60" s="634"/>
      <c r="DL60" s="634"/>
      <c r="DM60" s="669"/>
      <c r="DN60" s="666" t="s">
        <v>0</v>
      </c>
    </row>
    <row r="61" spans="27:118" ht="15.75" x14ac:dyDescent="0.5">
      <c r="AA61" s="633"/>
      <c r="AB61" s="634"/>
      <c r="AC61" s="634"/>
      <c r="AD61" s="634"/>
      <c r="AE61" s="634"/>
      <c r="AF61" s="634"/>
      <c r="AG61" s="634"/>
      <c r="AH61" s="634"/>
      <c r="AI61" s="634"/>
      <c r="AJ61" s="634"/>
      <c r="AK61" s="633"/>
      <c r="AL61" s="633"/>
      <c r="AY61" s="634"/>
      <c r="AZ61" s="667"/>
      <c r="BA61" s="667"/>
      <c r="BB61" s="667"/>
      <c r="BC61" s="667"/>
      <c r="BD61" s="667"/>
      <c r="BE61" s="667"/>
      <c r="BF61" s="667"/>
      <c r="BG61" s="666"/>
      <c r="BH61" s="667"/>
      <c r="BI61" s="667"/>
      <c r="BJ61" s="667"/>
      <c r="BK61" s="667"/>
      <c r="BL61" s="667"/>
      <c r="BM61" s="667"/>
      <c r="BN61" s="667"/>
      <c r="BO61" s="667"/>
      <c r="BP61" s="667"/>
      <c r="BQ61" s="667"/>
      <c r="BT61" s="667"/>
      <c r="BW61" s="667"/>
      <c r="BX61" s="667"/>
      <c r="BY61" s="667"/>
      <c r="BZ61" s="667"/>
      <c r="CA61" s="634"/>
      <c r="CB61" s="667"/>
      <c r="CC61" s="634"/>
      <c r="CD61" s="667"/>
      <c r="CE61" s="634"/>
      <c r="CF61" s="667"/>
      <c r="CG61" s="634"/>
      <c r="CH61" s="667"/>
      <c r="CI61" s="634"/>
      <c r="CJ61" s="633"/>
      <c r="CK61" s="634"/>
      <c r="CL61" s="667"/>
      <c r="CM61" s="667"/>
      <c r="CN61" s="667"/>
      <c r="CO61" s="667"/>
      <c r="CP61" s="666"/>
      <c r="CQ61" s="667"/>
      <c r="CR61" s="667"/>
      <c r="CS61" s="667"/>
      <c r="CT61" s="667"/>
      <c r="CU61" s="667"/>
      <c r="CV61" s="667"/>
      <c r="CW61" s="634"/>
      <c r="CX61" s="634"/>
      <c r="CY61" s="634"/>
      <c r="CZ61" s="671"/>
      <c r="DA61" s="671"/>
      <c r="DB61" s="634"/>
      <c r="DC61" s="634"/>
      <c r="DD61" s="634"/>
      <c r="DE61" s="634"/>
      <c r="DF61" s="634"/>
      <c r="DG61" s="634"/>
      <c r="DH61" s="634"/>
      <c r="DI61" s="634"/>
      <c r="DJ61" s="634"/>
      <c r="DK61" s="634"/>
      <c r="DL61" s="634"/>
      <c r="DM61" s="669"/>
      <c r="DN61" s="669"/>
    </row>
    <row r="62" spans="27:118" ht="15.75" x14ac:dyDescent="0.5">
      <c r="AA62" s="633"/>
      <c r="AB62" s="634"/>
      <c r="AC62" s="634"/>
      <c r="AD62" s="634"/>
      <c r="AE62" s="634"/>
      <c r="AF62" s="634"/>
      <c r="AG62" s="634"/>
      <c r="AH62" s="634"/>
      <c r="AI62" s="634"/>
      <c r="AJ62" s="634"/>
      <c r="AK62" s="633"/>
      <c r="AL62" s="633"/>
      <c r="AY62" s="634"/>
      <c r="AZ62" s="667"/>
      <c r="BA62" s="667"/>
      <c r="BB62" s="667"/>
      <c r="BC62" s="667"/>
      <c r="BD62" s="667"/>
      <c r="BE62" s="667"/>
      <c r="BF62" s="667"/>
      <c r="BG62" s="666"/>
      <c r="BH62" s="667"/>
      <c r="BI62" s="667"/>
      <c r="BJ62" s="667"/>
      <c r="BK62" s="667"/>
      <c r="BL62" s="667"/>
      <c r="BM62" s="667"/>
      <c r="BN62" s="667"/>
      <c r="BO62" s="667"/>
      <c r="BP62" s="667"/>
      <c r="BQ62" s="667"/>
      <c r="BT62" s="667"/>
      <c r="BW62" s="667"/>
      <c r="BX62" s="667"/>
      <c r="BY62" s="667"/>
      <c r="BZ62" s="667"/>
      <c r="CA62" s="634"/>
      <c r="CB62" s="667"/>
      <c r="CC62" s="634"/>
      <c r="CD62" s="667"/>
      <c r="CE62" s="634"/>
      <c r="CF62" s="667"/>
      <c r="CG62" s="634"/>
      <c r="CH62" s="667"/>
      <c r="CI62" s="634"/>
      <c r="CJ62" s="633"/>
      <c r="CK62" s="634"/>
      <c r="CL62" s="667"/>
      <c r="CM62" s="667"/>
      <c r="CN62" s="667"/>
      <c r="CO62" s="667"/>
      <c r="CP62" s="666"/>
      <c r="CQ62" s="667"/>
      <c r="CR62" s="667"/>
      <c r="CS62" s="667"/>
      <c r="CT62" s="667"/>
      <c r="CU62" s="667"/>
      <c r="CV62" s="667"/>
      <c r="CW62" s="634"/>
      <c r="CX62" s="634"/>
      <c r="CY62" s="634"/>
      <c r="CZ62" s="671"/>
      <c r="DA62" s="671"/>
      <c r="DB62" s="634"/>
      <c r="DC62" s="634"/>
      <c r="DD62" s="634"/>
      <c r="DE62" s="634"/>
      <c r="DF62" s="634"/>
      <c r="DG62" s="634"/>
      <c r="DH62" s="634"/>
      <c r="DI62" s="634"/>
      <c r="DJ62" s="634"/>
      <c r="DK62" s="634"/>
      <c r="DL62" s="634"/>
      <c r="DM62" s="669"/>
      <c r="DN62" s="669"/>
    </row>
    <row r="63" spans="27:118" ht="15.75" x14ac:dyDescent="0.5">
      <c r="AA63" s="633"/>
      <c r="AB63" s="634"/>
      <c r="AC63" s="634"/>
      <c r="AD63" s="634"/>
      <c r="AE63" s="634"/>
      <c r="AF63" s="634"/>
      <c r="AG63" s="634"/>
      <c r="AH63" s="634"/>
      <c r="AI63" s="634"/>
      <c r="AJ63" s="634"/>
      <c r="AK63" s="633"/>
      <c r="AL63" s="633"/>
      <c r="AY63" s="634"/>
      <c r="AZ63" s="667"/>
      <c r="BA63" s="667"/>
      <c r="BB63" s="667"/>
      <c r="BC63" s="667"/>
      <c r="BD63" s="667"/>
      <c r="BE63" s="667"/>
      <c r="BF63" s="667"/>
      <c r="BG63" s="666"/>
      <c r="BH63" s="667"/>
      <c r="BI63" s="667"/>
      <c r="BJ63" s="667"/>
      <c r="BK63" s="667"/>
      <c r="BL63" s="667"/>
      <c r="BM63" s="667"/>
      <c r="BN63" s="667"/>
      <c r="BO63" s="667"/>
      <c r="BP63" s="667"/>
      <c r="BQ63" s="667"/>
      <c r="BT63" s="667"/>
      <c r="BW63" s="667"/>
      <c r="BX63" s="667"/>
      <c r="BY63" s="667"/>
      <c r="BZ63" s="667"/>
      <c r="CA63" s="634"/>
      <c r="CB63" s="667"/>
      <c r="CC63" s="634"/>
      <c r="CD63" s="667"/>
      <c r="CE63" s="634"/>
      <c r="CF63" s="667"/>
      <c r="CG63" s="634"/>
      <c r="CH63" s="667"/>
      <c r="CI63" s="634"/>
      <c r="CJ63" s="633"/>
      <c r="CK63" s="634"/>
      <c r="CL63" s="667"/>
      <c r="CM63" s="667"/>
      <c r="CN63" s="667"/>
      <c r="CO63" s="667"/>
      <c r="CP63" s="666"/>
      <c r="CQ63" s="667"/>
      <c r="CR63" s="667"/>
      <c r="CS63" s="667"/>
      <c r="CT63" s="667"/>
      <c r="CU63" s="667"/>
      <c r="CV63" s="667"/>
      <c r="CW63" s="634"/>
      <c r="CX63" s="634"/>
      <c r="CY63" s="634"/>
      <c r="CZ63" s="671"/>
      <c r="DA63" s="671"/>
      <c r="DB63" s="634"/>
      <c r="DC63" s="634"/>
      <c r="DD63" s="634"/>
      <c r="DE63" s="634"/>
      <c r="DF63" s="634"/>
      <c r="DG63" s="634"/>
      <c r="DH63" s="634"/>
      <c r="DI63" s="634"/>
      <c r="DJ63" s="634"/>
      <c r="DK63" s="634"/>
      <c r="DL63" s="634"/>
      <c r="DM63" s="669"/>
      <c r="DN63" s="669"/>
    </row>
    <row r="64" spans="27:118" ht="15.75" x14ac:dyDescent="0.5">
      <c r="AA64" s="633"/>
      <c r="AB64" s="634"/>
      <c r="AC64" s="634"/>
      <c r="AD64" s="634"/>
      <c r="AE64" s="634"/>
      <c r="AF64" s="634"/>
      <c r="AG64" s="634"/>
      <c r="AH64" s="634"/>
      <c r="AI64" s="634"/>
      <c r="AJ64" s="634"/>
      <c r="AK64" s="633"/>
      <c r="AL64" s="633"/>
      <c r="AY64" s="634"/>
      <c r="AZ64" s="667"/>
      <c r="BA64" s="667"/>
      <c r="BB64" s="667"/>
      <c r="BC64" s="667"/>
      <c r="BD64" s="667"/>
      <c r="BE64" s="667"/>
      <c r="BF64" s="667"/>
      <c r="BG64" s="666"/>
      <c r="BH64" s="667"/>
      <c r="BI64" s="667"/>
      <c r="BJ64" s="667"/>
      <c r="BK64" s="667"/>
      <c r="BL64" s="667"/>
      <c r="BM64" s="667"/>
      <c r="BN64" s="667"/>
      <c r="BO64" s="667"/>
      <c r="BP64" s="667"/>
      <c r="BQ64" s="667"/>
      <c r="BT64" s="667"/>
      <c r="BW64" s="667"/>
      <c r="BX64" s="667"/>
      <c r="BY64" s="667"/>
      <c r="BZ64" s="667"/>
      <c r="CA64" s="634"/>
      <c r="CB64" s="667"/>
      <c r="CC64" s="634"/>
      <c r="CD64" s="667"/>
      <c r="CE64" s="634"/>
      <c r="CF64" s="667"/>
      <c r="CG64" s="634"/>
      <c r="CH64" s="667"/>
      <c r="CI64" s="634"/>
      <c r="CJ64" s="633"/>
      <c r="CK64" s="634"/>
      <c r="CL64" s="667"/>
      <c r="CM64" s="667"/>
      <c r="CN64" s="667"/>
      <c r="CO64" s="667"/>
      <c r="CP64" s="666"/>
      <c r="CQ64" s="667"/>
      <c r="CR64" s="667"/>
      <c r="CS64" s="667"/>
      <c r="CT64" s="667"/>
      <c r="CU64" s="667"/>
      <c r="CV64" s="667"/>
      <c r="CW64" s="634"/>
      <c r="CX64" s="634"/>
      <c r="CY64" s="634"/>
      <c r="CZ64" s="671"/>
      <c r="DA64" s="671"/>
      <c r="DB64" s="634"/>
      <c r="DC64" s="634"/>
      <c r="DD64" s="634"/>
      <c r="DE64" s="634"/>
      <c r="DF64" s="634"/>
      <c r="DG64" s="634"/>
      <c r="DH64" s="634"/>
      <c r="DI64" s="634"/>
      <c r="DJ64" s="634"/>
      <c r="DK64" s="634"/>
      <c r="DL64" s="634"/>
      <c r="DM64" s="669"/>
      <c r="DN64" s="669"/>
    </row>
    <row r="65" spans="27:118" ht="15.75" x14ac:dyDescent="0.5">
      <c r="AA65" s="633"/>
      <c r="AB65" s="634"/>
      <c r="AC65" s="634"/>
      <c r="AD65" s="634"/>
      <c r="AE65" s="634"/>
      <c r="AF65" s="634"/>
      <c r="AG65" s="634"/>
      <c r="AH65" s="634"/>
      <c r="AI65" s="634"/>
      <c r="AJ65" s="634"/>
      <c r="AK65" s="633"/>
      <c r="AL65" s="633"/>
      <c r="AY65" s="634"/>
      <c r="AZ65" s="667"/>
      <c r="BA65" s="667"/>
      <c r="BB65" s="667"/>
      <c r="BC65" s="667"/>
      <c r="BD65" s="667"/>
      <c r="BE65" s="667"/>
      <c r="BF65" s="667"/>
      <c r="BG65" s="666"/>
      <c r="BH65" s="667"/>
      <c r="BI65" s="667"/>
      <c r="BJ65" s="667"/>
      <c r="BK65" s="667"/>
      <c r="BL65" s="667"/>
      <c r="BM65" s="667"/>
      <c r="BN65" s="667"/>
      <c r="BO65" s="667"/>
      <c r="BP65" s="667"/>
      <c r="BQ65" s="667"/>
      <c r="BT65" s="667"/>
      <c r="BW65" s="667"/>
      <c r="BX65" s="667"/>
      <c r="BY65" s="667"/>
      <c r="BZ65" s="667"/>
      <c r="CA65" s="634"/>
      <c r="CB65" s="667"/>
      <c r="CC65" s="634"/>
      <c r="CD65" s="667"/>
      <c r="CE65" s="634"/>
      <c r="CF65" s="667"/>
      <c r="CG65" s="634"/>
      <c r="CH65" s="667"/>
      <c r="CI65" s="634"/>
      <c r="CJ65" s="633"/>
      <c r="CK65" s="634"/>
      <c r="CL65" s="667"/>
      <c r="CM65" s="667"/>
      <c r="CN65" s="667"/>
      <c r="CO65" s="667"/>
      <c r="CP65" s="666"/>
      <c r="CQ65" s="667"/>
      <c r="CR65" s="667"/>
      <c r="CS65" s="667"/>
      <c r="CT65" s="667"/>
      <c r="CU65" s="667"/>
      <c r="CV65" s="667"/>
      <c r="CW65" s="634"/>
      <c r="CX65" s="634"/>
      <c r="CY65" s="634"/>
      <c r="CZ65" s="671"/>
      <c r="DA65" s="671"/>
      <c r="DB65" s="634"/>
      <c r="DC65" s="634"/>
      <c r="DD65" s="634"/>
      <c r="DE65" s="634"/>
      <c r="DF65" s="634"/>
      <c r="DG65" s="634"/>
      <c r="DH65" s="634"/>
      <c r="DI65" s="634"/>
      <c r="DJ65" s="634"/>
      <c r="DK65" s="634"/>
      <c r="DL65" s="634"/>
      <c r="DM65" s="669"/>
      <c r="DN65" s="669"/>
    </row>
    <row r="66" spans="27:118" ht="15.75" x14ac:dyDescent="0.5">
      <c r="AA66" s="633"/>
      <c r="AB66" s="634"/>
      <c r="AC66" s="634"/>
      <c r="AD66" s="634"/>
      <c r="AE66" s="634"/>
      <c r="AF66" s="634"/>
      <c r="AG66" s="634"/>
      <c r="AH66" s="634"/>
      <c r="AI66" s="634"/>
      <c r="AJ66" s="634"/>
      <c r="AK66" s="633"/>
      <c r="AL66" s="633"/>
      <c r="AY66" s="634"/>
      <c r="AZ66" s="667"/>
      <c r="BA66" s="667"/>
      <c r="BB66" s="667"/>
      <c r="BC66" s="667"/>
      <c r="BD66" s="667"/>
      <c r="BE66" s="667"/>
      <c r="BF66" s="667"/>
      <c r="BG66" s="666"/>
      <c r="BH66" s="667"/>
      <c r="BI66" s="667"/>
      <c r="BJ66" s="667"/>
      <c r="BK66" s="667"/>
      <c r="BL66" s="667"/>
      <c r="BM66" s="667"/>
      <c r="BN66" s="667"/>
      <c r="BO66" s="667"/>
      <c r="BP66" s="667"/>
      <c r="BQ66" s="667"/>
      <c r="BT66" s="667"/>
      <c r="BW66" s="667"/>
      <c r="BX66" s="667"/>
      <c r="BY66" s="667"/>
      <c r="BZ66" s="667"/>
      <c r="CA66" s="634"/>
      <c r="CB66" s="667"/>
      <c r="CC66" s="634"/>
      <c r="CD66" s="667"/>
      <c r="CE66" s="634"/>
      <c r="CF66" s="667"/>
      <c r="CG66" s="634"/>
      <c r="CH66" s="667"/>
      <c r="CI66" s="634"/>
      <c r="CJ66" s="633"/>
      <c r="CK66" s="634"/>
      <c r="CL66" s="667"/>
      <c r="CM66" s="667"/>
      <c r="CN66" s="667"/>
      <c r="CO66" s="667"/>
      <c r="CP66" s="666"/>
      <c r="CQ66" s="667"/>
      <c r="CR66" s="667"/>
      <c r="CS66" s="667"/>
      <c r="CT66" s="667"/>
      <c r="CU66" s="667"/>
      <c r="CV66" s="667"/>
      <c r="CW66" s="634"/>
      <c r="CX66" s="634"/>
      <c r="CY66" s="634"/>
      <c r="CZ66" s="671"/>
      <c r="DA66" s="671"/>
      <c r="DB66" s="634"/>
      <c r="DC66" s="634"/>
      <c r="DD66" s="634"/>
      <c r="DE66" s="634"/>
      <c r="DF66" s="634"/>
      <c r="DG66" s="634"/>
      <c r="DH66" s="634"/>
      <c r="DI66" s="634"/>
      <c r="DJ66" s="634"/>
      <c r="DK66" s="634"/>
      <c r="DL66" s="634"/>
      <c r="DM66" s="669"/>
      <c r="DN66" s="669"/>
    </row>
    <row r="67" spans="27:118" ht="15.75" x14ac:dyDescent="0.5">
      <c r="AA67" s="633"/>
      <c r="AB67" s="634"/>
      <c r="AC67" s="634"/>
      <c r="AD67" s="634"/>
      <c r="AE67" s="634"/>
      <c r="AF67" s="634"/>
      <c r="AG67" s="634"/>
      <c r="AH67" s="634"/>
      <c r="AI67" s="634"/>
      <c r="AJ67" s="634"/>
      <c r="AK67" s="633"/>
      <c r="AL67" s="633"/>
      <c r="AY67" s="634"/>
      <c r="AZ67" s="667"/>
      <c r="BA67" s="667"/>
      <c r="BB67" s="667"/>
      <c r="BC67" s="667"/>
      <c r="BD67" s="667"/>
      <c r="BE67" s="667"/>
      <c r="BF67" s="667"/>
      <c r="BG67" s="666"/>
      <c r="BH67" s="667"/>
      <c r="BI67" s="667"/>
      <c r="BJ67" s="667"/>
      <c r="BK67" s="667"/>
      <c r="BL67" s="667"/>
      <c r="BM67" s="667"/>
      <c r="BN67" s="667"/>
      <c r="BO67" s="667"/>
      <c r="BP67" s="667"/>
      <c r="BQ67" s="667"/>
      <c r="BT67" s="667"/>
      <c r="BW67" s="667"/>
      <c r="BX67" s="667"/>
      <c r="BY67" s="667"/>
      <c r="BZ67" s="667"/>
      <c r="CA67" s="634"/>
      <c r="CB67" s="667"/>
      <c r="CC67" s="634"/>
      <c r="CD67" s="667"/>
      <c r="CE67" s="634"/>
      <c r="CF67" s="667"/>
      <c r="CG67" s="634"/>
      <c r="CH67" s="667"/>
      <c r="CI67" s="634"/>
      <c r="CJ67" s="633"/>
      <c r="CK67" s="634"/>
      <c r="CL67" s="667"/>
      <c r="CM67" s="667"/>
      <c r="CN67" s="667"/>
      <c r="CO67" s="667"/>
      <c r="CP67" s="666"/>
      <c r="CQ67" s="667"/>
      <c r="CR67" s="667"/>
      <c r="CS67" s="667"/>
      <c r="CT67" s="667"/>
      <c r="CU67" s="667"/>
      <c r="CV67" s="667"/>
      <c r="CW67" s="634"/>
      <c r="CX67" s="634"/>
      <c r="CY67" s="634"/>
      <c r="CZ67" s="671"/>
      <c r="DA67" s="671"/>
      <c r="DB67" s="634"/>
      <c r="DC67" s="634"/>
      <c r="DD67" s="634"/>
      <c r="DE67" s="634"/>
      <c r="DF67" s="634"/>
      <c r="DG67" s="634"/>
      <c r="DH67" s="634"/>
      <c r="DI67" s="634"/>
      <c r="DJ67" s="634"/>
      <c r="DK67" s="634"/>
      <c r="DL67" s="634"/>
      <c r="DM67" s="669"/>
      <c r="DN67" s="669"/>
    </row>
    <row r="68" spans="27:118" ht="15.75" x14ac:dyDescent="0.5">
      <c r="AA68" s="633"/>
      <c r="AB68" s="634"/>
      <c r="AC68" s="634"/>
      <c r="AD68" s="634"/>
      <c r="AE68" s="634"/>
      <c r="AF68" s="634"/>
      <c r="AG68" s="634"/>
      <c r="AH68" s="634"/>
      <c r="AI68" s="634"/>
      <c r="AJ68" s="634"/>
      <c r="AK68" s="633"/>
      <c r="AL68" s="633"/>
      <c r="AY68" s="634"/>
      <c r="AZ68" s="667"/>
      <c r="BA68" s="667"/>
      <c r="BB68" s="667"/>
      <c r="BC68" s="667"/>
      <c r="BD68" s="667"/>
      <c r="BE68" s="667"/>
      <c r="BF68" s="667"/>
      <c r="BG68" s="666"/>
      <c r="BH68" s="667"/>
      <c r="BI68" s="667"/>
      <c r="BJ68" s="667"/>
      <c r="BK68" s="667"/>
      <c r="BL68" s="667"/>
      <c r="BM68" s="667"/>
      <c r="BN68" s="667"/>
      <c r="BO68" s="667"/>
      <c r="BP68" s="667"/>
      <c r="BQ68" s="667"/>
      <c r="BT68" s="667"/>
      <c r="BW68" s="667"/>
      <c r="BX68" s="667"/>
      <c r="BY68" s="667"/>
      <c r="BZ68" s="667"/>
      <c r="CA68" s="634"/>
      <c r="CB68" s="667"/>
      <c r="CC68" s="634"/>
      <c r="CD68" s="667"/>
      <c r="CE68" s="634"/>
      <c r="CF68" s="667"/>
      <c r="CG68" s="634"/>
      <c r="CH68" s="667"/>
      <c r="CI68" s="634"/>
      <c r="CJ68" s="633"/>
      <c r="CK68" s="634"/>
      <c r="CL68" s="667"/>
      <c r="CM68" s="667"/>
      <c r="CN68" s="667"/>
      <c r="CO68" s="667"/>
      <c r="CP68" s="666"/>
      <c r="CQ68" s="667"/>
      <c r="CR68" s="667"/>
      <c r="CS68" s="667"/>
      <c r="CT68" s="667"/>
      <c r="CU68" s="667"/>
      <c r="CV68" s="667"/>
      <c r="CW68" s="634"/>
      <c r="CX68" s="634"/>
      <c r="CY68" s="634"/>
      <c r="CZ68" s="671"/>
      <c r="DA68" s="671"/>
      <c r="DB68" s="634"/>
      <c r="DC68" s="634"/>
      <c r="DD68" s="634"/>
      <c r="DE68" s="634"/>
      <c r="DF68" s="634"/>
      <c r="DG68" s="634"/>
      <c r="DH68" s="634"/>
      <c r="DI68" s="634"/>
      <c r="DJ68" s="634"/>
      <c r="DK68" s="634"/>
      <c r="DL68" s="634"/>
      <c r="DM68" s="669"/>
      <c r="DN68" s="669"/>
    </row>
    <row r="69" spans="27:118" ht="15.75" x14ac:dyDescent="0.5">
      <c r="AA69" s="633"/>
      <c r="AB69" s="634"/>
      <c r="AC69" s="634"/>
      <c r="AD69" s="634"/>
      <c r="AE69" s="634"/>
      <c r="AF69" s="634"/>
      <c r="AG69" s="634"/>
      <c r="AH69" s="634"/>
      <c r="AI69" s="634"/>
      <c r="AJ69" s="634"/>
      <c r="AK69" s="633"/>
      <c r="AL69" s="633"/>
      <c r="AY69" s="634"/>
      <c r="AZ69" s="667"/>
      <c r="BA69" s="667"/>
      <c r="BB69" s="667"/>
      <c r="BC69" s="667"/>
      <c r="BD69" s="667"/>
      <c r="BE69" s="667"/>
      <c r="BF69" s="667"/>
      <c r="BG69" s="666"/>
      <c r="BH69" s="667"/>
      <c r="BI69" s="667"/>
      <c r="BJ69" s="667"/>
      <c r="BK69" s="667"/>
      <c r="BL69" s="667"/>
      <c r="BM69" s="667"/>
      <c r="BN69" s="667"/>
      <c r="BO69" s="667"/>
      <c r="BP69" s="667"/>
      <c r="BQ69" s="667"/>
      <c r="BT69" s="667"/>
      <c r="BW69" s="667"/>
      <c r="BX69" s="667"/>
      <c r="BY69" s="667"/>
      <c r="BZ69" s="667"/>
      <c r="CA69" s="634"/>
      <c r="CB69" s="667"/>
      <c r="CC69" s="634"/>
      <c r="CD69" s="667"/>
      <c r="CE69" s="634"/>
      <c r="CF69" s="667"/>
      <c r="CG69" s="634"/>
      <c r="CH69" s="667"/>
      <c r="CI69" s="634"/>
      <c r="CJ69" s="633"/>
      <c r="CK69" s="634"/>
      <c r="CL69" s="667"/>
      <c r="CM69" s="667"/>
      <c r="CN69" s="667"/>
      <c r="CO69" s="667"/>
      <c r="CP69" s="666"/>
      <c r="CQ69" s="667"/>
      <c r="CR69" s="667"/>
      <c r="CS69" s="667"/>
      <c r="CT69" s="667"/>
      <c r="CU69" s="667"/>
      <c r="CV69" s="667"/>
      <c r="CW69" s="634"/>
      <c r="CX69" s="634"/>
      <c r="CY69" s="634"/>
      <c r="CZ69" s="671"/>
      <c r="DA69" s="671"/>
      <c r="DB69" s="634"/>
      <c r="DC69" s="634"/>
      <c r="DD69" s="634"/>
      <c r="DE69" s="634"/>
      <c r="DF69" s="634"/>
      <c r="DG69" s="634"/>
      <c r="DH69" s="634"/>
      <c r="DI69" s="634"/>
      <c r="DJ69" s="634"/>
      <c r="DK69" s="634"/>
      <c r="DL69" s="634"/>
      <c r="DM69" s="669"/>
      <c r="DN69" s="669"/>
    </row>
    <row r="70" spans="27:118" ht="15.75" x14ac:dyDescent="0.5">
      <c r="AA70" s="633"/>
      <c r="AB70" s="634"/>
      <c r="AC70" s="634"/>
      <c r="AD70" s="634"/>
      <c r="AE70" s="634"/>
      <c r="AF70" s="634"/>
      <c r="AG70" s="634"/>
      <c r="AH70" s="634"/>
      <c r="AI70" s="634"/>
      <c r="AJ70" s="634"/>
      <c r="AK70" s="633"/>
      <c r="AL70" s="633"/>
      <c r="AY70" s="634"/>
      <c r="AZ70" s="667"/>
      <c r="BA70" s="667"/>
      <c r="BB70" s="667"/>
      <c r="BC70" s="667"/>
      <c r="BD70" s="667"/>
      <c r="BE70" s="667"/>
      <c r="BF70" s="667"/>
      <c r="BG70" s="666"/>
      <c r="BH70" s="667"/>
      <c r="BI70" s="667"/>
      <c r="BJ70" s="667"/>
      <c r="BK70" s="667"/>
      <c r="BL70" s="667"/>
      <c r="BM70" s="667"/>
      <c r="BN70" s="667"/>
      <c r="BO70" s="667"/>
      <c r="BP70" s="667"/>
      <c r="BQ70" s="667"/>
      <c r="BR70" s="667"/>
      <c r="BT70" s="667"/>
      <c r="BW70" s="667"/>
      <c r="BX70" s="667"/>
      <c r="BY70" s="667"/>
      <c r="BZ70" s="667"/>
      <c r="CA70" s="634"/>
      <c r="CB70" s="667"/>
      <c r="CC70" s="634"/>
      <c r="CD70" s="667"/>
      <c r="CE70" s="634"/>
      <c r="CF70" s="667"/>
      <c r="CG70" s="634"/>
      <c r="CH70" s="667"/>
      <c r="CI70" s="634"/>
      <c r="CJ70" s="633"/>
      <c r="CK70" s="634"/>
      <c r="CL70" s="667"/>
      <c r="CM70" s="667"/>
      <c r="CN70" s="667"/>
      <c r="CO70" s="667"/>
      <c r="CP70" s="666"/>
      <c r="CQ70" s="667"/>
      <c r="CR70" s="667"/>
      <c r="CS70" s="667"/>
      <c r="CT70" s="667"/>
      <c r="CU70" s="667"/>
      <c r="CV70" s="667"/>
      <c r="CW70" s="634"/>
      <c r="CX70" s="634"/>
      <c r="CY70" s="634"/>
      <c r="CZ70" s="671"/>
      <c r="DA70" s="671"/>
      <c r="DB70" s="634"/>
      <c r="DC70" s="634"/>
      <c r="DD70" s="634"/>
      <c r="DE70" s="634"/>
      <c r="DF70" s="634"/>
      <c r="DG70" s="634"/>
      <c r="DH70" s="634"/>
      <c r="DI70" s="634"/>
      <c r="DJ70" s="634"/>
      <c r="DK70" s="634"/>
      <c r="DL70" s="634"/>
      <c r="DM70" s="669"/>
      <c r="DN70" s="669"/>
    </row>
    <row r="71" spans="27:118" ht="15.75" x14ac:dyDescent="0.5">
      <c r="BM71" s="667"/>
      <c r="BN71" s="667"/>
      <c r="BO71" s="667"/>
      <c r="BP71" s="667"/>
      <c r="BT71" s="667"/>
    </row>
    <row r="72" spans="27:118" ht="15.75" x14ac:dyDescent="0.5">
      <c r="BM72" s="667"/>
      <c r="BN72" s="667"/>
      <c r="BT72" s="667"/>
    </row>
    <row r="73" spans="27:118" ht="15.75" x14ac:dyDescent="0.5">
      <c r="BM73" s="667"/>
      <c r="BN73" s="667"/>
      <c r="BT73" s="667"/>
    </row>
    <row r="74" spans="27:118" ht="15.75" x14ac:dyDescent="0.5">
      <c r="BM74" s="667"/>
      <c r="BN74" s="667"/>
      <c r="BS74" s="667"/>
      <c r="BT74" s="667"/>
    </row>
    <row r="75" spans="27:118" ht="15.75" x14ac:dyDescent="0.5">
      <c r="BM75" s="667"/>
      <c r="BN75" s="667"/>
    </row>
    <row r="76" spans="27:118" ht="15.75" x14ac:dyDescent="0.5">
      <c r="BM76" s="667"/>
      <c r="BN76" s="667"/>
      <c r="BU76" s="667"/>
      <c r="BV76" s="667"/>
    </row>
    <row r="77" spans="27:118" ht="15.75" x14ac:dyDescent="0.5">
      <c r="BM77" s="667"/>
      <c r="BN77" s="667"/>
    </row>
    <row r="78" spans="27:118" ht="15.75" x14ac:dyDescent="0.5">
      <c r="BM78" s="667"/>
      <c r="BN78" s="667"/>
    </row>
    <row r="79" spans="27:118" ht="15.75" x14ac:dyDescent="0.5">
      <c r="BM79" s="667"/>
      <c r="BN79" s="667"/>
    </row>
  </sheetData>
  <mergeCells count="5">
    <mergeCell ref="DH1:DL1"/>
    <mergeCell ref="CK1:CV1"/>
    <mergeCell ref="J1:M1"/>
    <mergeCell ref="DB1:DF1"/>
    <mergeCell ref="N1:P1"/>
  </mergeCells>
  <dataValidations count="1">
    <dataValidation type="list" allowBlank="1" showInputMessage="1" showErrorMessage="1" sqref="BZ5:BZ9" xr:uid="{00000000-0002-0000-0D00-000000000000}">
      <formula1>#REF!</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5" tint="0.39997558519241921"/>
  </sheetPr>
  <dimension ref="A1:AK226"/>
  <sheetViews>
    <sheetView workbookViewId="0">
      <selection activeCell="AI16" sqref="AI16"/>
    </sheetView>
  </sheetViews>
  <sheetFormatPr defaultColWidth="9.1328125" defaultRowHeight="14.25" x14ac:dyDescent="0.45"/>
  <cols>
    <col min="1" max="1" width="9.1328125" style="888"/>
    <col min="2" max="2" width="19.59765625" style="888" customWidth="1"/>
    <col min="3" max="3" width="21.73046875" style="888" customWidth="1"/>
    <col min="4" max="4" width="13.86328125" style="888" customWidth="1"/>
    <col min="5" max="6" width="9.1328125" style="888" hidden="1" customWidth="1"/>
    <col min="7" max="7" width="11" style="888" hidden="1" customWidth="1"/>
    <col min="8" max="8" width="11.3984375" style="888" hidden="1" customWidth="1"/>
    <col min="9" max="9" width="10.86328125" style="888" hidden="1" customWidth="1"/>
    <col min="10" max="10" width="13.59765625" style="888" customWidth="1"/>
    <col min="11" max="11" width="13.3984375" style="888" customWidth="1"/>
    <col min="12" max="12" width="24.3984375" style="888" customWidth="1"/>
    <col min="13" max="13" width="15" style="888" customWidth="1"/>
    <col min="14" max="14" width="11.3984375" style="888" customWidth="1"/>
    <col min="15" max="15" width="11.1328125" style="888" customWidth="1"/>
    <col min="16" max="16" width="14" style="888" customWidth="1"/>
    <col min="17" max="17" width="12" style="888" customWidth="1"/>
    <col min="18" max="18" width="13.86328125" style="888" customWidth="1"/>
    <col min="19" max="19" width="12" style="888" customWidth="1"/>
    <col min="20" max="20" width="13.1328125" style="888" customWidth="1"/>
    <col min="21" max="21" width="11.73046875" style="888" customWidth="1"/>
    <col min="22" max="23" width="9.1328125" style="888"/>
    <col min="24" max="24" width="12.73046875" style="888" customWidth="1"/>
    <col min="25" max="16384" width="9.1328125" style="888"/>
  </cols>
  <sheetData>
    <row r="1" spans="1:37" s="1951" customFormat="1" ht="14.65" thickTop="1" x14ac:dyDescent="0.45">
      <c r="A1" s="1950" t="s">
        <v>1754</v>
      </c>
      <c r="B1" s="1000"/>
      <c r="C1" s="1000"/>
      <c r="D1" s="1001"/>
      <c r="E1"/>
      <c r="F1"/>
      <c r="G1"/>
      <c r="H1"/>
      <c r="I1"/>
    </row>
    <row r="2" spans="1:37" s="1951" customFormat="1" x14ac:dyDescent="0.45">
      <c r="A2" s="2412" t="s">
        <v>1753</v>
      </c>
      <c r="B2" s="2413"/>
      <c r="C2" s="2413"/>
      <c r="D2" s="2414"/>
      <c r="E2"/>
      <c r="F2"/>
      <c r="G2"/>
      <c r="H2"/>
      <c r="I2"/>
    </row>
    <row r="3" spans="1:37" s="1951" customFormat="1" x14ac:dyDescent="0.45">
      <c r="A3" s="2412"/>
      <c r="B3" s="2413"/>
      <c r="C3" s="2413"/>
      <c r="D3" s="2414"/>
      <c r="E3"/>
      <c r="F3"/>
      <c r="G3"/>
      <c r="H3"/>
      <c r="I3"/>
    </row>
    <row r="4" spans="1:37" s="1951" customFormat="1" x14ac:dyDescent="0.45">
      <c r="A4" s="2412"/>
      <c r="B4" s="2413"/>
      <c r="C4" s="2413"/>
      <c r="D4" s="2414"/>
      <c r="E4"/>
      <c r="F4"/>
      <c r="G4"/>
      <c r="H4"/>
      <c r="I4"/>
    </row>
    <row r="5" spans="1:37" s="1951" customFormat="1" x14ac:dyDescent="0.45">
      <c r="A5" s="2412"/>
      <c r="B5" s="2413"/>
      <c r="C5" s="2413"/>
      <c r="D5" s="2414"/>
      <c r="E5"/>
      <c r="F5"/>
      <c r="G5"/>
      <c r="H5"/>
      <c r="I5"/>
    </row>
    <row r="6" spans="1:37" s="1951" customFormat="1" ht="14.65" thickBot="1" x14ac:dyDescent="0.5">
      <c r="A6" s="2415"/>
      <c r="B6" s="2416"/>
      <c r="C6" s="2416"/>
      <c r="D6" s="2417"/>
      <c r="E6"/>
      <c r="F6"/>
      <c r="G6"/>
      <c r="H6"/>
      <c r="I6"/>
    </row>
    <row r="7" spans="1:37" s="1951" customFormat="1" ht="14.65" thickTop="1" x14ac:dyDescent="0.45">
      <c r="A7" s="888"/>
      <c r="B7" s="888"/>
      <c r="C7" s="888"/>
      <c r="D7" s="888"/>
      <c r="E7" s="888"/>
      <c r="F7" s="888"/>
      <c r="G7" s="888"/>
      <c r="H7" s="888"/>
      <c r="I7" s="888"/>
    </row>
    <row r="8" spans="1:37" s="1951" customFormat="1" x14ac:dyDescent="0.45">
      <c r="A8" s="888"/>
      <c r="B8" s="888"/>
      <c r="C8" s="888"/>
      <c r="D8" s="888"/>
      <c r="E8" s="888"/>
      <c r="F8" s="888"/>
      <c r="G8" s="888"/>
      <c r="H8" s="888"/>
      <c r="I8" s="888"/>
    </row>
    <row r="9" spans="1:37" s="1951" customFormat="1" x14ac:dyDescent="0.45">
      <c r="A9" s="888"/>
      <c r="B9" s="888"/>
      <c r="C9" s="888"/>
      <c r="D9" s="888"/>
      <c r="E9" s="888"/>
      <c r="F9" s="888"/>
      <c r="G9" s="888"/>
      <c r="H9" s="888"/>
      <c r="I9" s="888"/>
    </row>
    <row r="10" spans="1:37" s="1951" customFormat="1" ht="16.149999999999999" thickBot="1" x14ac:dyDescent="0.5">
      <c r="A10" s="888"/>
      <c r="B10" s="1740" t="s">
        <v>897</v>
      </c>
      <c r="C10" s="1952"/>
      <c r="D10" s="1952"/>
      <c r="E10" s="1952"/>
      <c r="F10" s="1952"/>
      <c r="G10" s="888"/>
      <c r="H10" s="888"/>
      <c r="I10" s="888"/>
    </row>
    <row r="11" spans="1:37" ht="18" customHeight="1" x14ac:dyDescent="0.55000000000000004">
      <c r="B11" s="364" t="s">
        <v>882</v>
      </c>
      <c r="C11" s="365" t="s">
        <v>883</v>
      </c>
      <c r="D11" s="365" t="s">
        <v>807</v>
      </c>
      <c r="E11" s="457"/>
      <c r="F11" s="457"/>
      <c r="G11" s="458"/>
      <c r="H11" s="458"/>
      <c r="I11" s="45"/>
      <c r="J11" s="366" t="s">
        <v>884</v>
      </c>
      <c r="K11" s="366" t="s">
        <v>885</v>
      </c>
      <c r="L11" s="367" t="s">
        <v>886</v>
      </c>
      <c r="M11" s="368" t="s">
        <v>887</v>
      </c>
      <c r="Q11" s="2463" t="s">
        <v>472</v>
      </c>
      <c r="R11" s="451"/>
      <c r="S11" s="2431" t="s">
        <v>473</v>
      </c>
      <c r="T11" s="2431" t="s">
        <v>357</v>
      </c>
      <c r="U11" s="2431" t="s">
        <v>21</v>
      </c>
      <c r="V11" s="2431" t="s">
        <v>214</v>
      </c>
      <c r="W11" s="2431" t="s">
        <v>258</v>
      </c>
      <c r="X11" s="2431" t="s">
        <v>19</v>
      </c>
      <c r="Y11" s="2431" t="s">
        <v>17</v>
      </c>
      <c r="Z11" s="2431" t="s">
        <v>15</v>
      </c>
      <c r="AD11" s="2449" t="s">
        <v>482</v>
      </c>
      <c r="AE11" s="2450"/>
      <c r="AF11" s="2450"/>
      <c r="AG11" s="2450"/>
      <c r="AH11" s="2451" t="s">
        <v>483</v>
      </c>
      <c r="AI11" s="2451"/>
      <c r="AJ11" s="2451"/>
      <c r="AK11" s="2452"/>
    </row>
    <row r="12" spans="1:37" ht="15.75" x14ac:dyDescent="0.45">
      <c r="B12" s="369"/>
      <c r="C12" s="346" t="s">
        <v>892</v>
      </c>
      <c r="D12" s="344" t="s">
        <v>888</v>
      </c>
      <c r="E12" s="362"/>
      <c r="F12" s="362"/>
      <c r="G12" s="359"/>
      <c r="H12" s="359"/>
      <c r="I12" s="359"/>
      <c r="J12" s="360">
        <v>2533</v>
      </c>
      <c r="K12" s="360">
        <v>2528.2600000000002</v>
      </c>
      <c r="L12" s="360">
        <v>3.4</v>
      </c>
      <c r="M12" s="370">
        <v>1.33</v>
      </c>
      <c r="Q12" s="2463"/>
      <c r="R12" s="451"/>
      <c r="S12" s="2431"/>
      <c r="T12" s="2431"/>
      <c r="U12" s="2431"/>
      <c r="V12" s="2431"/>
      <c r="W12" s="2431"/>
      <c r="X12" s="2431"/>
      <c r="Y12" s="2431"/>
      <c r="Z12" s="2431"/>
      <c r="AD12" s="2453" t="s">
        <v>484</v>
      </c>
      <c r="AE12" s="2454"/>
      <c r="AF12" s="2454" t="s">
        <v>485</v>
      </c>
      <c r="AG12" s="2454"/>
      <c r="AH12" s="34" t="s">
        <v>358</v>
      </c>
      <c r="AI12" s="34" t="s">
        <v>308</v>
      </c>
      <c r="AJ12" s="34" t="s">
        <v>259</v>
      </c>
      <c r="AK12" s="440" t="s">
        <v>215</v>
      </c>
    </row>
    <row r="13" spans="1:37" ht="15.75" x14ac:dyDescent="0.45">
      <c r="B13" s="369"/>
      <c r="C13" s="347"/>
      <c r="D13" s="344" t="s">
        <v>748</v>
      </c>
      <c r="E13" s="362"/>
      <c r="F13" s="362"/>
      <c r="G13" s="359"/>
      <c r="H13" s="359"/>
      <c r="I13" s="359"/>
      <c r="J13" s="342">
        <v>0.44327</v>
      </c>
      <c r="K13" s="342">
        <v>0.44245000000000001</v>
      </c>
      <c r="L13" s="342">
        <v>5.9000000000000003E-4</v>
      </c>
      <c r="M13" s="371">
        <v>2.3000000000000001E-4</v>
      </c>
      <c r="Q13" s="452" t="s">
        <v>474</v>
      </c>
      <c r="R13" s="453"/>
      <c r="S13" s="453"/>
      <c r="T13" s="453"/>
      <c r="U13" s="453"/>
      <c r="V13" s="453"/>
      <c r="W13" s="453"/>
      <c r="X13" s="453"/>
      <c r="Y13" s="453"/>
      <c r="Z13" s="453"/>
      <c r="AD13" s="441"/>
      <c r="AE13" s="35"/>
      <c r="AF13" s="35"/>
      <c r="AG13" s="35"/>
      <c r="AH13" s="35"/>
      <c r="AI13" s="35"/>
      <c r="AJ13" s="35"/>
      <c r="AK13" s="442"/>
    </row>
    <row r="14" spans="1:37" ht="15.75" x14ac:dyDescent="0.45">
      <c r="B14" s="369"/>
      <c r="C14" s="347"/>
      <c r="D14" s="344" t="s">
        <v>889</v>
      </c>
      <c r="E14" s="362"/>
      <c r="F14" s="362"/>
      <c r="G14" s="359"/>
      <c r="H14" s="359"/>
      <c r="I14" s="359"/>
      <c r="J14" s="342">
        <v>0.20374</v>
      </c>
      <c r="K14" s="342">
        <v>0.20336000000000001</v>
      </c>
      <c r="L14" s="342">
        <v>2.7E-4</v>
      </c>
      <c r="M14" s="371">
        <v>1.1E-4</v>
      </c>
      <c r="Q14" s="445" t="s">
        <v>475</v>
      </c>
      <c r="R14" s="454"/>
      <c r="S14" s="455" t="s">
        <v>357</v>
      </c>
      <c r="T14" s="456">
        <f t="shared" ref="T14:T20" si="0">U14*1000</f>
        <v>1</v>
      </c>
      <c r="U14" s="456">
        <f>U15/1000</f>
        <v>1E-3</v>
      </c>
      <c r="V14" s="456">
        <f>V15/1000</f>
        <v>9.9999999999999995E-7</v>
      </c>
      <c r="W14" s="456">
        <f>1/T17</f>
        <v>1.0000000000000001E-9</v>
      </c>
      <c r="X14" s="456">
        <f>X15/1000</f>
        <v>9.8400000000000002E-7</v>
      </c>
      <c r="Y14" s="456">
        <f>Y15/1000</f>
        <v>1.102E-6</v>
      </c>
      <c r="Z14" s="456">
        <f>Z15/1000</f>
        <v>2.2046000000000001E-3</v>
      </c>
      <c r="AD14" s="2432" t="s">
        <v>354</v>
      </c>
      <c r="AE14" s="2433"/>
      <c r="AF14" s="2455" t="s">
        <v>486</v>
      </c>
      <c r="AG14" s="2455"/>
      <c r="AH14" s="443">
        <v>1</v>
      </c>
      <c r="AI14" s="443">
        <v>1</v>
      </c>
      <c r="AJ14" s="443">
        <v>1</v>
      </c>
      <c r="AK14" s="444">
        <v>1</v>
      </c>
    </row>
    <row r="15" spans="1:37" ht="15.75" x14ac:dyDescent="0.45">
      <c r="B15" s="369"/>
      <c r="C15" s="348"/>
      <c r="D15" s="344" t="s">
        <v>890</v>
      </c>
      <c r="E15" s="362"/>
      <c r="F15" s="362"/>
      <c r="G15" s="359"/>
      <c r="H15" s="359"/>
      <c r="I15" s="359"/>
      <c r="J15" s="342">
        <v>0.18387000000000001</v>
      </c>
      <c r="K15" s="342">
        <v>0.18351999999999999</v>
      </c>
      <c r="L15" s="342">
        <v>2.5000000000000001E-4</v>
      </c>
      <c r="M15" s="371">
        <v>1E-4</v>
      </c>
      <c r="Q15" s="445" t="s">
        <v>476</v>
      </c>
      <c r="R15" s="454"/>
      <c r="S15" s="455" t="s">
        <v>21</v>
      </c>
      <c r="T15" s="456">
        <f t="shared" si="0"/>
        <v>1000</v>
      </c>
      <c r="U15" s="456">
        <v>1</v>
      </c>
      <c r="V15" s="456">
        <v>1E-3</v>
      </c>
      <c r="W15" s="456">
        <f>1/U17</f>
        <v>9.9999999999999995E-7</v>
      </c>
      <c r="X15" s="456">
        <v>9.8400000000000007E-4</v>
      </c>
      <c r="Y15" s="456">
        <v>1.1019999999999999E-3</v>
      </c>
      <c r="Z15" s="456">
        <v>2.2046000000000001</v>
      </c>
      <c r="AD15" s="2432" t="s">
        <v>304</v>
      </c>
      <c r="AE15" s="2433"/>
      <c r="AF15" s="2455" t="s">
        <v>487</v>
      </c>
      <c r="AG15" s="2455"/>
      <c r="AH15" s="443">
        <v>28</v>
      </c>
      <c r="AI15" s="443">
        <v>25</v>
      </c>
      <c r="AJ15" s="443">
        <v>23</v>
      </c>
      <c r="AK15" s="444">
        <v>21</v>
      </c>
    </row>
    <row r="16" spans="1:37" ht="15.75" x14ac:dyDescent="0.45">
      <c r="B16" s="369"/>
      <c r="C16" s="346" t="s">
        <v>893</v>
      </c>
      <c r="D16" s="344" t="s">
        <v>888</v>
      </c>
      <c r="E16" s="362"/>
      <c r="F16" s="362"/>
      <c r="G16" s="359"/>
      <c r="H16" s="359"/>
      <c r="I16" s="359"/>
      <c r="J16" s="360">
        <v>2542.41</v>
      </c>
      <c r="K16" s="360">
        <v>2537.6799999999998</v>
      </c>
      <c r="L16" s="360">
        <v>3.4</v>
      </c>
      <c r="M16" s="370">
        <v>1.33</v>
      </c>
      <c r="Q16" s="445" t="s">
        <v>477</v>
      </c>
      <c r="R16" s="454"/>
      <c r="S16" s="455" t="s">
        <v>214</v>
      </c>
      <c r="T16" s="456">
        <f t="shared" si="0"/>
        <v>1000000</v>
      </c>
      <c r="U16" s="456">
        <v>1000</v>
      </c>
      <c r="V16" s="456">
        <v>1</v>
      </c>
      <c r="W16" s="456">
        <f>1/V17</f>
        <v>1E-3</v>
      </c>
      <c r="X16" s="456">
        <v>0.98399999999999999</v>
      </c>
      <c r="Y16" s="456">
        <v>1.1023000000000001</v>
      </c>
      <c r="Z16" s="456">
        <v>2204.6</v>
      </c>
      <c r="AD16" s="2432" t="s">
        <v>256</v>
      </c>
      <c r="AE16" s="2433"/>
      <c r="AF16" s="2455" t="s">
        <v>488</v>
      </c>
      <c r="AG16" s="2455"/>
      <c r="AH16" s="443">
        <v>265</v>
      </c>
      <c r="AI16" s="443">
        <v>298</v>
      </c>
      <c r="AJ16" s="443">
        <v>296</v>
      </c>
      <c r="AK16" s="444">
        <v>310</v>
      </c>
    </row>
    <row r="17" spans="2:37" ht="15.75" x14ac:dyDescent="0.45">
      <c r="B17" s="369"/>
      <c r="C17" s="347"/>
      <c r="D17" s="344" t="s">
        <v>748</v>
      </c>
      <c r="E17" s="362"/>
      <c r="F17" s="362"/>
      <c r="G17" s="359"/>
      <c r="H17" s="359"/>
      <c r="I17" s="359"/>
      <c r="J17" s="342">
        <v>1.1504099999999999</v>
      </c>
      <c r="K17" s="342">
        <v>1.1482699999999999</v>
      </c>
      <c r="L17" s="342">
        <v>1.5399999999999999E-3</v>
      </c>
      <c r="M17" s="371">
        <v>5.9999999999999995E-4</v>
      </c>
      <c r="Q17" s="445" t="s">
        <v>478</v>
      </c>
      <c r="R17" s="454"/>
      <c r="S17" s="455" t="s">
        <v>258</v>
      </c>
      <c r="T17" s="456">
        <v>1000000000</v>
      </c>
      <c r="U17" s="456">
        <v>1000000</v>
      </c>
      <c r="V17" s="456">
        <v>1000</v>
      </c>
      <c r="W17" s="456">
        <v>1</v>
      </c>
      <c r="X17" s="456">
        <v>984</v>
      </c>
      <c r="Y17" s="456">
        <v>1102.3</v>
      </c>
      <c r="Z17" s="456">
        <v>2204600</v>
      </c>
      <c r="AD17" s="2432" t="s">
        <v>112</v>
      </c>
      <c r="AE17" s="2433"/>
      <c r="AF17" s="2455" t="s">
        <v>489</v>
      </c>
      <c r="AG17" s="2455"/>
      <c r="AH17" s="443">
        <v>23500</v>
      </c>
      <c r="AI17" s="443">
        <v>22800</v>
      </c>
      <c r="AJ17" s="443">
        <v>22200</v>
      </c>
      <c r="AK17" s="444">
        <v>23900</v>
      </c>
    </row>
    <row r="18" spans="2:37" ht="15.75" x14ac:dyDescent="0.45">
      <c r="B18" s="369"/>
      <c r="C18" s="347"/>
      <c r="D18" s="344" t="s">
        <v>889</v>
      </c>
      <c r="E18" s="362"/>
      <c r="F18" s="362"/>
      <c r="G18" s="359"/>
      <c r="H18" s="359"/>
      <c r="I18" s="359"/>
      <c r="J18" s="342">
        <v>0.20449000000000001</v>
      </c>
      <c r="K18" s="361">
        <v>0.20411000000000001</v>
      </c>
      <c r="L18" s="342">
        <v>2.7E-4</v>
      </c>
      <c r="M18" s="371">
        <v>1.1E-4</v>
      </c>
      <c r="Q18" s="445" t="s">
        <v>479</v>
      </c>
      <c r="R18" s="454"/>
      <c r="S18" s="455" t="s">
        <v>19</v>
      </c>
      <c r="T18" s="456">
        <f t="shared" si="0"/>
        <v>1016000</v>
      </c>
      <c r="U18" s="456">
        <v>1016</v>
      </c>
      <c r="V18" s="456">
        <v>1.016</v>
      </c>
      <c r="W18" s="456">
        <f>1/X17</f>
        <v>1.0162601626016261E-3</v>
      </c>
      <c r="X18" s="456">
        <v>1</v>
      </c>
      <c r="Y18" s="456">
        <v>1.1200000000000001</v>
      </c>
      <c r="Z18" s="456">
        <v>2240</v>
      </c>
      <c r="AD18" s="2432" t="s">
        <v>490</v>
      </c>
      <c r="AE18" s="2433"/>
      <c r="AF18" s="445" t="s">
        <v>491</v>
      </c>
      <c r="AG18" s="445"/>
      <c r="AH18" s="443">
        <v>6630</v>
      </c>
      <c r="AI18" s="443">
        <v>7390</v>
      </c>
      <c r="AJ18" s="443">
        <v>5700</v>
      </c>
      <c r="AK18" s="444">
        <v>6500</v>
      </c>
    </row>
    <row r="19" spans="2:37" ht="15.75" x14ac:dyDescent="0.45">
      <c r="B19" s="369"/>
      <c r="C19" s="348"/>
      <c r="D19" s="344" t="s">
        <v>890</v>
      </c>
      <c r="E19" s="362"/>
      <c r="F19" s="362"/>
      <c r="G19" s="359"/>
      <c r="H19" s="359"/>
      <c r="I19" s="359"/>
      <c r="J19" s="342">
        <v>0.18454999999999999</v>
      </c>
      <c r="K19" s="342">
        <v>0.18421000000000001</v>
      </c>
      <c r="L19" s="342">
        <v>2.5000000000000001E-4</v>
      </c>
      <c r="M19" s="371">
        <v>1E-4</v>
      </c>
      <c r="Q19" s="445" t="s">
        <v>480</v>
      </c>
      <c r="R19" s="454"/>
      <c r="S19" s="455" t="s">
        <v>17</v>
      </c>
      <c r="T19" s="456">
        <f t="shared" si="0"/>
        <v>907200</v>
      </c>
      <c r="U19" s="456">
        <v>907.2</v>
      </c>
      <c r="V19" s="456">
        <v>0.90720000000000001</v>
      </c>
      <c r="W19" s="456">
        <f>1/Y17</f>
        <v>9.0719404880703985E-4</v>
      </c>
      <c r="X19" s="456">
        <v>0.89300000000000002</v>
      </c>
      <c r="Y19" s="456">
        <v>1</v>
      </c>
      <c r="Z19" s="456">
        <v>2000</v>
      </c>
      <c r="AD19" s="2432" t="s">
        <v>492</v>
      </c>
      <c r="AE19" s="2433"/>
      <c r="AF19" s="445" t="s">
        <v>493</v>
      </c>
      <c r="AG19" s="445"/>
      <c r="AH19" s="443">
        <v>11100</v>
      </c>
      <c r="AI19" s="443">
        <v>12200</v>
      </c>
      <c r="AJ19" s="443">
        <v>11900</v>
      </c>
      <c r="AK19" s="444">
        <v>9200</v>
      </c>
    </row>
    <row r="20" spans="2:37" ht="15.75" x14ac:dyDescent="0.45">
      <c r="B20" s="369"/>
      <c r="C20" s="346" t="s">
        <v>607</v>
      </c>
      <c r="D20" s="344" t="s">
        <v>888</v>
      </c>
      <c r="E20" s="362"/>
      <c r="F20" s="362"/>
      <c r="G20" s="359"/>
      <c r="H20" s="359"/>
      <c r="I20" s="359"/>
      <c r="J20" s="360">
        <v>2938.81</v>
      </c>
      <c r="K20" s="360">
        <v>2934.82</v>
      </c>
      <c r="L20" s="360">
        <v>2.14</v>
      </c>
      <c r="M20" s="370">
        <v>1.86</v>
      </c>
      <c r="Q20" s="445" t="s">
        <v>481</v>
      </c>
      <c r="R20" s="454"/>
      <c r="S20" s="455" t="s">
        <v>15</v>
      </c>
      <c r="T20" s="456">
        <f t="shared" si="0"/>
        <v>453.59702440351992</v>
      </c>
      <c r="U20" s="456">
        <f>1/Z15</f>
        <v>0.4535970244035199</v>
      </c>
      <c r="V20" s="456">
        <f>1/Z16</f>
        <v>4.5359702440351992E-4</v>
      </c>
      <c r="W20" s="456">
        <f>1/Z17</f>
        <v>4.5359702440351992E-7</v>
      </c>
      <c r="X20" s="456">
        <f>1/Z18</f>
        <v>4.4642857142857141E-4</v>
      </c>
      <c r="Y20" s="456">
        <f>1/Z19</f>
        <v>5.0000000000000001E-4</v>
      </c>
      <c r="Z20" s="456">
        <v>1</v>
      </c>
      <c r="AD20" s="2432" t="s">
        <v>494</v>
      </c>
      <c r="AE20" s="2433"/>
      <c r="AF20" s="445" t="s">
        <v>495</v>
      </c>
      <c r="AG20" s="445"/>
      <c r="AH20" s="443">
        <v>12400</v>
      </c>
      <c r="AI20" s="443">
        <v>14800</v>
      </c>
      <c r="AJ20" s="443">
        <v>12000</v>
      </c>
      <c r="AK20" s="444">
        <v>11700</v>
      </c>
    </row>
    <row r="21" spans="2:37" ht="15.75" x14ac:dyDescent="0.45">
      <c r="B21" s="369"/>
      <c r="C21" s="347"/>
      <c r="D21" s="344" t="s">
        <v>748</v>
      </c>
      <c r="E21" s="362"/>
      <c r="F21" s="362"/>
      <c r="G21" s="359"/>
      <c r="H21" s="359"/>
      <c r="I21" s="359"/>
      <c r="J21" s="342">
        <v>1.5553699999999999</v>
      </c>
      <c r="K21" s="342">
        <v>1.55325</v>
      </c>
      <c r="L21" s="342">
        <v>1.1299999999999999E-3</v>
      </c>
      <c r="M21" s="371">
        <v>9.8999999999999999E-4</v>
      </c>
      <c r="Q21" s="1736"/>
      <c r="R21" s="1736"/>
      <c r="S21" s="1736"/>
      <c r="T21" s="1736"/>
      <c r="U21" s="1736"/>
      <c r="V21" s="1736"/>
      <c r="W21" s="1736"/>
      <c r="X21" s="1736"/>
      <c r="Y21" s="1736"/>
      <c r="Z21" s="1736"/>
      <c r="AD21" s="2432" t="s">
        <v>496</v>
      </c>
      <c r="AE21" s="2433"/>
      <c r="AF21" s="445" t="s">
        <v>497</v>
      </c>
      <c r="AG21" s="445"/>
      <c r="AH21" s="443">
        <v>677</v>
      </c>
      <c r="AI21" s="443">
        <v>675</v>
      </c>
      <c r="AJ21" s="443">
        <v>550</v>
      </c>
      <c r="AK21" s="444">
        <v>650</v>
      </c>
    </row>
    <row r="22" spans="2:37" ht="15.75" x14ac:dyDescent="0.45">
      <c r="B22" s="369" t="s">
        <v>896</v>
      </c>
      <c r="C22" s="347"/>
      <c r="D22" s="344" t="s">
        <v>889</v>
      </c>
      <c r="E22" s="362"/>
      <c r="F22" s="362"/>
      <c r="G22" s="359"/>
      <c r="H22" s="359"/>
      <c r="I22" s="359"/>
      <c r="J22" s="342">
        <v>0.2303</v>
      </c>
      <c r="K22" s="342">
        <v>0.22999</v>
      </c>
      <c r="L22" s="342">
        <v>1.7000000000000001E-4</v>
      </c>
      <c r="M22" s="371">
        <v>1.4999999999999999E-4</v>
      </c>
      <c r="Q22" s="1736"/>
      <c r="R22" s="1736"/>
      <c r="S22" s="1736"/>
      <c r="T22" s="1736"/>
      <c r="U22" s="1736"/>
      <c r="V22" s="1736"/>
      <c r="W22" s="1736"/>
      <c r="X22" s="1736"/>
      <c r="Y22" s="1736"/>
      <c r="Z22" s="1736"/>
      <c r="AD22" s="2432" t="s">
        <v>498</v>
      </c>
      <c r="AE22" s="2433"/>
      <c r="AF22" s="445" t="s">
        <v>499</v>
      </c>
      <c r="AG22" s="445"/>
      <c r="AH22" s="443">
        <v>116</v>
      </c>
      <c r="AI22" s="443">
        <v>92</v>
      </c>
      <c r="AJ22" s="443">
        <v>97</v>
      </c>
      <c r="AK22" s="444">
        <v>150</v>
      </c>
    </row>
    <row r="23" spans="2:37" ht="26.25" x14ac:dyDescent="0.45">
      <c r="B23" s="369"/>
      <c r="C23" s="348"/>
      <c r="D23" s="344" t="s">
        <v>890</v>
      </c>
      <c r="E23" s="362"/>
      <c r="F23" s="362"/>
      <c r="G23" s="359"/>
      <c r="H23" s="359"/>
      <c r="I23" s="359"/>
      <c r="J23" s="342">
        <v>0.21448</v>
      </c>
      <c r="K23" s="342">
        <v>0.21418999999999999</v>
      </c>
      <c r="L23" s="342">
        <v>1.6000000000000001E-4</v>
      </c>
      <c r="M23" s="371">
        <v>1.3999999999999999E-4</v>
      </c>
      <c r="Q23" s="438" t="s">
        <v>752</v>
      </c>
      <c r="R23" s="439" t="s">
        <v>115</v>
      </c>
      <c r="S23" s="2460" t="s">
        <v>589</v>
      </c>
      <c r="T23" s="2461"/>
      <c r="U23" s="2461"/>
      <c r="V23" s="2461"/>
      <c r="W23" s="2462"/>
      <c r="X23" s="1"/>
      <c r="Y23" s="1"/>
      <c r="Z23" s="1"/>
      <c r="AD23" s="2432" t="s">
        <v>500</v>
      </c>
      <c r="AE23" s="2433"/>
      <c r="AF23" s="445" t="s">
        <v>501</v>
      </c>
      <c r="AG23" s="445"/>
      <c r="AH23" s="443">
        <v>3170</v>
      </c>
      <c r="AI23" s="443">
        <v>3500</v>
      </c>
      <c r="AJ23" s="443">
        <v>3400</v>
      </c>
      <c r="AK23" s="444">
        <v>2800</v>
      </c>
    </row>
    <row r="24" spans="2:37" x14ac:dyDescent="0.45">
      <c r="B24" s="369"/>
      <c r="C24" s="346" t="s">
        <v>36</v>
      </c>
      <c r="D24" s="344" t="s">
        <v>888</v>
      </c>
      <c r="E24" s="46"/>
      <c r="F24" s="46"/>
      <c r="G24" s="359"/>
      <c r="H24" s="359"/>
      <c r="I24" s="359"/>
      <c r="J24" s="360">
        <v>2533</v>
      </c>
      <c r="K24" s="360">
        <v>2528.2600000000002</v>
      </c>
      <c r="L24" s="360">
        <v>3.4</v>
      </c>
      <c r="M24" s="370">
        <v>1.33</v>
      </c>
      <c r="Q24" s="264" t="s">
        <v>774</v>
      </c>
      <c r="R24" s="265">
        <v>11630</v>
      </c>
      <c r="S24" s="2456" t="s">
        <v>775</v>
      </c>
      <c r="T24" s="2456"/>
      <c r="U24" s="2456"/>
      <c r="V24" s="2456"/>
      <c r="W24" s="2457"/>
      <c r="X24" s="1736"/>
      <c r="Y24" s="1736"/>
      <c r="Z24" s="1736"/>
      <c r="AD24" s="2432" t="s">
        <v>502</v>
      </c>
      <c r="AE24" s="2433"/>
      <c r="AF24" s="445" t="s">
        <v>503</v>
      </c>
      <c r="AG24" s="445"/>
      <c r="AH24" s="443">
        <v>1120</v>
      </c>
      <c r="AI24" s="443">
        <v>1100</v>
      </c>
      <c r="AJ24" s="443">
        <v>1100</v>
      </c>
      <c r="AK24" s="444">
        <v>1000</v>
      </c>
    </row>
    <row r="25" spans="2:37" ht="15" customHeight="1" x14ac:dyDescent="0.45">
      <c r="B25" s="369"/>
      <c r="C25" s="347"/>
      <c r="D25" s="344" t="s">
        <v>891</v>
      </c>
      <c r="E25" s="2442"/>
      <c r="F25" s="2444"/>
      <c r="G25" s="358"/>
      <c r="H25" s="353"/>
      <c r="I25" s="353"/>
      <c r="J25" s="342">
        <v>2.0226600000000001</v>
      </c>
      <c r="K25" s="342">
        <v>2.0188799999999998</v>
      </c>
      <c r="L25" s="342">
        <v>2.7100000000000002E-3</v>
      </c>
      <c r="M25" s="371">
        <v>1.07E-3</v>
      </c>
      <c r="N25" s="1207"/>
      <c r="O25" s="1207"/>
      <c r="P25" s="1207"/>
      <c r="Q25" s="197" t="s">
        <v>776</v>
      </c>
      <c r="R25" s="230">
        <f>R24*1000</f>
        <v>11630000</v>
      </c>
      <c r="S25" s="2458" t="s">
        <v>777</v>
      </c>
      <c r="T25" s="2458"/>
      <c r="U25" s="2458"/>
      <c r="V25" s="2458"/>
      <c r="W25" s="2459"/>
      <c r="X25" s="1736"/>
      <c r="Y25" s="1736"/>
      <c r="Z25" s="1736"/>
      <c r="AD25" s="2432" t="s">
        <v>504</v>
      </c>
      <c r="AE25" s="2433"/>
      <c r="AF25" s="445" t="s">
        <v>505</v>
      </c>
      <c r="AG25" s="445"/>
      <c r="AH25" s="443">
        <v>1300</v>
      </c>
      <c r="AI25" s="443">
        <v>1430</v>
      </c>
      <c r="AJ25" s="443">
        <v>1300</v>
      </c>
      <c r="AK25" s="444">
        <v>1300</v>
      </c>
    </row>
    <row r="26" spans="2:37" x14ac:dyDescent="0.45">
      <c r="B26" s="369"/>
      <c r="C26" s="347"/>
      <c r="D26" s="344" t="s">
        <v>889</v>
      </c>
      <c r="E26" s="2443"/>
      <c r="F26" s="2445"/>
      <c r="G26" s="353"/>
      <c r="H26" s="353"/>
      <c r="I26" s="353"/>
      <c r="J26" s="342">
        <v>0.20374</v>
      </c>
      <c r="K26" s="342">
        <v>0.20336000000000001</v>
      </c>
      <c r="L26" s="342">
        <v>2.7E-4</v>
      </c>
      <c r="M26" s="371">
        <v>1.1E-4</v>
      </c>
      <c r="N26" s="1207"/>
      <c r="O26" s="1207"/>
      <c r="P26" s="1207"/>
      <c r="Q26" s="1207"/>
      <c r="AD26" s="2432" t="s">
        <v>506</v>
      </c>
      <c r="AE26" s="2433"/>
      <c r="AF26" s="445" t="s">
        <v>507</v>
      </c>
      <c r="AG26" s="445"/>
      <c r="AH26" s="443">
        <v>328</v>
      </c>
      <c r="AI26" s="443">
        <v>353</v>
      </c>
      <c r="AJ26" s="443">
        <v>330</v>
      </c>
      <c r="AK26" s="444">
        <v>300</v>
      </c>
    </row>
    <row r="27" spans="2:37" x14ac:dyDescent="0.45">
      <c r="B27" s="369"/>
      <c r="C27" s="348"/>
      <c r="D27" s="344" t="s">
        <v>890</v>
      </c>
      <c r="E27" s="459"/>
      <c r="F27" s="355"/>
      <c r="G27" s="356"/>
      <c r="H27" s="356"/>
      <c r="I27" s="356"/>
      <c r="J27" s="342">
        <v>0.18387000000000001</v>
      </c>
      <c r="K27" s="342">
        <v>0.18351999999999999</v>
      </c>
      <c r="L27" s="342">
        <v>2.5000000000000001E-4</v>
      </c>
      <c r="M27" s="371">
        <v>1E-4</v>
      </c>
      <c r="N27" s="1207"/>
      <c r="O27" s="1207"/>
      <c r="P27" s="1207"/>
      <c r="Q27" s="1207"/>
      <c r="AD27" s="2432" t="s">
        <v>508</v>
      </c>
      <c r="AE27" s="2433"/>
      <c r="AF27" s="445" t="s">
        <v>509</v>
      </c>
      <c r="AG27" s="445"/>
      <c r="AH27" s="443">
        <v>4800</v>
      </c>
      <c r="AI27" s="443">
        <v>4470</v>
      </c>
      <c r="AJ27" s="443">
        <v>4300</v>
      </c>
      <c r="AK27" s="444">
        <v>3800</v>
      </c>
    </row>
    <row r="28" spans="2:37" x14ac:dyDescent="0.45">
      <c r="B28" s="369"/>
      <c r="C28" s="346" t="s">
        <v>894</v>
      </c>
      <c r="D28" s="344" t="s">
        <v>888</v>
      </c>
      <c r="E28" s="459"/>
      <c r="F28" s="355"/>
      <c r="G28" s="352"/>
      <c r="H28" s="352"/>
      <c r="I28" s="352"/>
      <c r="J28" s="360">
        <v>2542.41</v>
      </c>
      <c r="K28" s="360">
        <v>2537.6799999999998</v>
      </c>
      <c r="L28" s="360">
        <v>3.4</v>
      </c>
      <c r="M28" s="370">
        <v>1.33</v>
      </c>
      <c r="N28" s="1207"/>
      <c r="O28" s="1207"/>
      <c r="P28" s="1207"/>
      <c r="Q28" s="1207"/>
      <c r="AD28" s="2432" t="s">
        <v>510</v>
      </c>
      <c r="AE28" s="2433"/>
      <c r="AF28" s="445" t="s">
        <v>511</v>
      </c>
      <c r="AG28" s="445"/>
      <c r="AH28" s="443">
        <v>138</v>
      </c>
      <c r="AI28" s="443">
        <v>124</v>
      </c>
      <c r="AJ28" s="443">
        <v>120</v>
      </c>
      <c r="AK28" s="444">
        <v>140</v>
      </c>
    </row>
    <row r="29" spans="2:37" x14ac:dyDescent="0.45">
      <c r="B29" s="369"/>
      <c r="C29" s="347"/>
      <c r="D29" s="344" t="s">
        <v>891</v>
      </c>
      <c r="E29" s="459"/>
      <c r="F29" s="355"/>
      <c r="G29" s="357"/>
      <c r="H29" s="357"/>
      <c r="I29" s="357"/>
      <c r="J29" s="342">
        <v>2.03017</v>
      </c>
      <c r="K29" s="342">
        <v>2.0264000000000002</v>
      </c>
      <c r="L29" s="342">
        <v>2.7100000000000002E-3</v>
      </c>
      <c r="M29" s="371">
        <v>1.07E-3</v>
      </c>
      <c r="N29" s="1207"/>
      <c r="O29" s="1207"/>
      <c r="P29" s="1207"/>
      <c r="Q29" s="1736"/>
      <c r="AD29" s="2432" t="s">
        <v>512</v>
      </c>
      <c r="AE29" s="2433"/>
      <c r="AF29" s="445" t="s">
        <v>513</v>
      </c>
      <c r="AG29" s="445"/>
      <c r="AH29" s="443">
        <v>3350</v>
      </c>
      <c r="AI29" s="443">
        <v>3220</v>
      </c>
      <c r="AJ29" s="443">
        <v>3500</v>
      </c>
      <c r="AK29" s="444">
        <v>2900</v>
      </c>
    </row>
    <row r="30" spans="2:37" ht="14.65" thickBot="1" x14ac:dyDescent="0.5">
      <c r="B30" s="369"/>
      <c r="C30" s="347"/>
      <c r="D30" s="344" t="s">
        <v>889</v>
      </c>
      <c r="E30" s="459"/>
      <c r="F30" s="355"/>
      <c r="G30" s="351"/>
      <c r="H30" s="351"/>
      <c r="I30" s="351"/>
      <c r="J30" s="342">
        <v>0.20449000000000001</v>
      </c>
      <c r="K30" s="342">
        <v>0.20411000000000001</v>
      </c>
      <c r="L30" s="342">
        <v>2.7E-4</v>
      </c>
      <c r="M30" s="371">
        <v>1.1E-4</v>
      </c>
      <c r="N30" s="1207"/>
      <c r="O30" s="1207"/>
      <c r="P30" s="1207"/>
      <c r="Q30" s="1736"/>
      <c r="AD30" s="2432" t="s">
        <v>514</v>
      </c>
      <c r="AE30" s="2433"/>
      <c r="AF30" s="445" t="s">
        <v>515</v>
      </c>
      <c r="AG30" s="445"/>
      <c r="AH30" s="443">
        <v>8060</v>
      </c>
      <c r="AI30" s="443">
        <v>9810</v>
      </c>
      <c r="AJ30" s="443">
        <v>9400</v>
      </c>
      <c r="AK30" s="444">
        <v>6300</v>
      </c>
    </row>
    <row r="31" spans="2:37" ht="15" thickTop="1" thickBot="1" x14ac:dyDescent="0.5">
      <c r="B31" s="369"/>
      <c r="C31" s="348"/>
      <c r="D31" s="344" t="s">
        <v>890</v>
      </c>
      <c r="E31" s="459"/>
      <c r="F31" s="355"/>
      <c r="G31" s="351"/>
      <c r="H31" s="351"/>
      <c r="I31" s="351"/>
      <c r="J31" s="342">
        <v>0.18454999999999999</v>
      </c>
      <c r="K31" s="342">
        <v>0.18421000000000001</v>
      </c>
      <c r="L31" s="342">
        <v>2.5000000000000001E-4</v>
      </c>
      <c r="M31" s="371">
        <v>1E-4</v>
      </c>
      <c r="N31" s="1207"/>
      <c r="O31" s="1207"/>
      <c r="P31" s="1207"/>
      <c r="Q31" s="1736"/>
      <c r="T31" s="272" t="s">
        <v>813</v>
      </c>
      <c r="U31" s="272" t="s">
        <v>814</v>
      </c>
      <c r="V31" s="272" t="s">
        <v>815</v>
      </c>
      <c r="AD31" s="2432" t="s">
        <v>516</v>
      </c>
      <c r="AE31" s="2433"/>
      <c r="AF31" s="445" t="s">
        <v>517</v>
      </c>
      <c r="AG31" s="445"/>
      <c r="AH31" s="443">
        <v>716</v>
      </c>
      <c r="AI31" s="443">
        <v>1030</v>
      </c>
      <c r="AJ31" s="443">
        <v>950</v>
      </c>
      <c r="AK31" s="444">
        <v>560</v>
      </c>
    </row>
    <row r="32" spans="2:37" ht="16.5" thickTop="1" thickBot="1" x14ac:dyDescent="0.5">
      <c r="B32" s="369"/>
      <c r="C32" s="346" t="s">
        <v>895</v>
      </c>
      <c r="D32" s="344" t="s">
        <v>888</v>
      </c>
      <c r="E32" s="459"/>
      <c r="F32" s="355"/>
      <c r="G32" s="356"/>
      <c r="H32" s="356"/>
      <c r="I32" s="356"/>
      <c r="J32" s="360">
        <v>2601.11</v>
      </c>
      <c r="K32" s="360">
        <v>2598.56</v>
      </c>
      <c r="L32" s="360">
        <v>1.17</v>
      </c>
      <c r="M32" s="370">
        <v>1.39</v>
      </c>
      <c r="N32" s="1207"/>
      <c r="O32" s="1207"/>
      <c r="P32" s="1207"/>
      <c r="Q32" s="1736"/>
      <c r="R32" s="2446" t="s">
        <v>816</v>
      </c>
      <c r="S32" s="273" t="s">
        <v>817</v>
      </c>
      <c r="T32" s="274" t="s">
        <v>818</v>
      </c>
      <c r="U32" s="275">
        <v>1000</v>
      </c>
      <c r="V32" s="274" t="s">
        <v>819</v>
      </c>
      <c r="AD32" s="2434" t="s">
        <v>79</v>
      </c>
      <c r="AE32" s="2435"/>
      <c r="AF32" s="2436" t="s">
        <v>518</v>
      </c>
      <c r="AG32" s="2436"/>
      <c r="AH32" s="446">
        <v>16100</v>
      </c>
      <c r="AI32" s="446">
        <v>17200</v>
      </c>
      <c r="AJ32" s="446"/>
      <c r="AK32" s="447"/>
    </row>
    <row r="33" spans="2:37" ht="16.5" thickTop="1" thickBot="1" x14ac:dyDescent="0.5">
      <c r="B33" s="369"/>
      <c r="C33" s="347"/>
      <c r="D33" s="344" t="s">
        <v>748</v>
      </c>
      <c r="E33" s="459"/>
      <c r="F33" s="355"/>
      <c r="G33" s="352"/>
      <c r="H33" s="352"/>
      <c r="I33" s="352"/>
      <c r="J33" s="342">
        <v>0.95279000000000003</v>
      </c>
      <c r="K33" s="342">
        <v>0.95184999999999997</v>
      </c>
      <c r="L33" s="342">
        <v>4.2999999999999999E-4</v>
      </c>
      <c r="M33" s="371">
        <v>5.1000000000000004E-4</v>
      </c>
      <c r="N33" s="1207"/>
      <c r="O33" s="1207"/>
      <c r="P33" s="1207"/>
      <c r="Q33" s="1736"/>
      <c r="R33" s="2447"/>
      <c r="S33" s="273" t="s">
        <v>820</v>
      </c>
      <c r="T33" s="276" t="s">
        <v>305</v>
      </c>
      <c r="U33" s="277">
        <v>1000000</v>
      </c>
      <c r="V33" s="276" t="s">
        <v>821</v>
      </c>
      <c r="AD33" s="448" t="s">
        <v>519</v>
      </c>
      <c r="AE33" s="449"/>
      <c r="AF33" s="449"/>
      <c r="AG33" s="449"/>
      <c r="AH33" s="449"/>
      <c r="AI33" s="449"/>
      <c r="AJ33" s="449"/>
      <c r="AK33" s="450"/>
    </row>
    <row r="34" spans="2:37" ht="16.5" thickTop="1" thickBot="1" x14ac:dyDescent="0.5">
      <c r="B34" s="369"/>
      <c r="C34" s="347"/>
      <c r="D34" s="344" t="s">
        <v>889</v>
      </c>
      <c r="E34" s="459"/>
      <c r="F34" s="355"/>
      <c r="G34" s="350"/>
      <c r="H34" s="350"/>
      <c r="I34" s="350"/>
      <c r="J34" s="342">
        <v>0.20094000000000001</v>
      </c>
      <c r="K34" s="342">
        <v>0.20074</v>
      </c>
      <c r="L34" s="342">
        <v>9.0000000000000006E-5</v>
      </c>
      <c r="M34" s="371">
        <v>1.1E-4</v>
      </c>
      <c r="N34" s="1207"/>
      <c r="O34" s="1207"/>
      <c r="P34" s="1207"/>
      <c r="Q34" s="1736"/>
      <c r="R34" s="2447"/>
      <c r="S34" s="273" t="s">
        <v>822</v>
      </c>
      <c r="T34" s="276" t="s">
        <v>823</v>
      </c>
      <c r="U34" s="277">
        <v>1000000000</v>
      </c>
      <c r="V34" s="276" t="s">
        <v>824</v>
      </c>
    </row>
    <row r="35" spans="2:37" ht="16.5" thickTop="1" thickBot="1" x14ac:dyDescent="0.5">
      <c r="B35" s="49"/>
      <c r="C35" s="372"/>
      <c r="D35" s="373" t="s">
        <v>890</v>
      </c>
      <c r="E35" s="460"/>
      <c r="F35" s="374"/>
      <c r="G35" s="375"/>
      <c r="H35" s="375"/>
      <c r="I35" s="375"/>
      <c r="J35" s="376">
        <v>0.18486</v>
      </c>
      <c r="K35" s="376">
        <v>0.18468000000000001</v>
      </c>
      <c r="L35" s="376">
        <v>8.0000000000000007E-5</v>
      </c>
      <c r="M35" s="377">
        <v>1E-4</v>
      </c>
      <c r="N35" s="1207"/>
      <c r="O35" s="1207"/>
      <c r="P35" s="1207"/>
      <c r="Q35" s="1736"/>
      <c r="R35" s="2447"/>
      <c r="S35" s="273" t="s">
        <v>825</v>
      </c>
      <c r="T35" s="276" t="s">
        <v>806</v>
      </c>
      <c r="U35" s="277">
        <v>1000000000000</v>
      </c>
      <c r="V35" s="276" t="s">
        <v>826</v>
      </c>
    </row>
    <row r="36" spans="2:37" ht="16.5" thickTop="1" thickBot="1" x14ac:dyDescent="0.5">
      <c r="B36" s="1979" t="s">
        <v>1014</v>
      </c>
      <c r="C36" s="1820"/>
      <c r="D36" s="1980"/>
      <c r="E36" s="1981"/>
      <c r="F36" s="1813"/>
      <c r="G36" s="1982"/>
      <c r="H36" s="1982"/>
      <c r="I36" s="1982"/>
      <c r="J36" s="1982"/>
      <c r="K36" s="1983"/>
      <c r="L36" s="1810"/>
      <c r="M36" s="1207"/>
      <c r="N36" s="1207"/>
      <c r="O36" s="1207"/>
      <c r="P36" s="1207"/>
      <c r="Q36" s="1736"/>
      <c r="R36" s="2448"/>
      <c r="S36" s="273" t="s">
        <v>827</v>
      </c>
      <c r="T36" s="278" t="s">
        <v>828</v>
      </c>
      <c r="U36" s="279">
        <v>1000000000000000</v>
      </c>
      <c r="V36" s="278" t="s">
        <v>829</v>
      </c>
    </row>
    <row r="37" spans="2:37" ht="14.65" thickTop="1" x14ac:dyDescent="0.45">
      <c r="C37" s="1820"/>
      <c r="D37" s="1980"/>
      <c r="E37" s="1981"/>
      <c r="F37" s="1813"/>
      <c r="G37" s="1984"/>
      <c r="H37" s="1984"/>
      <c r="I37" s="1984"/>
      <c r="J37" s="1953"/>
      <c r="K37" s="1985"/>
      <c r="L37" s="1986"/>
      <c r="M37" s="1363"/>
      <c r="N37" s="1363"/>
      <c r="O37" s="1363"/>
      <c r="P37" s="1207"/>
      <c r="Q37" s="1736"/>
      <c r="R37" s="280"/>
      <c r="S37" s="270"/>
      <c r="T37" s="270"/>
      <c r="U37" s="270"/>
      <c r="V37" s="270"/>
    </row>
    <row r="38" spans="2:37" ht="16.149999999999999" thickBot="1" x14ac:dyDescent="0.6">
      <c r="B38" s="343" t="s">
        <v>882</v>
      </c>
      <c r="C38" s="343" t="s">
        <v>883</v>
      </c>
      <c r="D38" s="343" t="s">
        <v>807</v>
      </c>
      <c r="E38" s="378" t="s">
        <v>884</v>
      </c>
      <c r="F38" s="378" t="s">
        <v>885</v>
      </c>
      <c r="G38" s="379" t="s">
        <v>886</v>
      </c>
      <c r="H38" s="379" t="s">
        <v>887</v>
      </c>
      <c r="I38" s="350"/>
      <c r="J38" s="378" t="s">
        <v>884</v>
      </c>
      <c r="K38" s="378" t="s">
        <v>885</v>
      </c>
      <c r="L38" s="379" t="s">
        <v>886</v>
      </c>
      <c r="M38" s="379" t="s">
        <v>887</v>
      </c>
      <c r="N38" s="1363"/>
      <c r="O38" s="1363"/>
      <c r="P38" s="1207"/>
      <c r="Q38" s="1736"/>
      <c r="R38" s="271"/>
      <c r="S38" s="270"/>
      <c r="T38" s="270"/>
      <c r="U38" s="270"/>
      <c r="V38" s="270"/>
    </row>
    <row r="39" spans="2:37" ht="15" thickTop="1" thickBot="1" x14ac:dyDescent="0.5">
      <c r="B39" s="380" t="s">
        <v>898</v>
      </c>
      <c r="C39" s="346" t="s">
        <v>899</v>
      </c>
      <c r="D39" s="344" t="s">
        <v>888</v>
      </c>
      <c r="E39" s="381">
        <v>3218.6</v>
      </c>
      <c r="F39" s="381">
        <v>3127.67</v>
      </c>
      <c r="G39" s="381">
        <v>61.13</v>
      </c>
      <c r="H39" s="381">
        <v>29.8</v>
      </c>
      <c r="I39" s="350"/>
      <c r="J39" s="381">
        <v>3218.6</v>
      </c>
      <c r="K39" s="381">
        <v>3127.67</v>
      </c>
      <c r="L39" s="381">
        <v>61.13</v>
      </c>
      <c r="M39" s="381">
        <v>29.8</v>
      </c>
      <c r="N39" s="1363"/>
      <c r="O39" s="1363"/>
      <c r="P39" s="1207"/>
      <c r="Q39" s="1736"/>
      <c r="R39" s="271"/>
      <c r="S39" s="281"/>
      <c r="T39" s="272" t="s">
        <v>82</v>
      </c>
      <c r="U39" s="272" t="s">
        <v>115</v>
      </c>
      <c r="V39" s="272" t="s">
        <v>830</v>
      </c>
      <c r="W39" s="272" t="s">
        <v>774</v>
      </c>
      <c r="X39" s="272" t="s">
        <v>831</v>
      </c>
    </row>
    <row r="40" spans="2:37" ht="15" thickTop="1" thickBot="1" x14ac:dyDescent="0.5">
      <c r="B40" s="382"/>
      <c r="C40" s="347"/>
      <c r="D40" s="344" t="s">
        <v>748</v>
      </c>
      <c r="E40" s="342">
        <v>2.2908200000000001</v>
      </c>
      <c r="F40" s="342">
        <v>2.2261000000000002</v>
      </c>
      <c r="G40" s="342">
        <v>4.351E-2</v>
      </c>
      <c r="H40" s="342">
        <v>2.121E-2</v>
      </c>
      <c r="I40" s="350"/>
      <c r="J40" s="342">
        <v>2.2908200000000001</v>
      </c>
      <c r="K40" s="342">
        <v>2.2261000000000002</v>
      </c>
      <c r="L40" s="342">
        <v>4.351E-2</v>
      </c>
      <c r="M40" s="342">
        <v>2.121E-2</v>
      </c>
      <c r="N40" s="1363"/>
      <c r="O40" s="1363"/>
      <c r="P40" s="1207"/>
      <c r="Q40" s="1736"/>
      <c r="R40" s="2439" t="s">
        <v>191</v>
      </c>
      <c r="S40" s="273" t="s">
        <v>832</v>
      </c>
      <c r="T40" s="282"/>
      <c r="U40" s="283">
        <v>277.77777777799997</v>
      </c>
      <c r="V40" s="284">
        <v>9.4781707770000008</v>
      </c>
      <c r="W40" s="284">
        <v>2.3884590000000001E-2</v>
      </c>
      <c r="X40" s="285">
        <v>238902.95761861501</v>
      </c>
    </row>
    <row r="41" spans="2:37" ht="15" thickTop="1" thickBot="1" x14ac:dyDescent="0.5">
      <c r="B41" s="382"/>
      <c r="C41" s="347"/>
      <c r="D41" s="344" t="s">
        <v>889</v>
      </c>
      <c r="E41" s="342">
        <v>0.25805</v>
      </c>
      <c r="F41" s="342">
        <v>0.25075999999999998</v>
      </c>
      <c r="G41" s="342">
        <v>4.8999999999999998E-3</v>
      </c>
      <c r="H41" s="342">
        <v>2.3900000000000002E-3</v>
      </c>
      <c r="I41" s="353"/>
      <c r="J41" s="342">
        <v>0.25805</v>
      </c>
      <c r="K41" s="342">
        <v>0.25075999999999998</v>
      </c>
      <c r="L41" s="342">
        <v>4.8999999999999998E-3</v>
      </c>
      <c r="M41" s="342">
        <v>2.3900000000000002E-3</v>
      </c>
      <c r="N41" s="1363"/>
      <c r="O41" s="1363"/>
      <c r="P41" s="1207"/>
      <c r="Q41" s="1736"/>
      <c r="R41" s="2440"/>
      <c r="S41" s="273" t="s">
        <v>833</v>
      </c>
      <c r="T41" s="286">
        <v>3.5999999999971203E-3</v>
      </c>
      <c r="U41" s="287"/>
      <c r="V41" s="288">
        <v>3.4121414797172706E-2</v>
      </c>
      <c r="W41" s="288">
        <v>8.5984523999931223E-5</v>
      </c>
      <c r="X41" s="289">
        <v>860.05064742632601</v>
      </c>
    </row>
    <row r="42" spans="2:37" ht="15" thickTop="1" thickBot="1" x14ac:dyDescent="0.5">
      <c r="B42" s="382"/>
      <c r="C42" s="348"/>
      <c r="D42" s="344" t="s">
        <v>890</v>
      </c>
      <c r="E42" s="342">
        <v>0.24514</v>
      </c>
      <c r="F42" s="342">
        <v>0.23821999999999999</v>
      </c>
      <c r="G42" s="342">
        <v>4.6600000000000001E-3</v>
      </c>
      <c r="H42" s="342">
        <v>2.2699999999999999E-3</v>
      </c>
      <c r="I42" s="353"/>
      <c r="J42" s="342">
        <v>0.24514</v>
      </c>
      <c r="K42" s="342">
        <v>0.23821999999999999</v>
      </c>
      <c r="L42" s="342">
        <v>4.6600000000000001E-3</v>
      </c>
      <c r="M42" s="342">
        <v>2.2699999999999999E-3</v>
      </c>
      <c r="N42" s="1363"/>
      <c r="O42" s="1363"/>
      <c r="P42" s="1207"/>
      <c r="Q42" s="1736"/>
      <c r="R42" s="2440"/>
      <c r="S42" s="273" t="s">
        <v>57</v>
      </c>
      <c r="T42" s="290">
        <v>0.10550559000547115</v>
      </c>
      <c r="U42" s="291">
        <v>29.307108334876538</v>
      </c>
      <c r="V42" s="287"/>
      <c r="W42" s="288">
        <v>2.5199577599887761E-3</v>
      </c>
      <c r="X42" s="292">
        <v>25205.597497604045</v>
      </c>
    </row>
    <row r="43" spans="2:37" ht="15" thickTop="1" thickBot="1" x14ac:dyDescent="0.5">
      <c r="B43" s="382"/>
      <c r="C43" s="346" t="s">
        <v>757</v>
      </c>
      <c r="D43" s="344" t="s">
        <v>888</v>
      </c>
      <c r="E43" s="381">
        <v>3181.41</v>
      </c>
      <c r="F43" s="381">
        <v>3149.67</v>
      </c>
      <c r="G43" s="381">
        <v>1.95</v>
      </c>
      <c r="H43" s="381">
        <v>29.8</v>
      </c>
      <c r="I43" s="267"/>
      <c r="J43" s="381">
        <v>3181.41</v>
      </c>
      <c r="K43" s="381">
        <v>3149.67</v>
      </c>
      <c r="L43" s="381">
        <v>1.95</v>
      </c>
      <c r="M43" s="381">
        <v>29.8</v>
      </c>
      <c r="N43" s="1363"/>
      <c r="O43" s="1363"/>
      <c r="P43" s="1207"/>
      <c r="Q43" s="1736"/>
      <c r="R43" s="2440"/>
      <c r="S43" s="273" t="s">
        <v>834</v>
      </c>
      <c r="T43" s="293">
        <v>41.867999408823849</v>
      </c>
      <c r="U43" s="294">
        <v>11629.999835793706</v>
      </c>
      <c r="V43" s="295">
        <v>396.83204848816752</v>
      </c>
      <c r="W43" s="287"/>
      <c r="X43" s="292">
        <v>10002388.888342442</v>
      </c>
    </row>
    <row r="44" spans="2:37" ht="15" thickTop="1" thickBot="1" x14ac:dyDescent="0.5">
      <c r="B44" s="382"/>
      <c r="C44" s="347"/>
      <c r="D44" s="344" t="s">
        <v>748</v>
      </c>
      <c r="E44" s="342">
        <v>2.5430999999999999</v>
      </c>
      <c r="F44" s="342">
        <v>2.5177200000000002</v>
      </c>
      <c r="G44" s="342">
        <v>1.56E-3</v>
      </c>
      <c r="H44" s="342">
        <v>2.3820000000000001E-2</v>
      </c>
      <c r="I44" s="267"/>
      <c r="J44" s="342">
        <v>2.5430999999999999</v>
      </c>
      <c r="K44" s="342">
        <v>2.5177200000000002</v>
      </c>
      <c r="L44" s="342">
        <v>1.56E-3</v>
      </c>
      <c r="M44" s="342">
        <v>2.3820000000000001E-2</v>
      </c>
      <c r="N44" s="1363"/>
      <c r="O44" s="1363"/>
      <c r="P44" s="1207"/>
      <c r="Q44" s="1736"/>
      <c r="R44" s="2441"/>
      <c r="S44" s="273" t="s">
        <v>835</v>
      </c>
      <c r="T44" s="296">
        <v>4.1858000000000057E-6</v>
      </c>
      <c r="U44" s="297">
        <v>1.1627222222231539E-3</v>
      </c>
      <c r="V44" s="298">
        <v>3.9673727238366659E-5</v>
      </c>
      <c r="W44" s="298">
        <v>9.9976116822000138E-8</v>
      </c>
      <c r="X44" s="299"/>
    </row>
    <row r="45" spans="2:37" ht="14.65" thickTop="1" x14ac:dyDescent="0.45">
      <c r="B45" s="382"/>
      <c r="C45" s="347"/>
      <c r="D45" s="344" t="s">
        <v>889</v>
      </c>
      <c r="E45" s="342">
        <v>0.26085999999999998</v>
      </c>
      <c r="F45" s="342">
        <v>0.25825999999999999</v>
      </c>
      <c r="G45" s="342">
        <v>1.6000000000000001E-4</v>
      </c>
      <c r="H45" s="342">
        <v>2.4399999999999999E-3</v>
      </c>
      <c r="I45" s="267"/>
      <c r="J45" s="342">
        <v>0.26085999999999998</v>
      </c>
      <c r="K45" s="342">
        <v>0.25825999999999999</v>
      </c>
      <c r="L45" s="342">
        <v>1.6000000000000001E-4</v>
      </c>
      <c r="M45" s="342">
        <v>2.4399999999999999E-3</v>
      </c>
      <c r="N45" s="1363"/>
      <c r="O45" s="1363"/>
      <c r="P45" s="1207"/>
      <c r="Q45" s="1736"/>
      <c r="R45" s="270"/>
      <c r="S45" s="270"/>
      <c r="T45" s="270"/>
      <c r="U45" s="270"/>
      <c r="V45" s="270"/>
      <c r="W45" s="270"/>
      <c r="X45" s="270"/>
    </row>
    <row r="46" spans="2:37" ht="14.65" thickBot="1" x14ac:dyDescent="0.5">
      <c r="B46" s="382"/>
      <c r="C46" s="348"/>
      <c r="D46" s="344" t="s">
        <v>890</v>
      </c>
      <c r="E46" s="342">
        <v>0.24782000000000001</v>
      </c>
      <c r="F46" s="342">
        <v>0.24535000000000001</v>
      </c>
      <c r="G46" s="342">
        <v>1.4999999999999999E-4</v>
      </c>
      <c r="H46" s="342">
        <v>2.32E-3</v>
      </c>
      <c r="I46" s="256"/>
      <c r="J46" s="342">
        <v>0.24782000000000001</v>
      </c>
      <c r="K46" s="342">
        <v>0.24535000000000001</v>
      </c>
      <c r="L46" s="342">
        <v>1.4999999999999999E-4</v>
      </c>
      <c r="M46" s="342">
        <v>2.32E-3</v>
      </c>
      <c r="N46" s="1363"/>
      <c r="O46" s="1363"/>
      <c r="P46" s="1207"/>
      <c r="Q46" s="1736"/>
      <c r="R46" s="270"/>
      <c r="S46" s="271"/>
      <c r="T46" s="270"/>
      <c r="U46" s="270"/>
      <c r="V46" s="270"/>
      <c r="W46" s="270"/>
      <c r="X46" s="270"/>
    </row>
    <row r="47" spans="2:37" ht="16.5" thickTop="1" thickBot="1" x14ac:dyDescent="0.5">
      <c r="B47" s="382"/>
      <c r="C47" s="383" t="s">
        <v>900</v>
      </c>
      <c r="D47" s="344" t="s">
        <v>888</v>
      </c>
      <c r="E47" s="381">
        <v>3165.32</v>
      </c>
      <c r="F47" s="381">
        <v>3149.67</v>
      </c>
      <c r="G47" s="381">
        <v>7.81</v>
      </c>
      <c r="H47" s="381">
        <v>7.85</v>
      </c>
      <c r="I47" s="354"/>
      <c r="J47" s="381">
        <v>3165.32</v>
      </c>
      <c r="K47" s="381">
        <v>3149.67</v>
      </c>
      <c r="L47" s="381">
        <v>7.81</v>
      </c>
      <c r="M47" s="381">
        <v>7.85</v>
      </c>
      <c r="N47" s="1363"/>
      <c r="O47" s="1363"/>
      <c r="P47" s="1207"/>
      <c r="Q47" s="1736"/>
      <c r="R47" s="271"/>
      <c r="S47" s="281"/>
      <c r="T47" s="272" t="s">
        <v>355</v>
      </c>
      <c r="U47" s="272" t="s">
        <v>836</v>
      </c>
      <c r="V47" s="272" t="s">
        <v>837</v>
      </c>
      <c r="W47" s="272" t="s">
        <v>838</v>
      </c>
      <c r="X47" s="272" t="s">
        <v>839</v>
      </c>
      <c r="Y47" s="272" t="s">
        <v>840</v>
      </c>
    </row>
    <row r="48" spans="2:37" ht="15" thickTop="1" thickBot="1" x14ac:dyDescent="0.5">
      <c r="B48" s="382"/>
      <c r="C48" s="384"/>
      <c r="D48" s="344" t="s">
        <v>748</v>
      </c>
      <c r="E48" s="342">
        <v>2.5403899999999999</v>
      </c>
      <c r="F48" s="342">
        <v>2.5278200000000002</v>
      </c>
      <c r="G48" s="342">
        <v>6.2700000000000004E-3</v>
      </c>
      <c r="H48" s="342">
        <v>6.3E-3</v>
      </c>
      <c r="I48" s="353"/>
      <c r="J48" s="342">
        <v>2.5403899999999999</v>
      </c>
      <c r="K48" s="342">
        <v>2.5278200000000002</v>
      </c>
      <c r="L48" s="342">
        <v>6.2700000000000004E-3</v>
      </c>
      <c r="M48" s="342">
        <v>6.3E-3</v>
      </c>
      <c r="N48" s="1363"/>
      <c r="O48" s="1363"/>
      <c r="P48" s="1207"/>
      <c r="Q48" s="1736"/>
      <c r="R48" s="2439" t="s">
        <v>841</v>
      </c>
      <c r="S48" s="273" t="s">
        <v>842</v>
      </c>
      <c r="T48" s="282"/>
      <c r="U48" s="300">
        <v>1E-3</v>
      </c>
      <c r="V48" s="301">
        <v>3.5314667000000001E-2</v>
      </c>
      <c r="W48" s="301">
        <v>0.21996924800000001</v>
      </c>
      <c r="X48" s="301">
        <v>0.26417205100000002</v>
      </c>
      <c r="Y48" s="302">
        <v>6.2898110000000002E-3</v>
      </c>
    </row>
    <row r="49" spans="1:25" ht="16.5" thickTop="1" thickBot="1" x14ac:dyDescent="0.5">
      <c r="B49" s="382"/>
      <c r="C49" s="384"/>
      <c r="D49" s="344" t="s">
        <v>889</v>
      </c>
      <c r="E49" s="342">
        <v>0.25963999999999998</v>
      </c>
      <c r="F49" s="342">
        <v>0.25835000000000002</v>
      </c>
      <c r="G49" s="342">
        <v>6.4000000000000005E-4</v>
      </c>
      <c r="H49" s="342">
        <v>6.4000000000000005E-4</v>
      </c>
      <c r="I49" s="353"/>
      <c r="J49" s="342">
        <v>0.25963999999999998</v>
      </c>
      <c r="K49" s="342">
        <v>0.25835000000000002</v>
      </c>
      <c r="L49" s="342">
        <v>6.4000000000000005E-4</v>
      </c>
      <c r="M49" s="342">
        <v>6.4000000000000005E-4</v>
      </c>
      <c r="N49" s="1363"/>
      <c r="O49" s="1363"/>
      <c r="P49" s="1207"/>
      <c r="Q49" s="1736"/>
      <c r="R49" s="2440"/>
      <c r="S49" s="273" t="s">
        <v>843</v>
      </c>
      <c r="T49" s="303">
        <v>1000</v>
      </c>
      <c r="U49" s="287"/>
      <c r="V49" s="304">
        <v>35.314667</v>
      </c>
      <c r="W49" s="305">
        <v>219.96924799999999</v>
      </c>
      <c r="X49" s="305">
        <v>264.17205100000001</v>
      </c>
      <c r="Y49" s="306">
        <v>6.2898110000000003</v>
      </c>
    </row>
    <row r="50" spans="1:25" ht="15" thickTop="1" thickBot="1" x14ac:dyDescent="0.5">
      <c r="B50" s="382"/>
      <c r="C50" s="385"/>
      <c r="D50" s="344" t="s">
        <v>890</v>
      </c>
      <c r="E50" s="342">
        <v>0.24665999999999999</v>
      </c>
      <c r="F50" s="342">
        <v>0.24543999999999999</v>
      </c>
      <c r="G50" s="342">
        <v>6.0999999999999997E-4</v>
      </c>
      <c r="H50" s="342">
        <v>6.0999999999999997E-4</v>
      </c>
      <c r="I50" s="340"/>
      <c r="J50" s="342">
        <v>0.24665999999999999</v>
      </c>
      <c r="K50" s="342">
        <v>0.24543999999999999</v>
      </c>
      <c r="L50" s="342">
        <v>6.0999999999999997E-4</v>
      </c>
      <c r="M50" s="342">
        <v>6.0999999999999997E-4</v>
      </c>
      <c r="N50" s="1363"/>
      <c r="O50" s="1363"/>
      <c r="P50" s="1207"/>
      <c r="Q50" s="1736"/>
      <c r="R50" s="2440"/>
      <c r="S50" s="273" t="s">
        <v>844</v>
      </c>
      <c r="T50" s="307">
        <v>28.316846368677353</v>
      </c>
      <c r="U50" s="308">
        <v>2.8316846368677356E-2</v>
      </c>
      <c r="V50" s="287"/>
      <c r="W50" s="309">
        <v>6.228835401449488</v>
      </c>
      <c r="X50" s="308">
        <v>7.4805193830653991</v>
      </c>
      <c r="Y50" s="310">
        <v>0.17810761177501688</v>
      </c>
    </row>
    <row r="51" spans="1:25" ht="15" thickTop="1" thickBot="1" x14ac:dyDescent="0.5">
      <c r="B51" s="382"/>
      <c r="C51" s="2437" t="s">
        <v>901</v>
      </c>
      <c r="D51" s="344" t="s">
        <v>888</v>
      </c>
      <c r="E51" s="381">
        <v>3028.61</v>
      </c>
      <c r="F51" s="381">
        <v>2986.6</v>
      </c>
      <c r="G51" s="381">
        <v>0.3</v>
      </c>
      <c r="H51" s="381">
        <v>41.71</v>
      </c>
      <c r="I51" s="340"/>
      <c r="J51" s="381">
        <v>3028.61</v>
      </c>
      <c r="K51" s="381">
        <v>2986.6</v>
      </c>
      <c r="L51" s="381">
        <v>0.3</v>
      </c>
      <c r="M51" s="381">
        <v>41.71</v>
      </c>
      <c r="N51" s="1363"/>
      <c r="O51" s="1363"/>
      <c r="P51" s="1207"/>
      <c r="Q51" s="1736"/>
      <c r="R51" s="2440"/>
      <c r="S51" s="273" t="s">
        <v>845</v>
      </c>
      <c r="T51" s="311">
        <v>4.5460900061812275</v>
      </c>
      <c r="U51" s="308">
        <v>4.5460900061812274E-3</v>
      </c>
      <c r="V51" s="308">
        <v>0.16054365472031801</v>
      </c>
      <c r="W51" s="287"/>
      <c r="X51" s="308">
        <v>1.2009499209634977</v>
      </c>
      <c r="Y51" s="312">
        <v>2.8594046927868752E-2</v>
      </c>
    </row>
    <row r="52" spans="1:25" ht="15" thickTop="1" thickBot="1" x14ac:dyDescent="0.5">
      <c r="A52" s="1207"/>
      <c r="B52" s="382"/>
      <c r="C52" s="2438"/>
      <c r="D52" s="344" t="s">
        <v>748</v>
      </c>
      <c r="E52" s="342">
        <v>2.54603</v>
      </c>
      <c r="F52" s="342">
        <v>2.5107200000000001</v>
      </c>
      <c r="G52" s="342">
        <v>2.5000000000000001E-4</v>
      </c>
      <c r="H52" s="342">
        <v>3.5060000000000001E-2</v>
      </c>
      <c r="I52" s="340"/>
      <c r="J52" s="342">
        <v>2.54603</v>
      </c>
      <c r="K52" s="342">
        <v>2.5107200000000001</v>
      </c>
      <c r="L52" s="342">
        <v>2.5000000000000001E-4</v>
      </c>
      <c r="M52" s="342">
        <v>3.5060000000000001E-2</v>
      </c>
      <c r="N52" s="1363"/>
      <c r="O52" s="1363"/>
      <c r="P52" s="1207"/>
      <c r="Q52" s="1736"/>
      <c r="R52" s="2440"/>
      <c r="S52" s="273" t="s">
        <v>839</v>
      </c>
      <c r="T52" s="311">
        <v>3.7854118034613733</v>
      </c>
      <c r="U52" s="313">
        <v>3.7854118034613732E-3</v>
      </c>
      <c r="V52" s="308">
        <v>0.13368055729710784</v>
      </c>
      <c r="W52" s="308">
        <v>0.83267418777772206</v>
      </c>
      <c r="X52" s="287"/>
      <c r="Y52" s="312">
        <v>2.3809524800941183E-2</v>
      </c>
    </row>
    <row r="53" spans="1:25" ht="15" thickTop="1" thickBot="1" x14ac:dyDescent="0.5">
      <c r="A53" s="1207"/>
      <c r="B53" s="382"/>
      <c r="C53" s="384"/>
      <c r="D53" s="344" t="s">
        <v>889</v>
      </c>
      <c r="E53" s="342">
        <v>0.25568000000000002</v>
      </c>
      <c r="F53" s="342">
        <v>0.25213999999999998</v>
      </c>
      <c r="G53" s="342">
        <v>3.0000000000000001E-5</v>
      </c>
      <c r="H53" s="342">
        <v>3.5200000000000001E-3</v>
      </c>
      <c r="I53" s="340"/>
      <c r="J53" s="342">
        <v>0.25568000000000002</v>
      </c>
      <c r="K53" s="342">
        <v>0.25213999999999998</v>
      </c>
      <c r="L53" s="342">
        <v>3.0000000000000001E-5</v>
      </c>
      <c r="M53" s="342">
        <v>3.5200000000000001E-3</v>
      </c>
      <c r="N53" s="1363"/>
      <c r="O53" s="1363"/>
      <c r="P53" s="1207"/>
      <c r="Q53" s="1736"/>
      <c r="R53" s="2441"/>
      <c r="S53" s="273" t="s">
        <v>846</v>
      </c>
      <c r="T53" s="314">
        <v>158.98728912522174</v>
      </c>
      <c r="U53" s="315">
        <v>0.15898728912522173</v>
      </c>
      <c r="V53" s="316">
        <v>5.6145831726899269</v>
      </c>
      <c r="W53" s="317">
        <v>34.972314430433606</v>
      </c>
      <c r="X53" s="318">
        <v>41.999998251139822</v>
      </c>
      <c r="Y53" s="299"/>
    </row>
    <row r="54" spans="1:25" ht="14.65" thickTop="1" x14ac:dyDescent="0.45">
      <c r="A54" s="1207"/>
      <c r="B54" s="382"/>
      <c r="C54" s="385"/>
      <c r="D54" s="344" t="s">
        <v>890</v>
      </c>
      <c r="E54" s="342">
        <v>0.24057000000000001</v>
      </c>
      <c r="F54" s="342">
        <v>0.23724000000000001</v>
      </c>
      <c r="G54" s="342">
        <v>2.0000000000000002E-5</v>
      </c>
      <c r="H54" s="342">
        <v>3.31E-3</v>
      </c>
      <c r="I54" s="340"/>
      <c r="J54" s="342">
        <v>0.24057000000000001</v>
      </c>
      <c r="K54" s="342">
        <v>0.23724000000000001</v>
      </c>
      <c r="L54" s="342">
        <v>2.0000000000000002E-5</v>
      </c>
      <c r="M54" s="342">
        <v>3.31E-3</v>
      </c>
      <c r="N54" s="1363"/>
      <c r="O54" s="1363"/>
      <c r="P54" s="1207"/>
      <c r="Q54" s="1736"/>
      <c r="R54" s="270"/>
      <c r="S54" s="270"/>
      <c r="T54" s="270"/>
      <c r="U54" s="270"/>
      <c r="V54" s="270"/>
      <c r="W54" s="270"/>
      <c r="X54" s="270"/>
      <c r="Y54" s="270"/>
    </row>
    <row r="55" spans="1:25" ht="28.9" thickBot="1" x14ac:dyDescent="0.5">
      <c r="A55" s="1207"/>
      <c r="B55" s="382"/>
      <c r="C55" s="383" t="s">
        <v>902</v>
      </c>
      <c r="D55" s="344" t="s">
        <v>888</v>
      </c>
      <c r="E55" s="381">
        <v>3206.62</v>
      </c>
      <c r="F55" s="381">
        <v>3164.33</v>
      </c>
      <c r="G55" s="381">
        <v>0.3</v>
      </c>
      <c r="H55" s="381">
        <v>41.99</v>
      </c>
      <c r="I55" s="363"/>
      <c r="J55" s="381">
        <v>3206.62</v>
      </c>
      <c r="K55" s="381">
        <v>3164.33</v>
      </c>
      <c r="L55" s="381">
        <v>0.3</v>
      </c>
      <c r="M55" s="381">
        <v>41.99</v>
      </c>
      <c r="N55" s="1363"/>
      <c r="O55" s="1363"/>
      <c r="P55" s="1207"/>
      <c r="Q55" s="1736"/>
      <c r="R55" s="270"/>
      <c r="S55" s="271"/>
      <c r="T55" s="270"/>
      <c r="U55" s="270"/>
      <c r="V55" s="270"/>
      <c r="W55" s="270"/>
      <c r="X55" s="270"/>
      <c r="Y55" s="270"/>
    </row>
    <row r="56" spans="1:25" ht="15" thickTop="1" thickBot="1" x14ac:dyDescent="0.5">
      <c r="A56" s="1207"/>
      <c r="B56" s="382"/>
      <c r="C56" s="384"/>
      <c r="D56" s="344" t="s">
        <v>748</v>
      </c>
      <c r="E56" s="342">
        <v>2.6878700000000002</v>
      </c>
      <c r="F56" s="342">
        <v>2.6524200000000002</v>
      </c>
      <c r="G56" s="342">
        <v>2.5000000000000001E-4</v>
      </c>
      <c r="H56" s="342">
        <v>3.5200000000000002E-2</v>
      </c>
      <c r="I56" s="353"/>
      <c r="J56" s="342">
        <v>2.6878700000000002</v>
      </c>
      <c r="K56" s="342">
        <v>2.6524200000000002</v>
      </c>
      <c r="L56" s="342">
        <v>2.5000000000000001E-4</v>
      </c>
      <c r="M56" s="342">
        <v>3.5200000000000002E-2</v>
      </c>
      <c r="N56" s="1363"/>
      <c r="O56" s="1363"/>
      <c r="P56" s="1207"/>
      <c r="Q56" s="1736"/>
      <c r="R56" s="271"/>
      <c r="S56" s="319"/>
      <c r="T56" s="272" t="s">
        <v>21</v>
      </c>
      <c r="U56" s="272" t="s">
        <v>23</v>
      </c>
      <c r="V56" s="272" t="s">
        <v>847</v>
      </c>
      <c r="W56" s="272" t="s">
        <v>848</v>
      </c>
      <c r="X56" s="272" t="s">
        <v>15</v>
      </c>
    </row>
    <row r="57" spans="1:25" ht="15" thickTop="1" thickBot="1" x14ac:dyDescent="0.5">
      <c r="A57" s="1207"/>
      <c r="B57" s="382"/>
      <c r="C57" s="384"/>
      <c r="D57" s="344" t="s">
        <v>889</v>
      </c>
      <c r="E57" s="342">
        <v>0.26890999999999998</v>
      </c>
      <c r="F57" s="342">
        <v>0.26535999999999998</v>
      </c>
      <c r="G57" s="342">
        <v>3.0000000000000001E-5</v>
      </c>
      <c r="H57" s="342">
        <v>3.5200000000000001E-3</v>
      </c>
      <c r="I57" s="115"/>
      <c r="J57" s="342">
        <v>0.26890999999999998</v>
      </c>
      <c r="K57" s="342">
        <v>0.26535999999999998</v>
      </c>
      <c r="L57" s="342">
        <v>3.0000000000000001E-5</v>
      </c>
      <c r="M57" s="342">
        <v>3.5200000000000001E-3</v>
      </c>
      <c r="N57" s="1363"/>
      <c r="O57" s="1363"/>
      <c r="P57" s="1207"/>
      <c r="Q57" s="1736"/>
      <c r="R57" s="2446" t="s">
        <v>849</v>
      </c>
      <c r="S57" s="273" t="s">
        <v>850</v>
      </c>
      <c r="T57" s="282"/>
      <c r="U57" s="300">
        <v>1E-3</v>
      </c>
      <c r="V57" s="301">
        <v>9.8420699999999996E-4</v>
      </c>
      <c r="W57" s="301">
        <v>1.1023109999999999E-3</v>
      </c>
      <c r="X57" s="320">
        <v>2.2046236800000001</v>
      </c>
    </row>
    <row r="58" spans="1:25" ht="15" thickTop="1" thickBot="1" x14ac:dyDescent="0.5">
      <c r="A58" s="1207"/>
      <c r="B58" s="382"/>
      <c r="C58" s="385"/>
      <c r="D58" s="344" t="s">
        <v>890</v>
      </c>
      <c r="E58" s="342">
        <v>0.25278</v>
      </c>
      <c r="F58" s="342">
        <v>0.24944</v>
      </c>
      <c r="G58" s="342">
        <v>2.0000000000000002E-5</v>
      </c>
      <c r="H58" s="342">
        <v>3.31E-3</v>
      </c>
      <c r="I58" s="115"/>
      <c r="J58" s="342">
        <v>0.25278</v>
      </c>
      <c r="K58" s="342">
        <v>0.24944</v>
      </c>
      <c r="L58" s="342">
        <v>2.0000000000000002E-5</v>
      </c>
      <c r="M58" s="342">
        <v>3.31E-3</v>
      </c>
      <c r="N58" s="1363"/>
      <c r="O58" s="1363"/>
      <c r="P58" s="1207"/>
      <c r="Q58" s="1736"/>
      <c r="R58" s="2447"/>
      <c r="S58" s="273" t="s">
        <v>851</v>
      </c>
      <c r="T58" s="303">
        <v>1000</v>
      </c>
      <c r="U58" s="287"/>
      <c r="V58" s="308">
        <v>0.98420699999999994</v>
      </c>
      <c r="W58" s="308">
        <v>1.1023109999999998</v>
      </c>
      <c r="X58" s="310">
        <v>2204.6236800000001</v>
      </c>
    </row>
    <row r="59" spans="1:25" ht="15" thickTop="1" thickBot="1" x14ac:dyDescent="0.5">
      <c r="A59" s="1207"/>
      <c r="B59" s="382"/>
      <c r="C59" s="383" t="s">
        <v>903</v>
      </c>
      <c r="D59" s="344" t="s">
        <v>888</v>
      </c>
      <c r="E59" s="381">
        <v>3221.37</v>
      </c>
      <c r="F59" s="381">
        <v>3209.38</v>
      </c>
      <c r="G59" s="381">
        <v>4.18</v>
      </c>
      <c r="H59" s="381">
        <v>7.81</v>
      </c>
      <c r="I59" s="256"/>
      <c r="J59" s="381">
        <v>3221.37</v>
      </c>
      <c r="K59" s="381">
        <v>3209.38</v>
      </c>
      <c r="L59" s="381">
        <v>4.18</v>
      </c>
      <c r="M59" s="381">
        <v>7.81</v>
      </c>
      <c r="N59" s="1363"/>
      <c r="O59" s="1363"/>
      <c r="P59" s="1207"/>
      <c r="Q59" s="1736"/>
      <c r="R59" s="2447"/>
      <c r="S59" s="273" t="s">
        <v>852</v>
      </c>
      <c r="T59" s="321">
        <v>1016.0464211288886</v>
      </c>
      <c r="U59" s="308">
        <v>1.0160464211288887</v>
      </c>
      <c r="V59" s="287"/>
      <c r="W59" s="308">
        <v>1.1199991465210062</v>
      </c>
      <c r="X59" s="322">
        <v>2240</v>
      </c>
    </row>
    <row r="60" spans="1:25" ht="15" thickTop="1" thickBot="1" x14ac:dyDescent="0.5">
      <c r="A60" s="1207"/>
      <c r="B60" s="382"/>
      <c r="C60" s="384"/>
      <c r="D60" s="344" t="s">
        <v>748</v>
      </c>
      <c r="E60" s="342">
        <v>3.1831700000000001</v>
      </c>
      <c r="F60" s="342">
        <v>3.1713300000000002</v>
      </c>
      <c r="G60" s="342">
        <v>4.13E-3</v>
      </c>
      <c r="H60" s="342">
        <v>7.7099999999999998E-3</v>
      </c>
      <c r="I60" s="115"/>
      <c r="J60" s="342">
        <v>3.1831700000000001</v>
      </c>
      <c r="K60" s="342">
        <v>3.1713300000000002</v>
      </c>
      <c r="L60" s="342">
        <v>4.13E-3</v>
      </c>
      <c r="M60" s="342">
        <v>7.7099999999999998E-3</v>
      </c>
      <c r="N60" s="1363"/>
      <c r="O60" s="1363"/>
      <c r="P60" s="1207"/>
      <c r="Q60" s="1736"/>
      <c r="R60" s="2447"/>
      <c r="S60" s="273" t="s">
        <v>853</v>
      </c>
      <c r="T60" s="323">
        <v>907.18499588591612</v>
      </c>
      <c r="U60" s="308">
        <v>0.90718499588591617</v>
      </c>
      <c r="V60" s="308">
        <v>0.8928578232458898</v>
      </c>
      <c r="W60" s="287"/>
      <c r="X60" s="322">
        <v>2000.0015240707933</v>
      </c>
    </row>
    <row r="61" spans="1:25" ht="15" thickTop="1" thickBot="1" x14ac:dyDescent="0.5">
      <c r="A61" s="1207"/>
      <c r="B61" s="382"/>
      <c r="C61" s="384"/>
      <c r="D61" s="344" t="s">
        <v>889</v>
      </c>
      <c r="E61" s="342">
        <v>0.28483999999999998</v>
      </c>
      <c r="F61" s="342">
        <v>0.28377999999999998</v>
      </c>
      <c r="G61" s="342">
        <v>3.6999999999999999E-4</v>
      </c>
      <c r="H61" s="342">
        <v>6.8999999999999997E-4</v>
      </c>
      <c r="I61" s="115"/>
      <c r="J61" s="342">
        <v>0.28483999999999998</v>
      </c>
      <c r="K61" s="342">
        <v>0.28377999999999998</v>
      </c>
      <c r="L61" s="342">
        <v>3.6999999999999999E-4</v>
      </c>
      <c r="M61" s="342">
        <v>6.8999999999999997E-4</v>
      </c>
      <c r="N61" s="1363"/>
      <c r="O61" s="1363"/>
      <c r="P61" s="1207"/>
      <c r="Q61" s="1736"/>
      <c r="R61" s="2448"/>
      <c r="S61" s="273" t="s">
        <v>854</v>
      </c>
      <c r="T61" s="324">
        <v>0.45359215228968236</v>
      </c>
      <c r="U61" s="325">
        <v>4.5359215228968239E-4</v>
      </c>
      <c r="V61" s="325">
        <v>4.4642857142857141E-4</v>
      </c>
      <c r="W61" s="315">
        <v>4.9999961898259206E-4</v>
      </c>
      <c r="X61" s="299"/>
    </row>
    <row r="62" spans="1:25" ht="14.65" thickTop="1" x14ac:dyDescent="0.45">
      <c r="B62" s="382"/>
      <c r="C62" s="385"/>
      <c r="D62" s="344" t="s">
        <v>890</v>
      </c>
      <c r="E62" s="342">
        <v>0.26774999999999999</v>
      </c>
      <c r="F62" s="342">
        <v>0.26674999999999999</v>
      </c>
      <c r="G62" s="342">
        <v>3.5E-4</v>
      </c>
      <c r="H62" s="342">
        <v>6.4999999999999997E-4</v>
      </c>
      <c r="I62" s="359"/>
      <c r="J62" s="342">
        <v>0.26774999999999999</v>
      </c>
      <c r="K62" s="342">
        <v>0.26674999999999999</v>
      </c>
      <c r="L62" s="342">
        <v>3.5E-4</v>
      </c>
      <c r="M62" s="342">
        <v>6.4999999999999997E-4</v>
      </c>
      <c r="N62" s="1363"/>
      <c r="O62" s="1363"/>
      <c r="P62" s="1207"/>
      <c r="Q62" s="1736"/>
      <c r="R62" s="270"/>
      <c r="S62" s="270"/>
      <c r="T62" s="270"/>
      <c r="U62" s="270"/>
      <c r="V62" s="270"/>
      <c r="W62" s="270"/>
      <c r="X62" s="270"/>
    </row>
    <row r="63" spans="1:25" ht="14.65" thickBot="1" x14ac:dyDescent="0.5">
      <c r="B63" s="382"/>
      <c r="C63" s="383" t="s">
        <v>67</v>
      </c>
      <c r="D63" s="344" t="s">
        <v>888</v>
      </c>
      <c r="E63" s="381">
        <v>3229.34</v>
      </c>
      <c r="F63" s="381">
        <v>3190</v>
      </c>
      <c r="G63" s="381">
        <v>3.31</v>
      </c>
      <c r="H63" s="381">
        <v>36.03</v>
      </c>
      <c r="I63" s="359"/>
      <c r="J63" s="381">
        <v>3229.34</v>
      </c>
      <c r="K63" s="381">
        <v>3190</v>
      </c>
      <c r="L63" s="381">
        <v>3.31</v>
      </c>
      <c r="M63" s="381">
        <v>36.03</v>
      </c>
      <c r="N63" s="1363"/>
      <c r="O63" s="1363"/>
      <c r="P63" s="1207"/>
      <c r="Q63" s="1736"/>
      <c r="R63" s="270"/>
      <c r="S63" s="271"/>
      <c r="T63" s="270"/>
      <c r="U63" s="270"/>
      <c r="V63" s="270"/>
      <c r="W63" s="270"/>
      <c r="X63" s="270"/>
    </row>
    <row r="64" spans="1:25" ht="15" thickTop="1" thickBot="1" x14ac:dyDescent="0.5">
      <c r="B64" s="382"/>
      <c r="C64" s="384"/>
      <c r="D64" s="344" t="s">
        <v>748</v>
      </c>
      <c r="E64" s="342">
        <v>2.7577600000000002</v>
      </c>
      <c r="F64" s="342">
        <v>2.72417</v>
      </c>
      <c r="G64" s="342">
        <v>2.82E-3</v>
      </c>
      <c r="H64" s="342">
        <v>3.0769999999999999E-2</v>
      </c>
      <c r="I64" s="359"/>
      <c r="J64" s="342">
        <v>2.7577600000000002</v>
      </c>
      <c r="K64" s="342">
        <v>2.72417</v>
      </c>
      <c r="L64" s="342">
        <v>2.82E-3</v>
      </c>
      <c r="M64" s="342">
        <v>3.0769999999999999E-2</v>
      </c>
      <c r="N64" s="1363"/>
      <c r="O64" s="1363"/>
      <c r="P64" s="1207"/>
      <c r="Q64" s="1736"/>
      <c r="R64" s="271"/>
      <c r="S64" s="281"/>
      <c r="T64" s="272" t="s">
        <v>855</v>
      </c>
      <c r="U64" s="272" t="s">
        <v>856</v>
      </c>
      <c r="V64" s="272" t="s">
        <v>857</v>
      </c>
      <c r="W64" s="272" t="s">
        <v>223</v>
      </c>
      <c r="X64" s="272" t="s">
        <v>858</v>
      </c>
    </row>
    <row r="65" spans="2:32" ht="15" thickTop="1" thickBot="1" x14ac:dyDescent="0.5">
      <c r="B65" s="382"/>
      <c r="C65" s="384"/>
      <c r="D65" s="344" t="s">
        <v>889</v>
      </c>
      <c r="E65" s="342">
        <v>0.27310000000000001</v>
      </c>
      <c r="F65" s="342">
        <v>0.26978000000000002</v>
      </c>
      <c r="G65" s="342">
        <v>2.7999999999999998E-4</v>
      </c>
      <c r="H65" s="342">
        <v>3.0500000000000002E-3</v>
      </c>
      <c r="I65" s="46"/>
      <c r="J65" s="342">
        <v>0.27310000000000001</v>
      </c>
      <c r="K65" s="342">
        <v>0.26978000000000002</v>
      </c>
      <c r="L65" s="342">
        <v>2.7999999999999998E-4</v>
      </c>
      <c r="M65" s="342">
        <v>3.0500000000000002E-3</v>
      </c>
      <c r="N65" s="1207"/>
      <c r="O65" s="1207"/>
      <c r="P65" s="1207"/>
      <c r="Q65" s="1736"/>
      <c r="R65" s="2446" t="s">
        <v>859</v>
      </c>
      <c r="S65" s="273" t="s">
        <v>860</v>
      </c>
      <c r="T65" s="282"/>
      <c r="U65" s="326">
        <v>3.2808398950000002</v>
      </c>
      <c r="V65" s="327">
        <v>6.2137119223733392E-4</v>
      </c>
      <c r="W65" s="328">
        <v>1E-3</v>
      </c>
      <c r="X65" s="329">
        <v>5.3995680351745805E-4</v>
      </c>
    </row>
    <row r="66" spans="2:32" ht="15" thickTop="1" thickBot="1" x14ac:dyDescent="0.5">
      <c r="B66" s="382"/>
      <c r="C66" s="385"/>
      <c r="D66" s="344" t="s">
        <v>890</v>
      </c>
      <c r="E66" s="342">
        <v>0.25672</v>
      </c>
      <c r="F66" s="342">
        <v>0.25358999999999998</v>
      </c>
      <c r="G66" s="342">
        <v>2.5999999999999998E-4</v>
      </c>
      <c r="H66" s="342">
        <v>2.8600000000000001E-3</v>
      </c>
      <c r="I66"/>
      <c r="J66" s="342">
        <v>0.25672</v>
      </c>
      <c r="K66" s="342">
        <v>0.25358999999999998</v>
      </c>
      <c r="L66" s="342">
        <v>2.5999999999999998E-4</v>
      </c>
      <c r="M66" s="342">
        <v>2.8600000000000001E-3</v>
      </c>
      <c r="Q66" s="1736"/>
      <c r="R66" s="2447"/>
      <c r="S66" s="273" t="s">
        <v>861</v>
      </c>
      <c r="T66" s="321">
        <v>0.30480000000121921</v>
      </c>
      <c r="U66" s="287"/>
      <c r="V66" s="304">
        <v>1.8939393939469695E-4</v>
      </c>
      <c r="W66" s="313">
        <v>3.0480000000121922E-4</v>
      </c>
      <c r="X66" s="330">
        <v>1.6457883371277953E-4</v>
      </c>
    </row>
    <row r="67" spans="2:32" ht="15" thickTop="1" thickBot="1" x14ac:dyDescent="0.5">
      <c r="B67" s="382"/>
      <c r="C67" s="383" t="s">
        <v>50</v>
      </c>
      <c r="D67" s="344" t="s">
        <v>888</v>
      </c>
      <c r="E67" s="381">
        <v>3181.42</v>
      </c>
      <c r="F67" s="381">
        <v>3171.09</v>
      </c>
      <c r="G67" s="381">
        <v>3.05</v>
      </c>
      <c r="H67" s="381">
        <v>7.28</v>
      </c>
      <c r="I67"/>
      <c r="J67" s="381">
        <v>3181.42</v>
      </c>
      <c r="K67" s="381">
        <v>3171.09</v>
      </c>
      <c r="L67" s="381">
        <v>3.05</v>
      </c>
      <c r="M67" s="381">
        <v>7.28</v>
      </c>
      <c r="Q67" s="1736"/>
      <c r="R67" s="2447"/>
      <c r="S67" s="273" t="s">
        <v>862</v>
      </c>
      <c r="T67" s="323">
        <v>1609.3440000000001</v>
      </c>
      <c r="U67" s="331">
        <v>5279.9999999788806</v>
      </c>
      <c r="V67" s="287"/>
      <c r="W67" s="308">
        <v>1.6093440000000001</v>
      </c>
      <c r="X67" s="310">
        <v>0.86897624200000001</v>
      </c>
    </row>
    <row r="68" spans="2:32" ht="15" thickTop="1" thickBot="1" x14ac:dyDescent="0.5">
      <c r="B68" s="382"/>
      <c r="C68" s="384"/>
      <c r="D68" s="344" t="s">
        <v>748</v>
      </c>
      <c r="E68" s="386"/>
      <c r="F68" s="386"/>
      <c r="G68" s="386"/>
      <c r="H68" s="386"/>
      <c r="I68"/>
      <c r="J68" s="386"/>
      <c r="K68" s="386"/>
      <c r="L68" s="386"/>
      <c r="M68" s="386"/>
      <c r="Q68" s="1736"/>
      <c r="R68" s="2447"/>
      <c r="S68" s="273" t="s">
        <v>863</v>
      </c>
      <c r="T68" s="303">
        <v>1000</v>
      </c>
      <c r="U68" s="332">
        <v>3280.8398950000001</v>
      </c>
      <c r="V68" s="308">
        <v>0.62137119223733395</v>
      </c>
      <c r="W68" s="287"/>
      <c r="X68" s="310">
        <v>0.53995680351745801</v>
      </c>
    </row>
    <row r="69" spans="2:32" ht="15" thickTop="1" thickBot="1" x14ac:dyDescent="0.5">
      <c r="B69" s="382"/>
      <c r="C69" s="384"/>
      <c r="D69" s="344" t="s">
        <v>889</v>
      </c>
      <c r="E69" s="342">
        <v>0.28131</v>
      </c>
      <c r="F69" s="342">
        <v>0.28038999999999997</v>
      </c>
      <c r="G69" s="342">
        <v>2.7E-4</v>
      </c>
      <c r="H69" s="342">
        <v>6.4000000000000005E-4</v>
      </c>
      <c r="I69"/>
      <c r="J69" s="342">
        <v>0.28131</v>
      </c>
      <c r="K69" s="342">
        <v>0.28038999999999997</v>
      </c>
      <c r="L69" s="342">
        <v>2.7E-4</v>
      </c>
      <c r="M69" s="342">
        <v>6.4000000000000005E-4</v>
      </c>
      <c r="Q69" s="1736"/>
      <c r="R69" s="2448"/>
      <c r="S69" s="273" t="s">
        <v>864</v>
      </c>
      <c r="T69" s="333">
        <v>1851.9999997882567</v>
      </c>
      <c r="U69" s="334">
        <v>6076.1154848453043</v>
      </c>
      <c r="V69" s="315">
        <v>1.1507794478919713</v>
      </c>
      <c r="W69" s="317">
        <v>1.8519999997882568</v>
      </c>
      <c r="X69" s="299"/>
    </row>
    <row r="70" spans="2:32" ht="14.65" thickTop="1" x14ac:dyDescent="0.45">
      <c r="B70" s="382"/>
      <c r="C70" s="385"/>
      <c r="D70" s="344" t="s">
        <v>890</v>
      </c>
      <c r="E70" s="342">
        <v>0.26443</v>
      </c>
      <c r="F70" s="342">
        <v>0.26357000000000003</v>
      </c>
      <c r="G70" s="342">
        <v>2.5000000000000001E-4</v>
      </c>
      <c r="H70" s="342">
        <v>6.0999999999999997E-4</v>
      </c>
      <c r="I70"/>
      <c r="J70" s="342">
        <v>0.26443</v>
      </c>
      <c r="K70" s="342">
        <v>0.26357000000000003</v>
      </c>
      <c r="L70" s="342">
        <v>2.5000000000000001E-4</v>
      </c>
      <c r="M70" s="342">
        <v>6.0999999999999997E-4</v>
      </c>
    </row>
    <row r="71" spans="2:32" x14ac:dyDescent="0.45">
      <c r="B71" s="382"/>
      <c r="C71" s="383" t="s">
        <v>38</v>
      </c>
      <c r="D71" s="344" t="s">
        <v>888</v>
      </c>
      <c r="E71" s="381">
        <v>3142.87</v>
      </c>
      <c r="F71" s="381">
        <v>3131.33</v>
      </c>
      <c r="G71" s="381">
        <v>3.41</v>
      </c>
      <c r="H71" s="381">
        <v>8.1300000000000008</v>
      </c>
      <c r="I71"/>
      <c r="J71" s="381">
        <v>3142.87</v>
      </c>
      <c r="K71" s="381">
        <v>3131.33</v>
      </c>
      <c r="L71" s="381">
        <v>3.41</v>
      </c>
      <c r="M71" s="381">
        <v>8.1300000000000008</v>
      </c>
    </row>
    <row r="72" spans="2:32" x14ac:dyDescent="0.45">
      <c r="B72" s="382"/>
      <c r="C72" s="384"/>
      <c r="D72" s="344" t="s">
        <v>748</v>
      </c>
      <c r="E72" s="386"/>
      <c r="F72" s="386"/>
      <c r="G72" s="386"/>
      <c r="H72" s="386"/>
      <c r="I72"/>
      <c r="J72" s="386"/>
      <c r="K72" s="386"/>
      <c r="L72" s="386"/>
      <c r="M72" s="386"/>
    </row>
    <row r="73" spans="2:32" x14ac:dyDescent="0.45">
      <c r="B73" s="382"/>
      <c r="C73" s="384"/>
      <c r="D73" s="344" t="s">
        <v>889</v>
      </c>
      <c r="E73" s="342">
        <v>0.24898000000000001</v>
      </c>
      <c r="F73" s="342">
        <v>0.24807000000000001</v>
      </c>
      <c r="G73" s="342">
        <v>2.7E-4</v>
      </c>
      <c r="H73" s="342">
        <v>6.4000000000000005E-4</v>
      </c>
      <c r="I73"/>
      <c r="J73" s="342">
        <v>0.24898000000000001</v>
      </c>
      <c r="K73" s="342">
        <v>0.24807000000000001</v>
      </c>
      <c r="L73" s="342">
        <v>2.7E-4</v>
      </c>
      <c r="M73" s="342">
        <v>6.4000000000000005E-4</v>
      </c>
      <c r="R73" s="1740"/>
      <c r="S73" s="1740"/>
      <c r="T73" s="1740"/>
      <c r="U73" s="1740"/>
      <c r="V73" s="1740"/>
      <c r="W73" s="1740"/>
      <c r="X73" s="1740"/>
      <c r="Y73" s="1740"/>
      <c r="Z73" s="1740"/>
      <c r="AA73" s="1740"/>
      <c r="AB73" s="1740"/>
      <c r="AC73" s="1740"/>
      <c r="AD73" s="1740"/>
      <c r="AE73" s="1740"/>
      <c r="AF73" s="1740"/>
    </row>
    <row r="74" spans="2:32" x14ac:dyDescent="0.45">
      <c r="B74" s="382"/>
      <c r="C74" s="385"/>
      <c r="D74" s="349" t="s">
        <v>890</v>
      </c>
      <c r="E74" s="387">
        <v>0.23652999999999999</v>
      </c>
      <c r="F74" s="387">
        <v>0.23566000000000001</v>
      </c>
      <c r="G74" s="387">
        <v>2.5999999999999998E-4</v>
      </c>
      <c r="H74" s="387">
        <v>6.0999999999999997E-4</v>
      </c>
      <c r="I74"/>
      <c r="J74" s="387">
        <v>0.23652999999999999</v>
      </c>
      <c r="K74" s="387">
        <v>0.23566000000000001</v>
      </c>
      <c r="L74" s="387">
        <v>2.5999999999999998E-4</v>
      </c>
      <c r="M74" s="387">
        <v>6.0999999999999997E-4</v>
      </c>
      <c r="R74" s="1740"/>
      <c r="S74" s="1740"/>
      <c r="T74" s="1740"/>
      <c r="U74" s="1740"/>
      <c r="V74" s="1740"/>
      <c r="W74" s="1740"/>
      <c r="X74" s="1740"/>
      <c r="Y74" s="1740"/>
      <c r="Z74" s="1740"/>
      <c r="AA74" s="1740"/>
      <c r="AB74" s="1740"/>
      <c r="AC74" s="1740"/>
      <c r="AD74" s="1740"/>
      <c r="AE74" s="1740"/>
      <c r="AF74" s="1740"/>
    </row>
    <row r="75" spans="2:32" ht="28.9" thickBot="1" x14ac:dyDescent="0.5">
      <c r="B75" s="382"/>
      <c r="C75" s="388" t="s">
        <v>904</v>
      </c>
      <c r="D75" s="389" t="s">
        <v>888</v>
      </c>
      <c r="E75" s="390">
        <v>2942.05</v>
      </c>
      <c r="F75" s="390">
        <v>2924.82</v>
      </c>
      <c r="G75" s="390">
        <v>9.08</v>
      </c>
      <c r="H75" s="391">
        <v>8.16</v>
      </c>
      <c r="I75"/>
      <c r="J75" s="390">
        <v>2942.05</v>
      </c>
      <c r="K75" s="390">
        <v>2924.82</v>
      </c>
      <c r="L75" s="390">
        <v>9.08</v>
      </c>
      <c r="M75" s="391">
        <v>8.16</v>
      </c>
      <c r="R75" s="1740" t="s">
        <v>1045</v>
      </c>
      <c r="S75" s="1740"/>
      <c r="T75" s="1740"/>
      <c r="U75" s="1740"/>
      <c r="V75" s="1740"/>
      <c r="W75" s="1740"/>
      <c r="X75" s="1740"/>
      <c r="Y75" s="1740"/>
      <c r="Z75" s="1740"/>
      <c r="AA75" s="1740"/>
      <c r="AB75" s="1740"/>
      <c r="AC75" s="1740"/>
      <c r="AD75" s="1740"/>
      <c r="AE75" s="1740"/>
      <c r="AF75" s="1740"/>
    </row>
    <row r="76" spans="2:32" ht="15" thickTop="1" thickBot="1" x14ac:dyDescent="0.5">
      <c r="B76" s="382"/>
      <c r="C76" s="392"/>
      <c r="D76" s="393" t="s">
        <v>748</v>
      </c>
      <c r="E76" s="342">
        <v>2.1680199999999998</v>
      </c>
      <c r="F76" s="342">
        <v>2.1553200000000001</v>
      </c>
      <c r="G76" s="342">
        <v>6.6899999999999998E-3</v>
      </c>
      <c r="H76" s="394">
        <v>6.0099999999999997E-3</v>
      </c>
      <c r="I76"/>
      <c r="J76" s="342">
        <v>2.1680199999999998</v>
      </c>
      <c r="K76" s="342">
        <v>2.1553200000000001</v>
      </c>
      <c r="L76" s="342">
        <v>6.6899999999999998E-3</v>
      </c>
      <c r="M76" s="394">
        <v>6.0099999999999997E-3</v>
      </c>
      <c r="R76" s="2542" t="s">
        <v>1016</v>
      </c>
      <c r="S76" s="2543"/>
      <c r="T76" s="2543"/>
      <c r="U76" s="2543"/>
      <c r="V76" s="2543"/>
      <c r="W76" s="2543"/>
      <c r="X76" s="2543"/>
      <c r="Y76" s="2543"/>
      <c r="Z76" s="2543"/>
      <c r="AA76" s="2543"/>
      <c r="AB76" s="2543"/>
      <c r="AC76" s="2543"/>
      <c r="AD76" s="2543"/>
      <c r="AE76" s="2543"/>
      <c r="AF76" s="2544"/>
    </row>
    <row r="77" spans="2:32" ht="15" thickTop="1" thickBot="1" x14ac:dyDescent="0.5">
      <c r="B77" s="382"/>
      <c r="C77" s="392"/>
      <c r="D77" s="393" t="s">
        <v>889</v>
      </c>
      <c r="E77" s="342">
        <v>0.24163999999999999</v>
      </c>
      <c r="F77" s="342">
        <v>0.24021999999999999</v>
      </c>
      <c r="G77" s="342">
        <v>7.5000000000000002E-4</v>
      </c>
      <c r="H77" s="394">
        <v>6.7000000000000002E-4</v>
      </c>
      <c r="I77"/>
      <c r="J77" s="342">
        <v>0.24163999999999999</v>
      </c>
      <c r="K77" s="342">
        <v>0.24021999999999999</v>
      </c>
      <c r="L77" s="342">
        <v>7.5000000000000002E-4</v>
      </c>
      <c r="M77" s="394">
        <v>6.7000000000000002E-4</v>
      </c>
      <c r="R77" s="270"/>
      <c r="S77" s="270"/>
      <c r="T77" s="270"/>
      <c r="U77" s="270"/>
      <c r="V77" s="270"/>
      <c r="W77" s="270"/>
      <c r="X77" s="270"/>
      <c r="Y77" s="270"/>
      <c r="Z77" s="270"/>
      <c r="AA77" s="270"/>
      <c r="AB77" s="270"/>
      <c r="AC77" s="270"/>
      <c r="AD77" s="270"/>
      <c r="AE77" s="270"/>
      <c r="AF77" s="463"/>
    </row>
    <row r="78" spans="2:32" ht="14.65" thickTop="1" x14ac:dyDescent="0.45">
      <c r="B78" s="382"/>
      <c r="C78" s="395"/>
      <c r="D78" s="396" t="s">
        <v>890</v>
      </c>
      <c r="E78" s="341">
        <v>0.22919999999999999</v>
      </c>
      <c r="F78" s="341">
        <v>0.22786000000000001</v>
      </c>
      <c r="G78" s="341">
        <v>7.1000000000000002E-4</v>
      </c>
      <c r="H78" s="397">
        <v>6.4000000000000005E-4</v>
      </c>
      <c r="I78"/>
      <c r="J78" s="341">
        <v>0.22919999999999999</v>
      </c>
      <c r="K78" s="341">
        <v>0.22786000000000001</v>
      </c>
      <c r="L78" s="341">
        <v>7.1000000000000002E-4</v>
      </c>
      <c r="M78" s="397">
        <v>6.4000000000000005E-4</v>
      </c>
      <c r="R78" s="270"/>
      <c r="S78" s="2545"/>
      <c r="T78" s="464" t="s">
        <v>588</v>
      </c>
      <c r="U78" s="464" t="s">
        <v>1017</v>
      </c>
      <c r="V78" s="465" t="s">
        <v>1018</v>
      </c>
      <c r="W78" s="464" t="s">
        <v>1019</v>
      </c>
      <c r="X78" s="464" t="s">
        <v>1020</v>
      </c>
      <c r="Y78" s="270"/>
      <c r="Z78" s="464" t="s">
        <v>1017</v>
      </c>
      <c r="AA78" s="1955" t="s">
        <v>1018</v>
      </c>
      <c r="AB78" s="270"/>
      <c r="AC78" s="1955" t="s">
        <v>1017</v>
      </c>
      <c r="AD78" s="464" t="s">
        <v>1018</v>
      </c>
      <c r="AE78" s="270"/>
      <c r="AF78" s="463"/>
    </row>
    <row r="79" spans="2:32" ht="28.9" thickBot="1" x14ac:dyDescent="0.5">
      <c r="B79" s="382"/>
      <c r="C79" s="383" t="s">
        <v>905</v>
      </c>
      <c r="D79" s="398" t="s">
        <v>888</v>
      </c>
      <c r="E79" s="399">
        <v>3152.58</v>
      </c>
      <c r="F79" s="399">
        <v>3135</v>
      </c>
      <c r="G79" s="399">
        <v>9.26</v>
      </c>
      <c r="H79" s="399">
        <v>8.32</v>
      </c>
      <c r="I79"/>
      <c r="J79" s="399">
        <v>3152.58</v>
      </c>
      <c r="K79" s="399">
        <v>3135</v>
      </c>
      <c r="L79" s="399">
        <v>9.26</v>
      </c>
      <c r="M79" s="399">
        <v>8.32</v>
      </c>
      <c r="R79" s="270"/>
      <c r="S79" s="2545"/>
      <c r="T79" s="466"/>
      <c r="U79" s="467" t="s">
        <v>1021</v>
      </c>
      <c r="V79" s="468" t="s">
        <v>1021</v>
      </c>
      <c r="W79" s="469" t="s">
        <v>1022</v>
      </c>
      <c r="X79" s="469" t="s">
        <v>1023</v>
      </c>
      <c r="Y79" s="270"/>
      <c r="Z79" s="467" t="s">
        <v>1024</v>
      </c>
      <c r="AA79" s="1956" t="s">
        <v>1024</v>
      </c>
      <c r="AB79" s="270"/>
      <c r="AC79" s="1956" t="s">
        <v>753</v>
      </c>
      <c r="AD79" s="467" t="s">
        <v>753</v>
      </c>
      <c r="AE79" s="270"/>
      <c r="AF79" s="470" t="s">
        <v>712</v>
      </c>
    </row>
    <row r="80" spans="2:32" ht="29.25" thickTop="1" thickBot="1" x14ac:dyDescent="0.5">
      <c r="B80" s="382"/>
      <c r="C80" s="384"/>
      <c r="D80" s="344" t="s">
        <v>748</v>
      </c>
      <c r="E80" s="342">
        <v>2.31467</v>
      </c>
      <c r="F80" s="342">
        <v>2.3017599999999998</v>
      </c>
      <c r="G80" s="342">
        <v>6.7999999999999996E-3</v>
      </c>
      <c r="H80" s="342">
        <v>6.11E-3</v>
      </c>
      <c r="I80"/>
      <c r="J80" s="342">
        <v>2.31467</v>
      </c>
      <c r="K80" s="342">
        <v>2.3017599999999998</v>
      </c>
      <c r="L80" s="342">
        <v>6.7999999999999996E-3</v>
      </c>
      <c r="M80" s="342">
        <v>6.11E-3</v>
      </c>
      <c r="R80" s="2446" t="s">
        <v>1025</v>
      </c>
      <c r="S80" s="464" t="s">
        <v>1026</v>
      </c>
      <c r="T80" s="471">
        <v>2020</v>
      </c>
      <c r="U80" s="472">
        <v>44.902000000000001</v>
      </c>
      <c r="V80" s="472">
        <v>47.265999999999998</v>
      </c>
      <c r="W80" s="472">
        <v>711.74400000000003</v>
      </c>
      <c r="X80" s="472">
        <v>1405</v>
      </c>
      <c r="Y80" s="270"/>
      <c r="Z80" s="472">
        <v>12.473000000000001</v>
      </c>
      <c r="AA80" s="472">
        <v>13.129</v>
      </c>
      <c r="AB80" s="270"/>
      <c r="AC80" s="472">
        <v>8.8780000000000001</v>
      </c>
      <c r="AD80" s="472">
        <v>9.3450000000000006</v>
      </c>
      <c r="AE80" s="270"/>
      <c r="AF80" s="463"/>
    </row>
    <row r="81" spans="2:32" ht="29.25" thickTop="1" thickBot="1" x14ac:dyDescent="0.5">
      <c r="B81" s="382"/>
      <c r="C81" s="384"/>
      <c r="D81" s="344" t="s">
        <v>889</v>
      </c>
      <c r="E81" s="342">
        <v>0.25390000000000001</v>
      </c>
      <c r="F81" s="342">
        <v>0.25247999999999998</v>
      </c>
      <c r="G81" s="342">
        <v>7.5000000000000002E-4</v>
      </c>
      <c r="H81" s="342">
        <v>6.7000000000000002E-4</v>
      </c>
      <c r="I81"/>
      <c r="J81" s="342">
        <v>0.25390000000000001</v>
      </c>
      <c r="K81" s="342">
        <v>0.25247999999999998</v>
      </c>
      <c r="L81" s="342">
        <v>7.5000000000000002E-4</v>
      </c>
      <c r="M81" s="342">
        <v>6.7000000000000002E-4</v>
      </c>
      <c r="R81" s="2447"/>
      <c r="S81" s="464" t="s">
        <v>602</v>
      </c>
      <c r="T81" s="473">
        <v>2020</v>
      </c>
      <c r="U81" s="474">
        <v>43.905000000000001</v>
      </c>
      <c r="V81" s="474">
        <v>46.215000000000003</v>
      </c>
      <c r="W81" s="474">
        <v>799.36099999999999</v>
      </c>
      <c r="X81" s="474">
        <v>1251</v>
      </c>
      <c r="Y81" s="270"/>
      <c r="Z81" s="474">
        <v>12.196</v>
      </c>
      <c r="AA81" s="474">
        <v>12.837999999999999</v>
      </c>
      <c r="AB81" s="270"/>
      <c r="AC81" s="474">
        <v>9.7490000000000006</v>
      </c>
      <c r="AD81" s="474">
        <v>10.262</v>
      </c>
      <c r="AE81" s="270"/>
      <c r="AF81" s="463"/>
    </row>
    <row r="82" spans="2:32" ht="15" thickTop="1" thickBot="1" x14ac:dyDescent="0.5">
      <c r="B82" s="382"/>
      <c r="C82" s="385"/>
      <c r="D82" s="344" t="s">
        <v>890</v>
      </c>
      <c r="E82" s="342">
        <v>0.2412</v>
      </c>
      <c r="F82" s="342">
        <v>0.23985999999999999</v>
      </c>
      <c r="G82" s="342">
        <v>7.1000000000000002E-4</v>
      </c>
      <c r="H82" s="342">
        <v>6.4000000000000005E-4</v>
      </c>
      <c r="I82"/>
      <c r="J82" s="342">
        <v>0.2412</v>
      </c>
      <c r="K82" s="342">
        <v>0.23985999999999999</v>
      </c>
      <c r="L82" s="342">
        <v>7.1000000000000002E-4</v>
      </c>
      <c r="M82" s="342">
        <v>6.4000000000000005E-4</v>
      </c>
      <c r="R82" s="2447"/>
      <c r="S82" s="464" t="s">
        <v>1027</v>
      </c>
      <c r="T82" s="473">
        <v>2020</v>
      </c>
      <c r="U82" s="474">
        <v>43.889000000000003</v>
      </c>
      <c r="V82" s="474">
        <v>46.198</v>
      </c>
      <c r="W82" s="474">
        <v>802.56799999999998</v>
      </c>
      <c r="X82" s="474">
        <v>1246</v>
      </c>
      <c r="Y82" s="270"/>
      <c r="Z82" s="474">
        <v>12.191000000000001</v>
      </c>
      <c r="AA82" s="474">
        <v>12.833</v>
      </c>
      <c r="AB82" s="270"/>
      <c r="AC82" s="474">
        <v>9.7840000000000007</v>
      </c>
      <c r="AD82" s="474">
        <v>10.298999999999999</v>
      </c>
      <c r="AE82" s="270"/>
      <c r="AF82" s="463"/>
    </row>
    <row r="83" spans="2:32" ht="29.25" thickTop="1" thickBot="1" x14ac:dyDescent="0.5">
      <c r="B83" s="382"/>
      <c r="C83" s="383" t="s">
        <v>906</v>
      </c>
      <c r="D83" s="344" t="s">
        <v>888</v>
      </c>
      <c r="E83" s="381">
        <v>3221.37</v>
      </c>
      <c r="F83" s="381">
        <v>3209.38</v>
      </c>
      <c r="G83" s="381">
        <v>4.18</v>
      </c>
      <c r="H83" s="381">
        <v>7.81</v>
      </c>
      <c r="I83"/>
      <c r="J83" s="381">
        <v>3221.37</v>
      </c>
      <c r="K83" s="381">
        <v>3209.38</v>
      </c>
      <c r="L83" s="381">
        <v>4.18</v>
      </c>
      <c r="M83" s="381">
        <v>7.81</v>
      </c>
      <c r="R83" s="2447"/>
      <c r="S83" s="464" t="s">
        <v>594</v>
      </c>
      <c r="T83" s="473">
        <v>2020</v>
      </c>
      <c r="U83" s="474">
        <v>28.613</v>
      </c>
      <c r="V83" s="474">
        <v>30.119</v>
      </c>
      <c r="W83" s="474">
        <v>850</v>
      </c>
      <c r="X83" s="474">
        <v>1176.471</v>
      </c>
      <c r="Y83" s="270"/>
      <c r="Z83" s="474">
        <v>7.9480000000000004</v>
      </c>
      <c r="AA83" s="474">
        <v>8.3659999999999997</v>
      </c>
      <c r="AB83" s="270"/>
      <c r="AC83" s="474">
        <v>6.7560000000000002</v>
      </c>
      <c r="AD83" s="474">
        <v>7.1109999999999998</v>
      </c>
      <c r="AE83" s="270"/>
      <c r="AF83" s="463"/>
    </row>
    <row r="84" spans="2:32" ht="43.5" thickTop="1" thickBot="1" x14ac:dyDescent="0.5">
      <c r="B84" s="382"/>
      <c r="C84" s="384"/>
      <c r="D84" s="344" t="s">
        <v>748</v>
      </c>
      <c r="E84" s="342">
        <v>3.1831700000000001</v>
      </c>
      <c r="F84" s="342">
        <v>3.1713300000000002</v>
      </c>
      <c r="G84" s="342">
        <v>4.13E-3</v>
      </c>
      <c r="H84" s="342">
        <v>7.7099999999999998E-3</v>
      </c>
      <c r="I84"/>
      <c r="J84" s="342">
        <v>3.1831700000000001</v>
      </c>
      <c r="K84" s="342">
        <v>3.1713300000000002</v>
      </c>
      <c r="L84" s="342">
        <v>4.13E-3</v>
      </c>
      <c r="M84" s="342">
        <v>7.7099999999999998E-3</v>
      </c>
      <c r="R84" s="2447"/>
      <c r="S84" s="464" t="s">
        <v>913</v>
      </c>
      <c r="T84" s="473">
        <v>2020</v>
      </c>
      <c r="U84" s="474">
        <v>24.007999999999999</v>
      </c>
      <c r="V84" s="474">
        <v>25.271999999999998</v>
      </c>
      <c r="W84" s="475"/>
      <c r="X84" s="475"/>
      <c r="Y84" s="270"/>
      <c r="Z84" s="474">
        <v>6.6689999999999996</v>
      </c>
      <c r="AA84" s="474">
        <v>7.02</v>
      </c>
      <c r="AB84" s="270"/>
      <c r="AC84" s="475"/>
      <c r="AD84" s="476"/>
      <c r="AE84" s="270"/>
      <c r="AF84" s="477">
        <v>1</v>
      </c>
    </row>
    <row r="85" spans="2:32" ht="86.25" thickTop="1" thickBot="1" x14ac:dyDescent="0.5">
      <c r="B85" s="382"/>
      <c r="C85" s="384"/>
      <c r="D85" s="344" t="s">
        <v>889</v>
      </c>
      <c r="E85" s="342">
        <v>0.28483999999999998</v>
      </c>
      <c r="F85" s="342">
        <v>0.28377999999999998</v>
      </c>
      <c r="G85" s="342">
        <v>3.6999999999999999E-4</v>
      </c>
      <c r="H85" s="342">
        <v>6.8999999999999997E-4</v>
      </c>
      <c r="I85"/>
      <c r="J85" s="342">
        <v>0.28483999999999998</v>
      </c>
      <c r="K85" s="342">
        <v>0.28377999999999998</v>
      </c>
      <c r="L85" s="342">
        <v>3.6999999999999999E-4</v>
      </c>
      <c r="M85" s="342">
        <v>6.8999999999999997E-4</v>
      </c>
      <c r="R85" s="2447"/>
      <c r="S85" s="464" t="s">
        <v>914</v>
      </c>
      <c r="T85" s="473">
        <v>2020</v>
      </c>
      <c r="U85" s="474">
        <v>23.971</v>
      </c>
      <c r="V85" s="474">
        <v>25.231999999999999</v>
      </c>
      <c r="W85" s="475"/>
      <c r="X85" s="475"/>
      <c r="Y85" s="270"/>
      <c r="Z85" s="474">
        <v>6.6589999999999998</v>
      </c>
      <c r="AA85" s="474">
        <v>7.0090000000000003</v>
      </c>
      <c r="AB85" s="270"/>
      <c r="AC85" s="475"/>
      <c r="AD85" s="476"/>
      <c r="AE85" s="270"/>
      <c r="AF85" s="477">
        <v>2</v>
      </c>
    </row>
    <row r="86" spans="2:32" ht="29.25" thickTop="1" thickBot="1" x14ac:dyDescent="0.5">
      <c r="B86" s="382"/>
      <c r="C86" s="385"/>
      <c r="D86" s="344" t="s">
        <v>890</v>
      </c>
      <c r="E86" s="342">
        <v>0.26774999999999999</v>
      </c>
      <c r="F86" s="342">
        <v>0.26674999999999999</v>
      </c>
      <c r="G86" s="342">
        <v>3.5E-4</v>
      </c>
      <c r="H86" s="342">
        <v>6.4999999999999997E-4</v>
      </c>
      <c r="I86"/>
      <c r="J86" s="342">
        <v>0.26774999999999999</v>
      </c>
      <c r="K86" s="342">
        <v>0.26674999999999999</v>
      </c>
      <c r="L86" s="342">
        <v>3.5E-4</v>
      </c>
      <c r="M86" s="342">
        <v>6.4999999999999997E-4</v>
      </c>
      <c r="R86" s="2447"/>
      <c r="S86" s="464" t="s">
        <v>597</v>
      </c>
      <c r="T86" s="473">
        <v>2020</v>
      </c>
      <c r="U86" s="474">
        <v>25.405000000000001</v>
      </c>
      <c r="V86" s="474">
        <v>26.742000000000001</v>
      </c>
      <c r="W86" s="475"/>
      <c r="X86" s="475"/>
      <c r="Y86" s="270"/>
      <c r="Z86" s="474">
        <v>7.0570000000000004</v>
      </c>
      <c r="AA86" s="474">
        <v>7.4279999999999999</v>
      </c>
      <c r="AB86" s="270"/>
      <c r="AC86" s="475"/>
      <c r="AD86" s="476"/>
      <c r="AE86" s="270"/>
      <c r="AF86" s="463"/>
    </row>
    <row r="87" spans="2:32" ht="29.25" thickTop="1" thickBot="1" x14ac:dyDescent="0.5">
      <c r="B87" s="382"/>
      <c r="C87" s="383" t="s">
        <v>907</v>
      </c>
      <c r="D87" s="344" t="s">
        <v>888</v>
      </c>
      <c r="E87" s="381">
        <v>3229.34</v>
      </c>
      <c r="F87" s="381">
        <v>3190</v>
      </c>
      <c r="G87" s="381">
        <v>3.31</v>
      </c>
      <c r="H87" s="381">
        <v>36.03</v>
      </c>
      <c r="I87"/>
      <c r="J87" s="381">
        <v>3229.34</v>
      </c>
      <c r="K87" s="381">
        <v>3190</v>
      </c>
      <c r="L87" s="381">
        <v>3.31</v>
      </c>
      <c r="M87" s="381">
        <v>36.03</v>
      </c>
      <c r="R87" s="2447"/>
      <c r="S87" s="464" t="s">
        <v>1028</v>
      </c>
      <c r="T87" s="473">
        <v>2020</v>
      </c>
      <c r="U87" s="474">
        <v>30.24</v>
      </c>
      <c r="V87" s="474">
        <v>31.832000000000001</v>
      </c>
      <c r="W87" s="475"/>
      <c r="X87" s="475"/>
      <c r="Y87" s="270"/>
      <c r="Z87" s="474">
        <v>8.4</v>
      </c>
      <c r="AA87" s="474">
        <v>8.8420000000000005</v>
      </c>
      <c r="AB87" s="270"/>
      <c r="AC87" s="475"/>
      <c r="AD87" s="476"/>
      <c r="AE87" s="270"/>
      <c r="AF87" s="463"/>
    </row>
    <row r="88" spans="2:32" ht="43.5" thickTop="1" thickBot="1" x14ac:dyDescent="0.5">
      <c r="B88" s="382"/>
      <c r="C88" s="384"/>
      <c r="D88" s="344" t="s">
        <v>748</v>
      </c>
      <c r="E88" s="342">
        <v>2.7577600000000002</v>
      </c>
      <c r="F88" s="342">
        <v>2.72417</v>
      </c>
      <c r="G88" s="342">
        <v>2.82E-3</v>
      </c>
      <c r="H88" s="342">
        <v>3.0769999999999999E-2</v>
      </c>
      <c r="I88"/>
      <c r="J88" s="342">
        <v>2.7577600000000002</v>
      </c>
      <c r="K88" s="342">
        <v>2.72417</v>
      </c>
      <c r="L88" s="342">
        <v>2.82E-3</v>
      </c>
      <c r="M88" s="342">
        <v>3.0769999999999999E-2</v>
      </c>
      <c r="R88" s="2447"/>
      <c r="S88" s="464" t="s">
        <v>902</v>
      </c>
      <c r="T88" s="473">
        <v>2020</v>
      </c>
      <c r="U88" s="474">
        <v>42.927999999999997</v>
      </c>
      <c r="V88" s="474">
        <v>45.667999999999999</v>
      </c>
      <c r="W88" s="474">
        <v>838.22299999999996</v>
      </c>
      <c r="X88" s="474">
        <v>1193</v>
      </c>
      <c r="Y88" s="270"/>
      <c r="Z88" s="474">
        <v>11.925000000000001</v>
      </c>
      <c r="AA88" s="474">
        <v>12.686</v>
      </c>
      <c r="AB88" s="270"/>
      <c r="AC88" s="474">
        <v>9.9949999999999992</v>
      </c>
      <c r="AD88" s="474">
        <v>10.632999999999999</v>
      </c>
      <c r="AE88" s="270"/>
      <c r="AF88" s="463"/>
    </row>
    <row r="89" spans="2:32" ht="57.75" thickTop="1" thickBot="1" x14ac:dyDescent="0.5">
      <c r="B89" s="382"/>
      <c r="C89" s="384"/>
      <c r="D89" s="344" t="s">
        <v>889</v>
      </c>
      <c r="E89" s="342">
        <v>0.27310000000000001</v>
      </c>
      <c r="F89" s="342">
        <v>0.26978000000000002</v>
      </c>
      <c r="G89" s="342">
        <v>2.7999999999999998E-4</v>
      </c>
      <c r="H89" s="342">
        <v>3.0500000000000002E-3</v>
      </c>
      <c r="I89"/>
      <c r="J89" s="342">
        <v>0.27310000000000001</v>
      </c>
      <c r="K89" s="342">
        <v>0.26978000000000002</v>
      </c>
      <c r="L89" s="342">
        <v>2.7999999999999998E-4</v>
      </c>
      <c r="M89" s="342">
        <v>3.0500000000000002E-3</v>
      </c>
      <c r="R89" s="2447"/>
      <c r="S89" s="464" t="s">
        <v>901</v>
      </c>
      <c r="T89" s="473">
        <v>2020</v>
      </c>
      <c r="U89" s="474">
        <v>42.643000000000001</v>
      </c>
      <c r="V89" s="474">
        <v>45.320999999999998</v>
      </c>
      <c r="W89" s="474">
        <v>840.66099999999994</v>
      </c>
      <c r="X89" s="474">
        <v>1189.54</v>
      </c>
      <c r="Y89" s="270"/>
      <c r="Z89" s="474">
        <v>11.845000000000001</v>
      </c>
      <c r="AA89" s="474">
        <v>12.589</v>
      </c>
      <c r="AB89" s="270"/>
      <c r="AC89" s="474">
        <v>9.9580000000000002</v>
      </c>
      <c r="AD89" s="474">
        <v>10.583</v>
      </c>
      <c r="AE89" s="270"/>
      <c r="AF89" s="463"/>
    </row>
    <row r="90" spans="2:32" ht="15" thickTop="1" thickBot="1" x14ac:dyDescent="0.5">
      <c r="B90" s="382"/>
      <c r="C90" s="385"/>
      <c r="D90" s="344" t="s">
        <v>890</v>
      </c>
      <c r="E90" s="342">
        <v>0.25672</v>
      </c>
      <c r="F90" s="342">
        <v>0.25358999999999998</v>
      </c>
      <c r="G90" s="342">
        <v>2.5999999999999998E-4</v>
      </c>
      <c r="H90" s="342">
        <v>2.8600000000000001E-3</v>
      </c>
      <c r="I90"/>
      <c r="J90" s="342">
        <v>0.25672</v>
      </c>
      <c r="K90" s="342">
        <v>0.25358999999999998</v>
      </c>
      <c r="L90" s="342">
        <v>2.5999999999999998E-4</v>
      </c>
      <c r="M90" s="342">
        <v>2.8600000000000001E-3</v>
      </c>
      <c r="R90" s="2447"/>
      <c r="S90" s="464" t="s">
        <v>599</v>
      </c>
      <c r="T90" s="473">
        <v>2020</v>
      </c>
      <c r="U90" s="474">
        <v>40.713999999999999</v>
      </c>
      <c r="V90" s="474">
        <v>43.311999999999998</v>
      </c>
      <c r="W90" s="474">
        <v>988.14200000000005</v>
      </c>
      <c r="X90" s="474">
        <v>1012</v>
      </c>
      <c r="Y90" s="270"/>
      <c r="Z90" s="474">
        <v>11.308999999999999</v>
      </c>
      <c r="AA90" s="474">
        <v>12.031000000000001</v>
      </c>
      <c r="AB90" s="270"/>
      <c r="AC90" s="474">
        <v>11.175000000000001</v>
      </c>
      <c r="AD90" s="474">
        <v>11.888999999999999</v>
      </c>
      <c r="AE90" s="270"/>
      <c r="AF90" s="463"/>
    </row>
    <row r="91" spans="2:32" ht="15" thickTop="1" thickBot="1" x14ac:dyDescent="0.5">
      <c r="B91" s="382"/>
      <c r="C91" s="383" t="s">
        <v>908</v>
      </c>
      <c r="D91" s="344" t="s">
        <v>888</v>
      </c>
      <c r="E91" s="381">
        <v>2944.82</v>
      </c>
      <c r="F91" s="381">
        <v>2933.33</v>
      </c>
      <c r="G91" s="381">
        <v>3.39</v>
      </c>
      <c r="H91" s="381">
        <v>8.09</v>
      </c>
      <c r="I91"/>
      <c r="J91" s="381">
        <v>2944.82</v>
      </c>
      <c r="K91" s="381">
        <v>2933.33</v>
      </c>
      <c r="L91" s="381">
        <v>3.39</v>
      </c>
      <c r="M91" s="381">
        <v>8.09</v>
      </c>
      <c r="R91" s="2447"/>
      <c r="S91" s="464" t="s">
        <v>595</v>
      </c>
      <c r="T91" s="473">
        <v>2020</v>
      </c>
      <c r="U91" s="474">
        <v>42.569000000000003</v>
      </c>
      <c r="V91" s="474">
        <v>45.286000000000001</v>
      </c>
      <c r="W91" s="474">
        <v>853.971</v>
      </c>
      <c r="X91" s="474">
        <v>1171</v>
      </c>
      <c r="Y91" s="270"/>
      <c r="Z91" s="474">
        <v>11.824999999999999</v>
      </c>
      <c r="AA91" s="474">
        <v>12.579000000000001</v>
      </c>
      <c r="AB91" s="270"/>
      <c r="AC91" s="474">
        <v>10.098000000000001</v>
      </c>
      <c r="AD91" s="474">
        <v>10.742000000000001</v>
      </c>
      <c r="AE91" s="270"/>
      <c r="AF91" s="463"/>
    </row>
    <row r="92" spans="2:32" ht="15" thickTop="1" thickBot="1" x14ac:dyDescent="0.5">
      <c r="B92" s="382"/>
      <c r="C92" s="384"/>
      <c r="D92" s="344" t="s">
        <v>748</v>
      </c>
      <c r="E92" s="386"/>
      <c r="F92" s="386"/>
      <c r="G92" s="386"/>
      <c r="H92" s="386"/>
      <c r="I92"/>
      <c r="J92" s="386"/>
      <c r="K92" s="386"/>
      <c r="L92" s="386"/>
      <c r="M92" s="386"/>
      <c r="R92" s="2447"/>
      <c r="S92" s="464" t="s">
        <v>50</v>
      </c>
      <c r="T92" s="473">
        <v>2020</v>
      </c>
      <c r="U92" s="474">
        <v>40.713999999999999</v>
      </c>
      <c r="V92" s="474">
        <v>43.311999999999998</v>
      </c>
      <c r="W92" s="474">
        <v>866.55100000000004</v>
      </c>
      <c r="X92" s="474">
        <v>1154</v>
      </c>
      <c r="Y92" s="270"/>
      <c r="Z92" s="474">
        <v>11.308999999999999</v>
      </c>
      <c r="AA92" s="474">
        <v>12.031000000000001</v>
      </c>
      <c r="AB92" s="270"/>
      <c r="AC92" s="474">
        <v>9.8000000000000007</v>
      </c>
      <c r="AD92" s="474">
        <v>10.426</v>
      </c>
      <c r="AE92" s="270"/>
      <c r="AF92" s="463"/>
    </row>
    <row r="93" spans="2:32" ht="15" thickTop="1" thickBot="1" x14ac:dyDescent="0.5">
      <c r="B93" s="382"/>
      <c r="C93" s="384"/>
      <c r="D93" s="344" t="s">
        <v>889</v>
      </c>
      <c r="E93" s="342">
        <v>0.25966</v>
      </c>
      <c r="F93" s="342">
        <v>0.25863999999999998</v>
      </c>
      <c r="G93" s="342">
        <v>2.9999999999999997E-4</v>
      </c>
      <c r="H93" s="342">
        <v>7.1000000000000002E-4</v>
      </c>
      <c r="I93"/>
      <c r="J93" s="342">
        <v>0.25966</v>
      </c>
      <c r="K93" s="342">
        <v>0.25863999999999998</v>
      </c>
      <c r="L93" s="342">
        <v>2.9999999999999997E-4</v>
      </c>
      <c r="M93" s="342">
        <v>7.1000000000000002E-4</v>
      </c>
      <c r="R93" s="2447"/>
      <c r="S93" s="464" t="s">
        <v>607</v>
      </c>
      <c r="T93" s="473">
        <v>2020</v>
      </c>
      <c r="U93" s="474">
        <v>45.938000000000002</v>
      </c>
      <c r="V93" s="474">
        <v>49.326999999999998</v>
      </c>
      <c r="W93" s="474">
        <v>529.25</v>
      </c>
      <c r="X93" s="474">
        <v>1889.4649999999999</v>
      </c>
      <c r="Y93" s="270"/>
      <c r="Z93" s="474">
        <v>12.760999999999999</v>
      </c>
      <c r="AA93" s="474">
        <v>13.702</v>
      </c>
      <c r="AB93" s="270"/>
      <c r="AC93" s="474">
        <v>6.7539999999999996</v>
      </c>
      <c r="AD93" s="474">
        <v>7.2519999999999998</v>
      </c>
      <c r="AE93" s="270"/>
      <c r="AF93" s="463"/>
    </row>
    <row r="94" spans="2:32" ht="15" thickTop="1" thickBot="1" x14ac:dyDescent="0.5">
      <c r="B94" s="382"/>
      <c r="C94" s="385"/>
      <c r="D94" s="344" t="s">
        <v>890</v>
      </c>
      <c r="E94" s="342">
        <v>0.24667</v>
      </c>
      <c r="F94" s="342">
        <v>0.24571000000000001</v>
      </c>
      <c r="G94" s="342">
        <v>2.7999999999999998E-4</v>
      </c>
      <c r="H94" s="342">
        <v>6.8000000000000005E-4</v>
      </c>
      <c r="I94"/>
      <c r="J94" s="342">
        <v>0.24667</v>
      </c>
      <c r="K94" s="342">
        <v>0.24571000000000001</v>
      </c>
      <c r="L94" s="342">
        <v>2.7999999999999998E-4</v>
      </c>
      <c r="M94" s="342">
        <v>6.8000000000000005E-4</v>
      </c>
      <c r="R94" s="2447"/>
      <c r="S94" s="464" t="s">
        <v>38</v>
      </c>
      <c r="T94" s="473">
        <v>2020</v>
      </c>
      <c r="U94" s="474">
        <v>45.442</v>
      </c>
      <c r="V94" s="474">
        <v>47.834000000000003</v>
      </c>
      <c r="W94" s="474">
        <v>674.30899999999997</v>
      </c>
      <c r="X94" s="474">
        <v>1483</v>
      </c>
      <c r="Y94" s="270"/>
      <c r="Z94" s="474">
        <v>12.622999999999999</v>
      </c>
      <c r="AA94" s="474">
        <v>13.287000000000001</v>
      </c>
      <c r="AB94" s="270"/>
      <c r="AC94" s="474">
        <v>8.5120000000000005</v>
      </c>
      <c r="AD94" s="474">
        <v>8.9600000000000009</v>
      </c>
      <c r="AE94" s="270"/>
      <c r="AF94" s="463"/>
    </row>
    <row r="95" spans="2:32" ht="15" thickTop="1" thickBot="1" x14ac:dyDescent="0.5">
      <c r="B95" s="382"/>
      <c r="C95" s="383" t="s">
        <v>909</v>
      </c>
      <c r="D95" s="344" t="s">
        <v>888</v>
      </c>
      <c r="E95" s="381">
        <v>3224.58</v>
      </c>
      <c r="F95" s="381">
        <v>3171.09</v>
      </c>
      <c r="G95" s="381">
        <v>3.17</v>
      </c>
      <c r="H95" s="381">
        <v>50.33</v>
      </c>
      <c r="I95"/>
      <c r="J95" s="381">
        <v>3224.58</v>
      </c>
      <c r="K95" s="381">
        <v>3171.09</v>
      </c>
      <c r="L95" s="381">
        <v>3.17</v>
      </c>
      <c r="M95" s="381">
        <v>50.33</v>
      </c>
      <c r="R95" s="2447"/>
      <c r="S95" s="464" t="s">
        <v>300</v>
      </c>
      <c r="T95" s="473">
        <v>2020</v>
      </c>
      <c r="U95" s="474">
        <v>44.758000000000003</v>
      </c>
      <c r="V95" s="474">
        <v>49.594999999999999</v>
      </c>
      <c r="W95" s="474">
        <v>0.79900000000000004</v>
      </c>
      <c r="X95" s="474">
        <v>1252312.773</v>
      </c>
      <c r="Y95" s="270"/>
      <c r="Z95" s="474">
        <v>12.433</v>
      </c>
      <c r="AA95" s="474">
        <v>13.776</v>
      </c>
      <c r="AB95" s="270"/>
      <c r="AC95" s="474">
        <v>0.01</v>
      </c>
      <c r="AD95" s="474">
        <v>1.0999999999999999E-2</v>
      </c>
      <c r="AE95" s="270"/>
      <c r="AF95" s="463"/>
    </row>
    <row r="96" spans="2:32" ht="57.75" thickTop="1" thickBot="1" x14ac:dyDescent="0.5">
      <c r="B96" s="382"/>
      <c r="C96" s="384"/>
      <c r="D96" s="344" t="s">
        <v>748</v>
      </c>
      <c r="E96" s="386"/>
      <c r="F96" s="386"/>
      <c r="G96" s="386"/>
      <c r="H96" s="386"/>
      <c r="I96"/>
      <c r="J96" s="386"/>
      <c r="K96" s="386"/>
      <c r="L96" s="386"/>
      <c r="M96" s="386"/>
      <c r="R96" s="2447"/>
      <c r="S96" s="464" t="s">
        <v>1029</v>
      </c>
      <c r="T96" s="473">
        <v>2020</v>
      </c>
      <c r="U96" s="474">
        <v>44.758000000000003</v>
      </c>
      <c r="V96" s="474">
        <v>49.594999999999999</v>
      </c>
      <c r="W96" s="474">
        <v>0.79900000000000004</v>
      </c>
      <c r="X96" s="474">
        <v>1252312.773</v>
      </c>
      <c r="Y96" s="270"/>
      <c r="Z96" s="474">
        <v>12.433</v>
      </c>
      <c r="AA96" s="474">
        <v>13.776</v>
      </c>
      <c r="AB96" s="270"/>
      <c r="AC96" s="474">
        <v>0.01</v>
      </c>
      <c r="AD96" s="474">
        <v>1.0999999999999999E-2</v>
      </c>
      <c r="AE96" s="270"/>
      <c r="AF96" s="463"/>
    </row>
    <row r="97" spans="2:32" ht="43.5" thickTop="1" thickBot="1" x14ac:dyDescent="0.5">
      <c r="B97" s="382"/>
      <c r="C97" s="384"/>
      <c r="D97" s="344" t="s">
        <v>889</v>
      </c>
      <c r="E97" s="342">
        <v>0.27494000000000002</v>
      </c>
      <c r="F97" s="342">
        <v>0.27038000000000001</v>
      </c>
      <c r="G97" s="342">
        <v>2.7E-4</v>
      </c>
      <c r="H97" s="342">
        <v>4.2900000000000004E-3</v>
      </c>
      <c r="I97"/>
      <c r="J97" s="342">
        <v>0.27494000000000002</v>
      </c>
      <c r="K97" s="342">
        <v>0.27038000000000001</v>
      </c>
      <c r="L97" s="342">
        <v>2.7E-4</v>
      </c>
      <c r="M97" s="342">
        <v>4.2900000000000004E-3</v>
      </c>
      <c r="R97" s="2447"/>
      <c r="S97" s="478" t="s">
        <v>895</v>
      </c>
      <c r="T97" s="473">
        <v>2020</v>
      </c>
      <c r="U97" s="474">
        <v>46.601999999999997</v>
      </c>
      <c r="V97" s="474">
        <v>50.654000000000003</v>
      </c>
      <c r="W97" s="474">
        <v>366.3</v>
      </c>
      <c r="X97" s="474">
        <v>2730</v>
      </c>
      <c r="Y97" s="270"/>
      <c r="Z97" s="474">
        <v>12.945</v>
      </c>
      <c r="AA97" s="474">
        <v>14.071</v>
      </c>
      <c r="AB97" s="270"/>
      <c r="AC97" s="474">
        <v>4.742</v>
      </c>
      <c r="AD97" s="474">
        <v>5.1539999999999999</v>
      </c>
      <c r="AE97" s="270"/>
      <c r="AF97" s="463"/>
    </row>
    <row r="98" spans="2:32" ht="29.25" thickTop="1" thickBot="1" x14ac:dyDescent="0.5">
      <c r="B98" s="382"/>
      <c r="C98" s="385"/>
      <c r="D98" s="344" t="s">
        <v>890</v>
      </c>
      <c r="E98" s="342">
        <v>0.25674000000000002</v>
      </c>
      <c r="F98" s="342">
        <v>0.25247999999999998</v>
      </c>
      <c r="G98" s="342">
        <v>2.5000000000000001E-4</v>
      </c>
      <c r="H98" s="342">
        <v>4.0099999999999997E-3</v>
      </c>
      <c r="I98"/>
      <c r="J98" s="342">
        <v>0.25674000000000002</v>
      </c>
      <c r="K98" s="342">
        <v>0.25247999999999998</v>
      </c>
      <c r="L98" s="342">
        <v>2.5000000000000001E-4</v>
      </c>
      <c r="M98" s="342">
        <v>4.0099999999999997E-3</v>
      </c>
      <c r="R98" s="2447"/>
      <c r="S98" s="478" t="s">
        <v>30</v>
      </c>
      <c r="T98" s="473">
        <v>2020</v>
      </c>
      <c r="U98" s="474">
        <v>33.972000000000001</v>
      </c>
      <c r="V98" s="474">
        <v>35.76</v>
      </c>
      <c r="W98" s="475"/>
      <c r="X98" s="475"/>
      <c r="Y98" s="270"/>
      <c r="Z98" s="474">
        <v>9.4369999999999994</v>
      </c>
      <c r="AA98" s="474">
        <v>9.9329999999999998</v>
      </c>
      <c r="AB98" s="270"/>
      <c r="AC98" s="476"/>
      <c r="AD98" s="476"/>
      <c r="AE98" s="270"/>
      <c r="AF98" s="463"/>
    </row>
    <row r="99" spans="2:32" ht="43.5" thickTop="1" thickBot="1" x14ac:dyDescent="0.5">
      <c r="B99" s="382"/>
      <c r="C99" s="383" t="s">
        <v>910</v>
      </c>
      <c r="D99" s="344" t="s">
        <v>888</v>
      </c>
      <c r="E99" s="381">
        <v>3249.99</v>
      </c>
      <c r="F99" s="381">
        <v>3205.99</v>
      </c>
      <c r="G99" s="381">
        <v>0.81</v>
      </c>
      <c r="H99" s="381">
        <v>43.2</v>
      </c>
      <c r="I99"/>
      <c r="J99" s="381">
        <v>3249.99</v>
      </c>
      <c r="K99" s="381">
        <v>3205.99</v>
      </c>
      <c r="L99" s="381">
        <v>0.81</v>
      </c>
      <c r="M99" s="381">
        <v>43.2</v>
      </c>
      <c r="R99" s="2447"/>
      <c r="S99" s="478" t="s">
        <v>905</v>
      </c>
      <c r="T99" s="473">
        <v>2020</v>
      </c>
      <c r="U99" s="474">
        <v>44.7</v>
      </c>
      <c r="V99" s="474">
        <v>47.052999999999997</v>
      </c>
      <c r="W99" s="474">
        <v>734.21400000000006</v>
      </c>
      <c r="X99" s="474">
        <v>1362</v>
      </c>
      <c r="Y99" s="270"/>
      <c r="Z99" s="474">
        <v>12.417</v>
      </c>
      <c r="AA99" s="474">
        <v>13.07</v>
      </c>
      <c r="AB99" s="270"/>
      <c r="AC99" s="474">
        <v>9.1170000000000009</v>
      </c>
      <c r="AD99" s="474">
        <v>9.5960000000000001</v>
      </c>
      <c r="AE99" s="270"/>
      <c r="AF99" s="463"/>
    </row>
    <row r="100" spans="2:32" ht="57.75" thickTop="1" thickBot="1" x14ac:dyDescent="0.5">
      <c r="B100" s="382"/>
      <c r="C100" s="384"/>
      <c r="D100" s="344" t="s">
        <v>748</v>
      </c>
      <c r="E100" s="342">
        <v>2.7753999999999999</v>
      </c>
      <c r="F100" s="342">
        <v>2.7378200000000001</v>
      </c>
      <c r="G100" s="342">
        <v>6.8999999999999997E-4</v>
      </c>
      <c r="H100" s="342">
        <v>3.6889999999999999E-2</v>
      </c>
      <c r="I100"/>
      <c r="J100" s="342">
        <v>2.7753999999999999</v>
      </c>
      <c r="K100" s="342">
        <v>2.7378200000000001</v>
      </c>
      <c r="L100" s="342">
        <v>6.8999999999999997E-4</v>
      </c>
      <c r="M100" s="342">
        <v>3.6889999999999999E-2</v>
      </c>
      <c r="R100" s="2447"/>
      <c r="S100" s="479" t="s">
        <v>904</v>
      </c>
      <c r="T100" s="473">
        <v>2020</v>
      </c>
      <c r="U100" s="474">
        <v>43.831000000000003</v>
      </c>
      <c r="V100" s="474">
        <v>46.210999999999999</v>
      </c>
      <c r="W100" s="474">
        <v>736.90800000000002</v>
      </c>
      <c r="X100" s="474">
        <v>1357.021</v>
      </c>
      <c r="Y100" s="270"/>
      <c r="Z100" s="474">
        <v>12.175000000000001</v>
      </c>
      <c r="AA100" s="474">
        <v>12.836</v>
      </c>
      <c r="AB100" s="270"/>
      <c r="AC100" s="474">
        <v>8.9719999999999995</v>
      </c>
      <c r="AD100" s="474">
        <v>9.4589999999999996</v>
      </c>
      <c r="AE100" s="270"/>
      <c r="AF100" s="463"/>
    </row>
    <row r="101" spans="2:32" ht="15" thickTop="1" thickBot="1" x14ac:dyDescent="0.5">
      <c r="B101" s="382"/>
      <c r="C101" s="384"/>
      <c r="D101" s="344" t="s">
        <v>889</v>
      </c>
      <c r="E101" s="342">
        <v>0.27484999999999998</v>
      </c>
      <c r="F101" s="342">
        <v>0.27112999999999998</v>
      </c>
      <c r="G101" s="342">
        <v>6.9999999999999994E-5</v>
      </c>
      <c r="H101" s="342">
        <v>3.65E-3</v>
      </c>
      <c r="I101"/>
      <c r="J101" s="342">
        <v>0.27484999999999998</v>
      </c>
      <c r="K101" s="342">
        <v>0.27112999999999998</v>
      </c>
      <c r="L101" s="342">
        <v>6.9999999999999994E-5</v>
      </c>
      <c r="M101" s="342">
        <v>3.65E-3</v>
      </c>
      <c r="R101" s="2448"/>
      <c r="S101" s="479" t="s">
        <v>909</v>
      </c>
      <c r="T101" s="473">
        <v>2020</v>
      </c>
      <c r="U101" s="480">
        <v>42.222000000000001</v>
      </c>
      <c r="V101" s="481">
        <v>45.215000000000003</v>
      </c>
      <c r="W101" s="482">
        <v>853.971</v>
      </c>
      <c r="X101" s="480">
        <v>1171</v>
      </c>
      <c r="Y101" s="270"/>
      <c r="Z101" s="480">
        <v>11.728</v>
      </c>
      <c r="AA101" s="481">
        <v>12.56</v>
      </c>
      <c r="AB101" s="270"/>
      <c r="AC101" s="480">
        <v>10.016</v>
      </c>
      <c r="AD101" s="481">
        <v>10.726000000000001</v>
      </c>
      <c r="AE101" s="270"/>
      <c r="AF101" s="463"/>
    </row>
    <row r="102" spans="2:32" ht="15" thickTop="1" thickBot="1" x14ac:dyDescent="0.5">
      <c r="B102" s="382"/>
      <c r="C102" s="385"/>
      <c r="D102" s="344" t="s">
        <v>890</v>
      </c>
      <c r="E102" s="342">
        <v>0.25835999999999998</v>
      </c>
      <c r="F102" s="342">
        <v>0.25485999999999998</v>
      </c>
      <c r="G102" s="342">
        <v>6.0000000000000002E-5</v>
      </c>
      <c r="H102" s="342">
        <v>3.4299999999999999E-3</v>
      </c>
      <c r="I102"/>
      <c r="J102" s="342">
        <v>0.25835999999999998</v>
      </c>
      <c r="K102" s="342">
        <v>0.25485999999999998</v>
      </c>
      <c r="L102" s="342">
        <v>6.0000000000000002E-5</v>
      </c>
      <c r="M102" s="342">
        <v>3.4299999999999999E-3</v>
      </c>
      <c r="R102" s="271"/>
      <c r="S102" s="483"/>
      <c r="T102" s="484"/>
      <c r="U102" s="485"/>
      <c r="V102" s="485"/>
      <c r="W102" s="486"/>
      <c r="X102" s="487"/>
      <c r="Y102" s="271"/>
      <c r="Z102" s="485"/>
      <c r="AA102" s="485"/>
      <c r="AB102" s="271"/>
      <c r="AC102" s="271"/>
      <c r="AD102" s="271"/>
      <c r="AE102" s="271"/>
      <c r="AF102" s="488"/>
    </row>
    <row r="103" spans="2:32" ht="14.65" thickTop="1" x14ac:dyDescent="0.45">
      <c r="B103" s="382"/>
      <c r="C103" s="383" t="s">
        <v>911</v>
      </c>
      <c r="D103" s="344" t="s">
        <v>888</v>
      </c>
      <c r="E103" s="381">
        <v>3159.5</v>
      </c>
      <c r="F103" s="381">
        <v>3113.99</v>
      </c>
      <c r="G103" s="381">
        <v>1.27</v>
      </c>
      <c r="H103" s="381">
        <v>44.24</v>
      </c>
      <c r="I103"/>
      <c r="J103" s="381">
        <v>3159.5</v>
      </c>
      <c r="K103" s="381">
        <v>3113.99</v>
      </c>
      <c r="L103" s="381">
        <v>1.27</v>
      </c>
      <c r="M103" s="381">
        <v>44.24</v>
      </c>
      <c r="R103" s="270"/>
      <c r="S103" s="2545"/>
      <c r="T103" s="464" t="s">
        <v>588</v>
      </c>
      <c r="U103" s="464" t="s">
        <v>1017</v>
      </c>
      <c r="V103" s="464" t="s">
        <v>1018</v>
      </c>
      <c r="W103" s="464" t="s">
        <v>1019</v>
      </c>
      <c r="X103" s="464" t="s">
        <v>1020</v>
      </c>
      <c r="Y103" s="270"/>
      <c r="Z103" s="464" t="s">
        <v>1017</v>
      </c>
      <c r="AA103" s="1955" t="s">
        <v>1018</v>
      </c>
      <c r="AB103" s="270"/>
      <c r="AC103" s="1955" t="s">
        <v>1017</v>
      </c>
      <c r="AD103" s="464" t="s">
        <v>1018</v>
      </c>
      <c r="AE103" s="270"/>
      <c r="AF103" s="463"/>
    </row>
    <row r="104" spans="2:32" ht="16.149999999999999" thickBot="1" x14ac:dyDescent="0.5">
      <c r="B104" s="382"/>
      <c r="C104" s="384"/>
      <c r="D104" s="344" t="s">
        <v>748</v>
      </c>
      <c r="E104" s="342">
        <v>3.1220400000000001</v>
      </c>
      <c r="F104" s="342">
        <v>3.07707</v>
      </c>
      <c r="G104" s="342">
        <v>1.2600000000000001E-3</v>
      </c>
      <c r="H104" s="342">
        <v>4.3720000000000002E-2</v>
      </c>
      <c r="I104"/>
      <c r="J104" s="342">
        <v>3.1220400000000001</v>
      </c>
      <c r="K104" s="342">
        <v>3.07707</v>
      </c>
      <c r="L104" s="342">
        <v>1.2600000000000001E-3</v>
      </c>
      <c r="M104" s="342">
        <v>4.3720000000000002E-2</v>
      </c>
      <c r="R104" s="270"/>
      <c r="S104" s="2545"/>
      <c r="T104" s="466"/>
      <c r="U104" s="466" t="s">
        <v>1021</v>
      </c>
      <c r="V104" s="466" t="s">
        <v>1021</v>
      </c>
      <c r="W104" s="466" t="s">
        <v>1030</v>
      </c>
      <c r="X104" s="489" t="s">
        <v>1023</v>
      </c>
      <c r="Y104" s="270"/>
      <c r="Z104" s="467" t="s">
        <v>1024</v>
      </c>
      <c r="AA104" s="1956" t="s">
        <v>1024</v>
      </c>
      <c r="AB104" s="270"/>
      <c r="AC104" s="1956" t="s">
        <v>753</v>
      </c>
      <c r="AD104" s="467" t="s">
        <v>753</v>
      </c>
      <c r="AE104" s="270"/>
      <c r="AF104" s="463"/>
    </row>
    <row r="105" spans="2:32" ht="29.25" thickTop="1" thickBot="1" x14ac:dyDescent="0.5">
      <c r="B105" s="382"/>
      <c r="C105" s="384"/>
      <c r="D105" s="344" t="s">
        <v>889</v>
      </c>
      <c r="E105" s="342">
        <v>0.27937000000000001</v>
      </c>
      <c r="F105" s="342">
        <v>0.27534999999999998</v>
      </c>
      <c r="G105" s="342">
        <v>1.1E-4</v>
      </c>
      <c r="H105" s="342">
        <v>3.9100000000000003E-3</v>
      </c>
      <c r="I105"/>
      <c r="J105" s="342">
        <v>0.27937000000000001</v>
      </c>
      <c r="K105" s="342">
        <v>0.27534999999999998</v>
      </c>
      <c r="L105" s="342">
        <v>1.1E-4</v>
      </c>
      <c r="M105" s="342">
        <v>3.9100000000000003E-3</v>
      </c>
      <c r="R105" s="2446" t="s">
        <v>1031</v>
      </c>
      <c r="S105" s="479" t="s">
        <v>1032</v>
      </c>
      <c r="T105" s="471">
        <v>2020</v>
      </c>
      <c r="U105" s="474">
        <v>37.200000000000003</v>
      </c>
      <c r="V105" s="474">
        <v>38.700000000000003</v>
      </c>
      <c r="W105" s="474">
        <v>890</v>
      </c>
      <c r="X105" s="490">
        <v>1123.596</v>
      </c>
      <c r="Y105" s="491"/>
      <c r="Z105" s="474">
        <v>10.333</v>
      </c>
      <c r="AA105" s="474">
        <v>10.75</v>
      </c>
      <c r="AB105" s="270"/>
      <c r="AC105" s="472">
        <v>9.1969999999999992</v>
      </c>
      <c r="AD105" s="472">
        <v>9.5679999999999996</v>
      </c>
      <c r="AE105" s="270"/>
      <c r="AF105" s="463"/>
    </row>
    <row r="106" spans="2:32" ht="29.25" thickTop="1" thickBot="1" x14ac:dyDescent="0.5">
      <c r="B106" s="400"/>
      <c r="C106" s="385"/>
      <c r="D106" s="344" t="s">
        <v>890</v>
      </c>
      <c r="E106" s="342">
        <v>0.26261000000000001</v>
      </c>
      <c r="F106" s="342">
        <v>0.25883</v>
      </c>
      <c r="G106" s="342">
        <v>1.1E-4</v>
      </c>
      <c r="H106" s="342">
        <v>3.6800000000000001E-3</v>
      </c>
      <c r="I106"/>
      <c r="J106" s="342">
        <v>0.26261000000000001</v>
      </c>
      <c r="K106" s="342">
        <v>0.25883</v>
      </c>
      <c r="L106" s="342">
        <v>1.1E-4</v>
      </c>
      <c r="M106" s="342">
        <v>3.6800000000000001E-3</v>
      </c>
      <c r="R106" s="2447"/>
      <c r="S106" s="464" t="s">
        <v>1033</v>
      </c>
      <c r="T106" s="473">
        <v>2020</v>
      </c>
      <c r="U106" s="474">
        <v>44</v>
      </c>
      <c r="V106" s="474">
        <v>45.774000000000001</v>
      </c>
      <c r="W106" s="474">
        <v>780</v>
      </c>
      <c r="X106" s="490">
        <v>1282.0509999999999</v>
      </c>
      <c r="Y106" s="491"/>
      <c r="Z106" s="474">
        <v>12.222</v>
      </c>
      <c r="AA106" s="474">
        <v>12.715</v>
      </c>
      <c r="AB106" s="270"/>
      <c r="AC106" s="474">
        <v>9.5329999999999995</v>
      </c>
      <c r="AD106" s="474">
        <v>9.9179999999999993</v>
      </c>
      <c r="AE106" s="270"/>
      <c r="AF106" s="463"/>
    </row>
    <row r="107" spans="2:32" ht="15" thickTop="1" thickBot="1" x14ac:dyDescent="0.5">
      <c r="B107" s="1979" t="s">
        <v>1014</v>
      </c>
      <c r="R107" s="2447"/>
      <c r="S107" s="464" t="s">
        <v>1034</v>
      </c>
      <c r="T107" s="473">
        <v>2020</v>
      </c>
      <c r="U107" s="474">
        <v>26.8</v>
      </c>
      <c r="V107" s="474">
        <v>29.7</v>
      </c>
      <c r="W107" s="474">
        <v>794</v>
      </c>
      <c r="X107" s="490">
        <v>1259.4459999999999</v>
      </c>
      <c r="Y107" s="491"/>
      <c r="Z107" s="474">
        <v>7.444</v>
      </c>
      <c r="AA107" s="474">
        <v>8.25</v>
      </c>
      <c r="AB107" s="270"/>
      <c r="AC107" s="474">
        <v>5.9109999999999996</v>
      </c>
      <c r="AD107" s="474">
        <v>6.5510000000000002</v>
      </c>
      <c r="AE107" s="270"/>
      <c r="AF107" s="463"/>
    </row>
    <row r="108" spans="2:32" ht="15" thickTop="1" thickBot="1" x14ac:dyDescent="0.5">
      <c r="R108" s="2447"/>
      <c r="S108" s="464" t="s">
        <v>1035</v>
      </c>
      <c r="T108" s="473">
        <v>2020</v>
      </c>
      <c r="U108" s="474">
        <v>36.299999999999997</v>
      </c>
      <c r="V108" s="474">
        <v>39.628999999999998</v>
      </c>
      <c r="W108" s="474">
        <v>750</v>
      </c>
      <c r="X108" s="490">
        <v>1333.3330000000001</v>
      </c>
      <c r="Y108" s="491"/>
      <c r="Z108" s="474">
        <v>10.083</v>
      </c>
      <c r="AA108" s="474">
        <v>11.007999999999999</v>
      </c>
      <c r="AB108" s="270"/>
      <c r="AC108" s="474">
        <v>7.5629999999999997</v>
      </c>
      <c r="AD108" s="474">
        <v>8.2560000000000002</v>
      </c>
      <c r="AE108" s="270"/>
      <c r="AF108" s="463"/>
    </row>
    <row r="109" spans="2:32" ht="16.5" thickTop="1" thickBot="1" x14ac:dyDescent="0.6">
      <c r="B109" s="343" t="s">
        <v>882</v>
      </c>
      <c r="C109" s="343" t="s">
        <v>883</v>
      </c>
      <c r="D109" s="343" t="s">
        <v>807</v>
      </c>
      <c r="E109"/>
      <c r="F109"/>
      <c r="G109"/>
      <c r="H109"/>
      <c r="I109"/>
      <c r="J109" s="378" t="s">
        <v>884</v>
      </c>
      <c r="K109" s="378" t="s">
        <v>885</v>
      </c>
      <c r="L109" s="345" t="s">
        <v>886</v>
      </c>
      <c r="M109" s="345" t="s">
        <v>887</v>
      </c>
      <c r="R109" s="2447"/>
      <c r="S109" s="464" t="s">
        <v>1036</v>
      </c>
      <c r="T109" s="473">
        <v>2020</v>
      </c>
      <c r="U109" s="474">
        <v>20</v>
      </c>
      <c r="V109" s="474">
        <v>22.161999999999999</v>
      </c>
      <c r="W109" s="474">
        <v>1.1499999999999999</v>
      </c>
      <c r="X109" s="490">
        <v>869565.21699999995</v>
      </c>
      <c r="Y109" s="491"/>
      <c r="Z109" s="474">
        <v>5.556</v>
      </c>
      <c r="AA109" s="474">
        <v>6.1559999999999997</v>
      </c>
      <c r="AB109" s="270"/>
      <c r="AC109" s="474">
        <v>6.0000000000000001E-3</v>
      </c>
      <c r="AD109" s="474">
        <v>7.0000000000000001E-3</v>
      </c>
      <c r="AE109" s="270"/>
      <c r="AF109" s="463"/>
    </row>
    <row r="110" spans="2:32" ht="15" thickTop="1" thickBot="1" x14ac:dyDescent="0.5">
      <c r="B110" s="380" t="s">
        <v>912</v>
      </c>
      <c r="C110" s="401" t="s">
        <v>597</v>
      </c>
      <c r="D110" s="344" t="s">
        <v>888</v>
      </c>
      <c r="E110"/>
      <c r="F110"/>
      <c r="G110"/>
      <c r="H110"/>
      <c r="I110"/>
      <c r="J110" s="381">
        <v>2380.0100000000002</v>
      </c>
      <c r="K110" s="381">
        <v>2354.5500000000002</v>
      </c>
      <c r="L110" s="381">
        <v>9.66</v>
      </c>
      <c r="M110" s="381">
        <v>15.8</v>
      </c>
      <c r="R110" s="2447"/>
      <c r="S110" s="464" t="s">
        <v>1037</v>
      </c>
      <c r="T110" s="473">
        <v>2020</v>
      </c>
      <c r="U110" s="474">
        <v>49</v>
      </c>
      <c r="V110" s="474">
        <v>54.295999999999999</v>
      </c>
      <c r="W110" s="474">
        <v>0.72499999999999998</v>
      </c>
      <c r="X110" s="490">
        <v>1379355.673</v>
      </c>
      <c r="Y110" s="491"/>
      <c r="Z110" s="474">
        <v>13.611000000000001</v>
      </c>
      <c r="AA110" s="474">
        <v>15.082000000000001</v>
      </c>
      <c r="AB110" s="270"/>
      <c r="AC110" s="474">
        <v>0.01</v>
      </c>
      <c r="AD110" s="474">
        <v>1.0999999999999999E-2</v>
      </c>
      <c r="AE110" s="270"/>
      <c r="AF110" s="463"/>
    </row>
    <row r="111" spans="2:32" ht="15" thickTop="1" thickBot="1" x14ac:dyDescent="0.5">
      <c r="B111" s="382"/>
      <c r="C111" s="402"/>
      <c r="D111" s="344" t="s">
        <v>889</v>
      </c>
      <c r="E111"/>
      <c r="F111"/>
      <c r="G111"/>
      <c r="H111"/>
      <c r="I111"/>
      <c r="J111" s="342">
        <v>0.33726</v>
      </c>
      <c r="K111" s="342">
        <v>0.33365</v>
      </c>
      <c r="L111" s="342">
        <v>1.3699999999999999E-3</v>
      </c>
      <c r="M111" s="342">
        <v>2.2399999999999998E-3</v>
      </c>
      <c r="R111" s="2447"/>
      <c r="S111" s="464" t="s">
        <v>892</v>
      </c>
      <c r="T111" s="473">
        <v>2020</v>
      </c>
      <c r="U111" s="474">
        <v>44.758000000000003</v>
      </c>
      <c r="V111" s="474">
        <v>49.594999999999999</v>
      </c>
      <c r="W111" s="474">
        <v>175</v>
      </c>
      <c r="X111" s="490">
        <v>5714.2860000000001</v>
      </c>
      <c r="Y111" s="491"/>
      <c r="Z111" s="474">
        <v>12.433</v>
      </c>
      <c r="AA111" s="474">
        <v>13.776</v>
      </c>
      <c r="AB111" s="270"/>
      <c r="AC111" s="474">
        <v>2.1760000000000002</v>
      </c>
      <c r="AD111" s="474">
        <v>2.411</v>
      </c>
      <c r="AE111" s="270"/>
      <c r="AF111" s="463"/>
    </row>
    <row r="112" spans="2:32" ht="29.25" thickTop="1" thickBot="1" x14ac:dyDescent="0.5">
      <c r="B112" s="382"/>
      <c r="C112" s="403"/>
      <c r="D112" s="344" t="s">
        <v>890</v>
      </c>
      <c r="E112"/>
      <c r="F112"/>
      <c r="G112"/>
      <c r="H112"/>
      <c r="I112"/>
      <c r="J112" s="342">
        <v>0.32040000000000002</v>
      </c>
      <c r="K112" s="342">
        <v>0.31696999999999997</v>
      </c>
      <c r="L112" s="342">
        <v>1.2999999999999999E-3</v>
      </c>
      <c r="M112" s="342">
        <v>2.1299999999999999E-3</v>
      </c>
      <c r="R112" s="2447"/>
      <c r="S112" s="464" t="s">
        <v>1038</v>
      </c>
      <c r="T112" s="473">
        <v>2020</v>
      </c>
      <c r="U112" s="474">
        <v>13.468</v>
      </c>
      <c r="V112" s="474">
        <v>15.845000000000001</v>
      </c>
      <c r="W112" s="474">
        <v>160</v>
      </c>
      <c r="X112" s="490">
        <v>6250</v>
      </c>
      <c r="Y112" s="491"/>
      <c r="Z112" s="474">
        <v>3.7410000000000001</v>
      </c>
      <c r="AA112" s="474">
        <v>4.4009999999999998</v>
      </c>
      <c r="AB112" s="270"/>
      <c r="AC112" s="476"/>
      <c r="AD112" s="476"/>
      <c r="AE112" s="270"/>
      <c r="AF112" s="463"/>
    </row>
    <row r="113" spans="2:35" ht="29.25" thickTop="1" thickBot="1" x14ac:dyDescent="0.5">
      <c r="B113" s="382"/>
      <c r="C113" s="401" t="s">
        <v>913</v>
      </c>
      <c r="D113" s="344" t="s">
        <v>888</v>
      </c>
      <c r="E113"/>
      <c r="F113"/>
      <c r="G113"/>
      <c r="H113"/>
      <c r="I113"/>
      <c r="J113" s="381">
        <v>2222.94</v>
      </c>
      <c r="K113" s="381">
        <v>2209.75</v>
      </c>
      <c r="L113" s="381">
        <v>0.6</v>
      </c>
      <c r="M113" s="381">
        <v>12.59</v>
      </c>
      <c r="R113" s="2447"/>
      <c r="S113" s="464" t="s">
        <v>1039</v>
      </c>
      <c r="T113" s="473">
        <v>2020</v>
      </c>
      <c r="U113" s="474">
        <v>12.3</v>
      </c>
      <c r="V113" s="474">
        <v>13.629</v>
      </c>
      <c r="W113" s="474">
        <v>1.3</v>
      </c>
      <c r="X113" s="490">
        <v>769230.76899999997</v>
      </c>
      <c r="Y113" s="491"/>
      <c r="Z113" s="474">
        <v>3.4169999999999998</v>
      </c>
      <c r="AA113" s="474">
        <v>3.786</v>
      </c>
      <c r="AB113" s="270"/>
      <c r="AC113" s="474">
        <v>4.0000000000000001E-3</v>
      </c>
      <c r="AD113" s="474">
        <v>5.0000000000000001E-3</v>
      </c>
      <c r="AE113" s="270"/>
      <c r="AF113" s="463"/>
    </row>
    <row r="114" spans="2:35" ht="15" thickTop="1" thickBot="1" x14ac:dyDescent="0.5">
      <c r="B114" s="382"/>
      <c r="C114" s="402"/>
      <c r="D114" s="344" t="s">
        <v>889</v>
      </c>
      <c r="E114"/>
      <c r="F114"/>
      <c r="G114"/>
      <c r="H114"/>
      <c r="I114"/>
      <c r="J114" s="342">
        <v>0.33333000000000002</v>
      </c>
      <c r="K114" s="342">
        <v>0.33134999999999998</v>
      </c>
      <c r="L114" s="342">
        <v>9.0000000000000006E-5</v>
      </c>
      <c r="M114" s="342">
        <v>1.89E-3</v>
      </c>
      <c r="R114" s="2447"/>
      <c r="S114" s="464" t="s">
        <v>893</v>
      </c>
      <c r="T114" s="473">
        <v>2020</v>
      </c>
      <c r="U114" s="474">
        <v>44.758000000000003</v>
      </c>
      <c r="V114" s="474">
        <v>49.594999999999999</v>
      </c>
      <c r="W114" s="474">
        <v>452.48899999999998</v>
      </c>
      <c r="X114" s="490">
        <v>2210</v>
      </c>
      <c r="Y114" s="491"/>
      <c r="Z114" s="474">
        <v>12.433</v>
      </c>
      <c r="AA114" s="474">
        <v>13.776</v>
      </c>
      <c r="AB114" s="270"/>
      <c r="AC114" s="474">
        <v>5.6260000000000003</v>
      </c>
      <c r="AD114" s="474">
        <v>6.234</v>
      </c>
      <c r="AE114" s="270"/>
      <c r="AF114" s="463"/>
    </row>
    <row r="115" spans="2:35" ht="15" thickTop="1" thickBot="1" x14ac:dyDescent="0.5">
      <c r="B115" s="382"/>
      <c r="C115" s="403"/>
      <c r="D115" s="344" t="s">
        <v>890</v>
      </c>
      <c r="E115"/>
      <c r="F115"/>
      <c r="G115"/>
      <c r="H115"/>
      <c r="I115"/>
      <c r="J115" s="342">
        <v>0.31666</v>
      </c>
      <c r="K115" s="342">
        <v>0.31478</v>
      </c>
      <c r="L115" s="342">
        <v>9.0000000000000006E-5</v>
      </c>
      <c r="M115" s="342">
        <v>1.7899999999999999E-3</v>
      </c>
      <c r="R115" s="2447"/>
      <c r="S115" s="464" t="s">
        <v>1040</v>
      </c>
      <c r="T115" s="473">
        <v>2020</v>
      </c>
      <c r="U115" s="474">
        <v>13.6</v>
      </c>
      <c r="V115" s="474">
        <v>14.760999999999999</v>
      </c>
      <c r="W115" s="474">
        <v>253</v>
      </c>
      <c r="X115" s="490">
        <v>3952.569</v>
      </c>
      <c r="Y115" s="270"/>
      <c r="Z115" s="474">
        <v>3.778</v>
      </c>
      <c r="AA115" s="474">
        <v>4.0999999999999996</v>
      </c>
      <c r="AB115" s="270"/>
      <c r="AC115" s="492"/>
      <c r="AD115" s="476"/>
      <c r="AE115" s="270"/>
      <c r="AF115" s="463"/>
    </row>
    <row r="116" spans="2:35" ht="15" thickTop="1" thickBot="1" x14ac:dyDescent="0.5">
      <c r="B116" s="382"/>
      <c r="C116" s="401" t="s">
        <v>594</v>
      </c>
      <c r="D116" s="344" t="s">
        <v>888</v>
      </c>
      <c r="E116"/>
      <c r="F116"/>
      <c r="G116"/>
      <c r="H116"/>
      <c r="I116"/>
      <c r="J116" s="381">
        <v>2883.26</v>
      </c>
      <c r="K116" s="381">
        <v>2632</v>
      </c>
      <c r="L116" s="381">
        <v>214.6</v>
      </c>
      <c r="M116" s="381">
        <v>36.659999999999997</v>
      </c>
      <c r="R116" s="2447"/>
      <c r="S116" s="464" t="s">
        <v>1041</v>
      </c>
      <c r="T116" s="473">
        <v>2020</v>
      </c>
      <c r="U116" s="474">
        <v>14.71</v>
      </c>
      <c r="V116" s="474">
        <v>16.256</v>
      </c>
      <c r="W116" s="474">
        <v>425</v>
      </c>
      <c r="X116" s="490">
        <v>2352.9409999999998</v>
      </c>
      <c r="Y116" s="270"/>
      <c r="Z116" s="474">
        <v>4.0860000000000003</v>
      </c>
      <c r="AA116" s="474">
        <v>4.516</v>
      </c>
      <c r="AB116" s="270"/>
      <c r="AC116" s="493"/>
      <c r="AD116" s="494"/>
      <c r="AE116" s="270"/>
      <c r="AF116" s="463"/>
    </row>
    <row r="117" spans="2:35" ht="15" thickTop="1" thickBot="1" x14ac:dyDescent="0.5">
      <c r="B117" s="382"/>
      <c r="C117" s="402"/>
      <c r="D117" s="344" t="s">
        <v>889</v>
      </c>
      <c r="E117"/>
      <c r="F117"/>
      <c r="G117"/>
      <c r="H117"/>
      <c r="I117"/>
      <c r="J117" s="342">
        <v>0.36276000000000003</v>
      </c>
      <c r="K117" s="342">
        <v>0.33115</v>
      </c>
      <c r="L117" s="342">
        <v>2.7E-2</v>
      </c>
      <c r="M117" s="342">
        <v>4.6100000000000004E-3</v>
      </c>
      <c r="R117" s="2448"/>
      <c r="S117" s="479" t="s">
        <v>1042</v>
      </c>
      <c r="T117" s="495">
        <v>2020</v>
      </c>
      <c r="U117" s="480">
        <v>16.850000000000001</v>
      </c>
      <c r="V117" s="480">
        <v>18.288</v>
      </c>
      <c r="W117" s="496">
        <v>650</v>
      </c>
      <c r="X117" s="482">
        <v>1538.462</v>
      </c>
      <c r="Y117" s="270"/>
      <c r="Z117" s="480">
        <v>4.681</v>
      </c>
      <c r="AA117" s="480">
        <v>5.08</v>
      </c>
      <c r="AB117" s="270"/>
      <c r="AC117" s="497"/>
      <c r="AD117" s="497"/>
      <c r="AE117" s="270"/>
      <c r="AF117" s="463"/>
    </row>
    <row r="118" spans="2:35" ht="15" thickTop="1" thickBot="1" x14ac:dyDescent="0.5">
      <c r="B118" s="382"/>
      <c r="C118" s="403"/>
      <c r="D118" s="344" t="s">
        <v>890</v>
      </c>
      <c r="E118"/>
      <c r="F118"/>
      <c r="G118"/>
      <c r="H118"/>
      <c r="I118"/>
      <c r="J118" s="342">
        <v>0.34461999999999998</v>
      </c>
      <c r="K118" s="342">
        <v>0.31458999999999998</v>
      </c>
      <c r="L118" s="342">
        <v>2.5649999999999999E-2</v>
      </c>
      <c r="M118" s="342">
        <v>4.3800000000000002E-3</v>
      </c>
      <c r="R118" s="270"/>
      <c r="S118" s="270"/>
      <c r="T118" s="498"/>
      <c r="U118" s="270"/>
      <c r="V118" s="270"/>
      <c r="W118" s="270"/>
      <c r="X118" s="499"/>
      <c r="Y118" s="270"/>
      <c r="Z118" s="270"/>
      <c r="AA118" s="270"/>
      <c r="AB118" s="270"/>
      <c r="AC118" s="270"/>
      <c r="AD118" s="270"/>
      <c r="AE118" s="270"/>
      <c r="AF118" s="463"/>
    </row>
    <row r="119" spans="2:35" ht="14.65" thickTop="1" x14ac:dyDescent="0.45">
      <c r="B119" s="382"/>
      <c r="C119" s="401" t="s">
        <v>113</v>
      </c>
      <c r="D119" s="344" t="s">
        <v>888</v>
      </c>
      <c r="E119"/>
      <c r="F119"/>
      <c r="G119"/>
      <c r="H119"/>
      <c r="I119"/>
      <c r="J119" s="381">
        <v>3222.04</v>
      </c>
      <c r="K119" s="381">
        <v>3200.96</v>
      </c>
      <c r="L119" s="381">
        <v>7.56</v>
      </c>
      <c r="M119" s="381">
        <v>13.52</v>
      </c>
      <c r="R119" s="270"/>
      <c r="S119" s="2545"/>
      <c r="T119" s="464" t="s">
        <v>588</v>
      </c>
      <c r="U119" s="464" t="s">
        <v>1017</v>
      </c>
      <c r="V119" s="464" t="s">
        <v>1018</v>
      </c>
      <c r="W119" s="464" t="s">
        <v>1019</v>
      </c>
      <c r="X119" s="464" t="s">
        <v>1020</v>
      </c>
      <c r="Y119" s="270"/>
      <c r="Z119" s="464" t="s">
        <v>1017</v>
      </c>
      <c r="AA119" s="1955" t="s">
        <v>1018</v>
      </c>
      <c r="AB119" s="270"/>
      <c r="AC119" s="1955" t="s">
        <v>1017</v>
      </c>
      <c r="AD119" s="464" t="s">
        <v>1018</v>
      </c>
      <c r="AE119" s="270"/>
      <c r="AF119" s="463"/>
    </row>
    <row r="120" spans="2:35" ht="16.149999999999999" thickBot="1" x14ac:dyDescent="0.5">
      <c r="B120" s="382"/>
      <c r="C120" s="402"/>
      <c r="D120" s="344" t="s">
        <v>889</v>
      </c>
      <c r="E120"/>
      <c r="F120"/>
      <c r="G120"/>
      <c r="H120"/>
      <c r="I120"/>
      <c r="J120" s="342">
        <v>0.38357999999999998</v>
      </c>
      <c r="K120" s="342">
        <v>0.38107000000000002</v>
      </c>
      <c r="L120" s="342">
        <v>8.9999999999999998E-4</v>
      </c>
      <c r="M120" s="342">
        <v>1.6100000000000001E-3</v>
      </c>
      <c r="R120" s="270"/>
      <c r="S120" s="2545"/>
      <c r="T120" s="466"/>
      <c r="U120" s="466" t="s">
        <v>1021</v>
      </c>
      <c r="V120" s="466" t="s">
        <v>1021</v>
      </c>
      <c r="W120" s="466" t="s">
        <v>1030</v>
      </c>
      <c r="X120" s="500" t="s">
        <v>1023</v>
      </c>
      <c r="Y120" s="270"/>
      <c r="Z120" s="467" t="s">
        <v>1024</v>
      </c>
      <c r="AA120" s="1956" t="s">
        <v>1024</v>
      </c>
      <c r="AB120" s="270"/>
      <c r="AC120" s="1956" t="s">
        <v>753</v>
      </c>
      <c r="AD120" s="467" t="s">
        <v>753</v>
      </c>
      <c r="AE120" s="270"/>
      <c r="AF120" s="463"/>
    </row>
    <row r="121" spans="2:35" ht="30.4" thickTop="1" x14ac:dyDescent="0.45">
      <c r="B121" s="382"/>
      <c r="C121" s="403"/>
      <c r="D121" s="344" t="s">
        <v>890</v>
      </c>
      <c r="E121"/>
      <c r="F121"/>
      <c r="G121"/>
      <c r="H121"/>
      <c r="I121"/>
      <c r="J121" s="342">
        <v>0.3644</v>
      </c>
      <c r="K121" s="342">
        <v>0.36201</v>
      </c>
      <c r="L121" s="342">
        <v>8.4999999999999995E-4</v>
      </c>
      <c r="M121" s="342">
        <v>1.5299999999999999E-3</v>
      </c>
      <c r="R121" s="2446" t="s">
        <v>395</v>
      </c>
      <c r="S121" s="464" t="s">
        <v>1043</v>
      </c>
      <c r="T121" s="471">
        <v>2020</v>
      </c>
      <c r="U121" s="474">
        <v>50</v>
      </c>
      <c r="V121" s="474">
        <v>55.404000000000003</v>
      </c>
      <c r="W121" s="474">
        <v>0.71599999999999997</v>
      </c>
      <c r="X121" s="490">
        <v>1397112.108</v>
      </c>
      <c r="Y121" s="270"/>
      <c r="Z121" s="474">
        <v>13.888999999999999</v>
      </c>
      <c r="AA121" s="474">
        <v>15.39</v>
      </c>
      <c r="AB121" s="270"/>
      <c r="AC121" s="474">
        <v>0.01</v>
      </c>
      <c r="AD121" s="474">
        <v>1.0999999999999999E-2</v>
      </c>
      <c r="AE121" s="270"/>
      <c r="AF121" s="463"/>
    </row>
    <row r="122" spans="2:35" ht="30.4" thickBot="1" x14ac:dyDescent="0.5">
      <c r="B122" s="382"/>
      <c r="C122" s="401" t="s">
        <v>30</v>
      </c>
      <c r="D122" s="344" t="s">
        <v>888</v>
      </c>
      <c r="E122"/>
      <c r="F122"/>
      <c r="G122"/>
      <c r="H122"/>
      <c r="I122"/>
      <c r="J122" s="381">
        <v>3397.79</v>
      </c>
      <c r="K122" s="381">
        <v>3388.18</v>
      </c>
      <c r="L122" s="381">
        <v>3.1</v>
      </c>
      <c r="M122" s="381">
        <v>6.5</v>
      </c>
      <c r="R122" s="2448"/>
      <c r="S122" s="467" t="s">
        <v>1044</v>
      </c>
      <c r="T122" s="495">
        <v>2020</v>
      </c>
      <c r="U122" s="480">
        <v>0</v>
      </c>
      <c r="V122" s="480">
        <v>0</v>
      </c>
      <c r="W122" s="496">
        <v>1.964</v>
      </c>
      <c r="X122" s="482">
        <v>509290.37800000003</v>
      </c>
      <c r="Y122" s="270"/>
      <c r="Z122" s="480">
        <v>0</v>
      </c>
      <c r="AA122" s="480">
        <v>0</v>
      </c>
      <c r="AB122" s="270"/>
      <c r="AC122" s="480">
        <v>0</v>
      </c>
      <c r="AD122" s="480">
        <v>0</v>
      </c>
      <c r="AE122" s="270"/>
      <c r="AF122" s="463"/>
    </row>
    <row r="123" spans="2:35" ht="14.65" thickTop="1" x14ac:dyDescent="0.45">
      <c r="B123" s="382"/>
      <c r="C123" s="402"/>
      <c r="D123" s="344" t="s">
        <v>889</v>
      </c>
      <c r="E123"/>
      <c r="F123"/>
      <c r="G123"/>
      <c r="H123"/>
      <c r="I123"/>
      <c r="J123" s="342">
        <v>0.36005999999999999</v>
      </c>
      <c r="K123" s="342">
        <v>0.35904000000000003</v>
      </c>
      <c r="L123" s="342">
        <v>3.3E-4</v>
      </c>
      <c r="M123" s="342">
        <v>6.8999999999999997E-4</v>
      </c>
      <c r="R123"/>
      <c r="S123"/>
      <c r="T123"/>
      <c r="U123"/>
      <c r="V123"/>
      <c r="W123"/>
      <c r="X123"/>
      <c r="Y123"/>
      <c r="Z123"/>
      <c r="AD123"/>
      <c r="AE123"/>
      <c r="AF123"/>
    </row>
    <row r="124" spans="2:35" x14ac:dyDescent="0.45">
      <c r="B124" s="382"/>
      <c r="C124" s="403"/>
      <c r="D124" s="344" t="s">
        <v>890</v>
      </c>
      <c r="E124"/>
      <c r="F124"/>
      <c r="G124"/>
      <c r="H124"/>
      <c r="I124"/>
      <c r="J124" s="342">
        <v>0.34205999999999998</v>
      </c>
      <c r="K124" s="342">
        <v>0.34109</v>
      </c>
      <c r="L124" s="342">
        <v>3.1E-4</v>
      </c>
      <c r="M124" s="342">
        <v>6.4999999999999997E-4</v>
      </c>
      <c r="R124"/>
      <c r="S124"/>
      <c r="T124"/>
      <c r="U124"/>
      <c r="V124"/>
      <c r="W124"/>
      <c r="X124"/>
      <c r="Y124"/>
      <c r="Z124"/>
      <c r="AD124"/>
      <c r="AE124"/>
      <c r="AF124"/>
    </row>
    <row r="125" spans="2:35" ht="18" x14ac:dyDescent="0.55000000000000004">
      <c r="B125" s="382"/>
      <c r="C125" s="2548" t="s">
        <v>914</v>
      </c>
      <c r="D125" s="344" t="s">
        <v>888</v>
      </c>
      <c r="E125"/>
      <c r="F125"/>
      <c r="G125"/>
      <c r="H125"/>
      <c r="I125"/>
      <c r="J125" s="381">
        <v>2219.4699999999998</v>
      </c>
      <c r="K125" s="381">
        <v>2206.3000000000002</v>
      </c>
      <c r="L125" s="381">
        <v>0.6</v>
      </c>
      <c r="M125" s="381">
        <v>12.57</v>
      </c>
      <c r="R125" s="1957" t="s">
        <v>2265</v>
      </c>
      <c r="S125" s="1622"/>
      <c r="T125" s="1623"/>
      <c r="U125" s="1623"/>
      <c r="V125" s="1623"/>
      <c r="W125" s="1623"/>
      <c r="X125" s="1623"/>
      <c r="Y125" s="1623"/>
      <c r="Z125" s="1623"/>
      <c r="AA125" s="1623"/>
      <c r="AB125" s="1623"/>
      <c r="AC125" s="1623"/>
      <c r="AD125" s="1623"/>
      <c r="AE125" s="1623"/>
      <c r="AF125" s="1623"/>
      <c r="AG125" s="1623"/>
      <c r="AH125" s="1623"/>
      <c r="AI125" s="1624"/>
    </row>
    <row r="126" spans="2:35" ht="14.65" thickBot="1" x14ac:dyDescent="0.5">
      <c r="B126" s="382"/>
      <c r="C126" s="2549"/>
      <c r="D126" s="344" t="s">
        <v>889</v>
      </c>
      <c r="E126"/>
      <c r="F126"/>
      <c r="G126"/>
      <c r="H126"/>
      <c r="I126"/>
      <c r="J126" s="342">
        <v>0.33333000000000002</v>
      </c>
      <c r="K126" s="342">
        <v>0.33134999999999998</v>
      </c>
      <c r="L126" s="342">
        <v>9.0000000000000006E-5</v>
      </c>
      <c r="M126" s="342">
        <v>1.89E-3</v>
      </c>
      <c r="R126" s="1623"/>
      <c r="S126" s="1625"/>
      <c r="T126" s="1625"/>
      <c r="U126" s="1625"/>
      <c r="V126" s="1625"/>
      <c r="W126" s="1625"/>
      <c r="X126" s="1625"/>
      <c r="Y126" s="1625"/>
      <c r="Z126" s="1625"/>
      <c r="AA126" s="1625"/>
      <c r="AB126" s="1625"/>
      <c r="AC126" s="1625"/>
      <c r="AD126" s="1625"/>
      <c r="AE126" s="1625"/>
      <c r="AF126" s="1625"/>
      <c r="AG126" s="1625"/>
      <c r="AH126" s="1625"/>
      <c r="AI126" s="1623"/>
    </row>
    <row r="127" spans="2:35" ht="15.75" x14ac:dyDescent="0.45">
      <c r="B127" s="400"/>
      <c r="C127" s="2550"/>
      <c r="D127" s="344" t="s">
        <v>890</v>
      </c>
      <c r="E127"/>
      <c r="F127"/>
      <c r="G127"/>
      <c r="H127"/>
      <c r="I127"/>
      <c r="J127" s="342">
        <v>0.31666</v>
      </c>
      <c r="K127" s="342">
        <v>0.31478</v>
      </c>
      <c r="L127" s="342">
        <v>9.0000000000000006E-5</v>
      </c>
      <c r="M127" s="342">
        <v>1.7899999999999999E-3</v>
      </c>
      <c r="R127" s="1965" t="s">
        <v>472</v>
      </c>
      <c r="S127" s="1966"/>
      <c r="T127" s="1967" t="s">
        <v>473</v>
      </c>
      <c r="U127" s="1967" t="s">
        <v>115</v>
      </c>
      <c r="V127" s="1967" t="s">
        <v>106</v>
      </c>
      <c r="W127" s="1967" t="s">
        <v>100</v>
      </c>
      <c r="X127" s="1967" t="s">
        <v>94</v>
      </c>
      <c r="Y127" s="1967" t="s">
        <v>89</v>
      </c>
      <c r="Z127" s="1967" t="s">
        <v>82</v>
      </c>
      <c r="AA127" s="1967" t="s">
        <v>76</v>
      </c>
      <c r="AB127" s="1967" t="s">
        <v>72</v>
      </c>
      <c r="AC127" s="1967" t="s">
        <v>69</v>
      </c>
      <c r="AD127" s="1967" t="s">
        <v>64</v>
      </c>
      <c r="AE127" s="1967" t="s">
        <v>61</v>
      </c>
      <c r="AF127" s="1967" t="s">
        <v>59</v>
      </c>
      <c r="AG127" s="1967" t="s">
        <v>57</v>
      </c>
      <c r="AH127" s="1967" t="s">
        <v>55</v>
      </c>
      <c r="AI127" s="1968" t="s">
        <v>53</v>
      </c>
    </row>
    <row r="128" spans="2:35" ht="15.75" x14ac:dyDescent="0.45">
      <c r="B128" s="1979" t="s">
        <v>1014</v>
      </c>
      <c r="R128" s="1969" t="s">
        <v>474</v>
      </c>
      <c r="S128" s="1958"/>
      <c r="T128" s="1958"/>
      <c r="U128" s="1958"/>
      <c r="V128" s="1958"/>
      <c r="W128" s="1958"/>
      <c r="X128" s="1958"/>
      <c r="Y128" s="1958"/>
      <c r="Z128" s="1958"/>
      <c r="AA128" s="1958"/>
      <c r="AB128" s="1958"/>
      <c r="AC128" s="1958"/>
      <c r="AD128" s="1958"/>
      <c r="AE128" s="1958"/>
      <c r="AF128" s="1958"/>
      <c r="AG128" s="1958"/>
      <c r="AH128" s="1958"/>
      <c r="AI128" s="1970"/>
    </row>
    <row r="129" spans="2:35" ht="15.75" x14ac:dyDescent="0.45">
      <c r="R129" s="1971" t="s">
        <v>2266</v>
      </c>
      <c r="S129" s="1959"/>
      <c r="T129" s="1977" t="s">
        <v>115</v>
      </c>
      <c r="U129" s="1960">
        <v>1</v>
      </c>
      <c r="V129" s="1960">
        <v>1E-3</v>
      </c>
      <c r="W129" s="1960">
        <v>9.9999999999999995E-7</v>
      </c>
      <c r="X129" s="1960">
        <v>1.0000000000000001E-9</v>
      </c>
      <c r="Y129" s="1961">
        <v>3.5999999999999996</v>
      </c>
      <c r="Z129" s="1960">
        <v>3.5999999999999999E-3</v>
      </c>
      <c r="AA129" s="1960">
        <v>3.6000000000000003E-6</v>
      </c>
      <c r="AB129" s="1960">
        <v>0.86042065174076598</v>
      </c>
      <c r="AC129" s="1960">
        <v>8.6042065174076593E-4</v>
      </c>
      <c r="AD129" s="1960">
        <v>3412.1416351330754</v>
      </c>
      <c r="AE129" s="1960">
        <v>3.4121416351330756</v>
      </c>
      <c r="AF129" s="1960">
        <v>3.412141635133076E-3</v>
      </c>
      <c r="AG129" s="1960">
        <v>3.4095106405144834E-2</v>
      </c>
      <c r="AH129" s="1960">
        <v>8.5984522785898532E-11</v>
      </c>
      <c r="AI129" s="1972">
        <v>6.1417516275641816E-4</v>
      </c>
    </row>
    <row r="130" spans="2:35" ht="15.75" x14ac:dyDescent="0.55000000000000004">
      <c r="B130" s="404" t="s">
        <v>882</v>
      </c>
      <c r="C130" s="405" t="s">
        <v>915</v>
      </c>
      <c r="D130" s="405" t="s">
        <v>807</v>
      </c>
      <c r="E130" s="378" t="s">
        <v>588</v>
      </c>
      <c r="F130" s="378" t="s">
        <v>884</v>
      </c>
      <c r="G130" s="378" t="s">
        <v>885</v>
      </c>
      <c r="H130" s="378" t="s">
        <v>886</v>
      </c>
      <c r="I130" s="378" t="s">
        <v>887</v>
      </c>
      <c r="J130" s="378" t="s">
        <v>884</v>
      </c>
      <c r="K130" s="378" t="s">
        <v>885</v>
      </c>
      <c r="L130" s="378" t="s">
        <v>886</v>
      </c>
      <c r="M130" s="378" t="s">
        <v>887</v>
      </c>
      <c r="R130" s="1971" t="s">
        <v>2267</v>
      </c>
      <c r="S130" s="1959"/>
      <c r="T130" s="1977" t="s">
        <v>106</v>
      </c>
      <c r="U130" s="1960">
        <v>1000</v>
      </c>
      <c r="V130" s="1960">
        <v>1</v>
      </c>
      <c r="W130" s="1960">
        <v>1E-3</v>
      </c>
      <c r="X130" s="1960">
        <v>9.9999999999999995E-7</v>
      </c>
      <c r="Y130" s="1961">
        <v>3600</v>
      </c>
      <c r="Z130" s="1960">
        <v>3.6</v>
      </c>
      <c r="AA130" s="1960">
        <v>3.6000000000000003E-3</v>
      </c>
      <c r="AB130" s="1960">
        <v>860.42065174076595</v>
      </c>
      <c r="AC130" s="1960">
        <v>0.86042065174076598</v>
      </c>
      <c r="AD130" s="1960">
        <v>3412141.6351330755</v>
      </c>
      <c r="AE130" s="1960">
        <v>3412.1416351330754</v>
      </c>
      <c r="AF130" s="1960">
        <v>3.412141635133076</v>
      </c>
      <c r="AG130" s="1960">
        <v>34.095106405144833</v>
      </c>
      <c r="AH130" s="1960">
        <v>8.5984522785898541E-8</v>
      </c>
      <c r="AI130" s="1972">
        <v>0.61417516275641815</v>
      </c>
    </row>
    <row r="131" spans="2:35" ht="15.75" x14ac:dyDescent="0.45">
      <c r="B131" s="406" t="s">
        <v>916</v>
      </c>
      <c r="C131" s="378" t="s">
        <v>917</v>
      </c>
      <c r="D131" s="378" t="s">
        <v>115</v>
      </c>
      <c r="E131" s="407">
        <v>2020</v>
      </c>
      <c r="F131" s="408">
        <v>0.23313999999999999</v>
      </c>
      <c r="G131" s="408">
        <v>0.23104</v>
      </c>
      <c r="H131" s="408">
        <v>7.2000000000000005E-4</v>
      </c>
      <c r="I131" s="408">
        <v>1.3799999999999999E-3</v>
      </c>
      <c r="J131" s="408">
        <v>0.23313999999999999</v>
      </c>
      <c r="K131" s="408">
        <v>0.23104</v>
      </c>
      <c r="L131" s="408">
        <v>7.2000000000000005E-4</v>
      </c>
      <c r="M131" s="408">
        <v>1.3799999999999999E-3</v>
      </c>
      <c r="R131" s="1971" t="s">
        <v>2268</v>
      </c>
      <c r="S131" s="1959"/>
      <c r="T131" s="1977" t="s">
        <v>100</v>
      </c>
      <c r="U131" s="1960">
        <v>1000000</v>
      </c>
      <c r="V131" s="1960">
        <v>1000</v>
      </c>
      <c r="W131" s="1960">
        <v>1</v>
      </c>
      <c r="X131" s="1960">
        <v>1E-3</v>
      </c>
      <c r="Y131" s="1961">
        <v>3600000</v>
      </c>
      <c r="Z131" s="1960">
        <v>3600</v>
      </c>
      <c r="AA131" s="1960">
        <v>3.6000000000000005</v>
      </c>
      <c r="AB131" s="1960">
        <v>860420.65174076601</v>
      </c>
      <c r="AC131" s="1960">
        <v>860.42065174076595</v>
      </c>
      <c r="AD131" s="1960">
        <v>3412141635.1330757</v>
      </c>
      <c r="AE131" s="1960">
        <v>3412141.6351330755</v>
      </c>
      <c r="AF131" s="1960">
        <v>3412.1416351330759</v>
      </c>
      <c r="AG131" s="1960">
        <v>34095.106405144834</v>
      </c>
      <c r="AH131" s="1960">
        <v>8.5984522785898537E-5</v>
      </c>
      <c r="AI131" s="1972">
        <v>614.1751627564181</v>
      </c>
    </row>
    <row r="132" spans="2:35" ht="15.75" x14ac:dyDescent="0.45">
      <c r="B132" s="1979" t="s">
        <v>1014</v>
      </c>
      <c r="R132" s="1971" t="s">
        <v>2269</v>
      </c>
      <c r="S132" s="1959"/>
      <c r="T132" s="1977" t="s">
        <v>94</v>
      </c>
      <c r="U132" s="1960">
        <v>1000000000</v>
      </c>
      <c r="V132" s="1960">
        <v>1000000</v>
      </c>
      <c r="W132" s="1960">
        <v>1000</v>
      </c>
      <c r="X132" s="1960">
        <v>1</v>
      </c>
      <c r="Y132" s="1961">
        <v>3600000000</v>
      </c>
      <c r="Z132" s="1960">
        <v>3600000</v>
      </c>
      <c r="AA132" s="1960">
        <v>3600.0000000000005</v>
      </c>
      <c r="AB132" s="1960">
        <v>860420651.74076605</v>
      </c>
      <c r="AC132" s="1960">
        <v>860420.65174076601</v>
      </c>
      <c r="AD132" s="1960">
        <v>3412141635133.0757</v>
      </c>
      <c r="AE132" s="1960">
        <v>3412141635.1330757</v>
      </c>
      <c r="AF132" s="1960">
        <v>3412141.635133076</v>
      </c>
      <c r="AG132" s="1960">
        <v>34095106.405144833</v>
      </c>
      <c r="AH132" s="1960">
        <v>8.5984522785898534E-2</v>
      </c>
      <c r="AI132" s="1972">
        <v>614175.16275641811</v>
      </c>
    </row>
    <row r="133" spans="2:35" ht="15.75" x14ac:dyDescent="0.45">
      <c r="R133" s="1971" t="s">
        <v>2270</v>
      </c>
      <c r="S133" s="1959"/>
      <c r="T133" s="1977" t="s">
        <v>89</v>
      </c>
      <c r="U133" s="1960">
        <v>0.27777777777777779</v>
      </c>
      <c r="V133" s="1960">
        <v>2.7777777777777778E-4</v>
      </c>
      <c r="W133" s="1960">
        <v>2.7777777777777781E-7</v>
      </c>
      <c r="X133" s="1960">
        <v>2.7777777777777777E-10</v>
      </c>
      <c r="Y133" s="1960">
        <v>1</v>
      </c>
      <c r="Z133" s="1962">
        <v>1E-3</v>
      </c>
      <c r="AA133" s="1960">
        <v>1.0000000000000002E-6</v>
      </c>
      <c r="AB133" s="1960">
        <v>0.23900573659465724</v>
      </c>
      <c r="AC133" s="1960">
        <v>2.3900573659465724E-4</v>
      </c>
      <c r="AD133" s="1960">
        <v>947.81712087029882</v>
      </c>
      <c r="AE133" s="1960">
        <v>0.94781712087029879</v>
      </c>
      <c r="AF133" s="1960">
        <v>9.478171208702989E-4</v>
      </c>
      <c r="AG133" s="1960">
        <v>9.4708628903180086E-3</v>
      </c>
      <c r="AH133" s="1960">
        <v>2.3884589662749594E-11</v>
      </c>
      <c r="AI133" s="1972">
        <v>1.7060421187678281E-4</v>
      </c>
    </row>
    <row r="134" spans="2:35" ht="15.75" x14ac:dyDescent="0.55000000000000004">
      <c r="B134" s="404" t="s">
        <v>882</v>
      </c>
      <c r="C134" s="405" t="s">
        <v>587</v>
      </c>
      <c r="D134" s="405" t="s">
        <v>807</v>
      </c>
      <c r="E134" s="378" t="s">
        <v>588</v>
      </c>
      <c r="F134" s="378" t="s">
        <v>884</v>
      </c>
      <c r="G134" s="378" t="s">
        <v>885</v>
      </c>
      <c r="H134" s="378" t="s">
        <v>886</v>
      </c>
      <c r="I134" s="378" t="s">
        <v>887</v>
      </c>
      <c r="J134" s="378" t="s">
        <v>884</v>
      </c>
      <c r="K134" s="378" t="s">
        <v>885</v>
      </c>
      <c r="L134" s="378" t="s">
        <v>886</v>
      </c>
      <c r="M134" s="378" t="s">
        <v>887</v>
      </c>
      <c r="R134" s="1971" t="s">
        <v>2271</v>
      </c>
      <c r="S134" s="1959"/>
      <c r="T134" s="1977" t="s">
        <v>82</v>
      </c>
      <c r="U134" s="1960">
        <v>277.77777777777777</v>
      </c>
      <c r="V134" s="1960">
        <v>0.27777777777777779</v>
      </c>
      <c r="W134" s="1960">
        <v>2.7777777777777778E-4</v>
      </c>
      <c r="X134" s="1960">
        <v>2.7777777777777776E-7</v>
      </c>
      <c r="Y134" s="1963">
        <v>999.99999999999989</v>
      </c>
      <c r="Z134" s="1960">
        <v>1</v>
      </c>
      <c r="AA134" s="1964">
        <v>1E-3</v>
      </c>
      <c r="AB134" s="1960">
        <v>239.00573659465721</v>
      </c>
      <c r="AC134" s="1960">
        <v>0.23900573659465721</v>
      </c>
      <c r="AD134" s="1960">
        <v>947817.12087029871</v>
      </c>
      <c r="AE134" s="1960">
        <v>947.81712087029871</v>
      </c>
      <c r="AF134" s="1960">
        <v>0.94781712087029879</v>
      </c>
      <c r="AG134" s="1960">
        <v>9.4708628903180081</v>
      </c>
      <c r="AH134" s="1960">
        <v>2.3884589662749594E-8</v>
      </c>
      <c r="AI134" s="1972">
        <v>0.17060421187678282</v>
      </c>
    </row>
    <row r="135" spans="2:35" ht="15.75" x14ac:dyDescent="0.45">
      <c r="B135" s="406" t="s">
        <v>918</v>
      </c>
      <c r="C135" s="378" t="s">
        <v>917</v>
      </c>
      <c r="D135" s="378" t="s">
        <v>115</v>
      </c>
      <c r="E135" s="407">
        <v>2020</v>
      </c>
      <c r="F135" s="409">
        <v>2.0049999999999998E-2</v>
      </c>
      <c r="G135" s="409">
        <v>1.9869999999999999E-2</v>
      </c>
      <c r="H135" s="409">
        <v>6.0000000000000002E-5</v>
      </c>
      <c r="I135" s="409">
        <v>1.2E-4</v>
      </c>
      <c r="J135" s="409">
        <v>2.0049999999999998E-2</v>
      </c>
      <c r="K135" s="409">
        <v>1.9869999999999999E-2</v>
      </c>
      <c r="L135" s="409">
        <v>6.0000000000000002E-5</v>
      </c>
      <c r="M135" s="409">
        <v>1.2E-4</v>
      </c>
      <c r="R135" s="1971" t="s">
        <v>2272</v>
      </c>
      <c r="S135" s="1959"/>
      <c r="T135" s="1977" t="s">
        <v>76</v>
      </c>
      <c r="U135" s="1960">
        <v>277777.77777777775</v>
      </c>
      <c r="V135" s="1960">
        <v>277.77777777777777</v>
      </c>
      <c r="W135" s="1960">
        <v>0.27777777777777773</v>
      </c>
      <c r="X135" s="1960">
        <v>2.7777777777777778E-4</v>
      </c>
      <c r="Y135" s="1963">
        <v>999999.99999999988</v>
      </c>
      <c r="Z135" s="1960">
        <v>999.99999999999989</v>
      </c>
      <c r="AA135" s="1960">
        <v>1</v>
      </c>
      <c r="AB135" s="1960">
        <v>239005.73659465721</v>
      </c>
      <c r="AC135" s="1960">
        <v>239.00573659465721</v>
      </c>
      <c r="AD135" s="1960">
        <v>947817120.87029862</v>
      </c>
      <c r="AE135" s="1960">
        <v>947817.12087029871</v>
      </c>
      <c r="AF135" s="1960">
        <v>947.81712087029871</v>
      </c>
      <c r="AG135" s="1960">
        <v>9470.8628903180088</v>
      </c>
      <c r="AH135" s="1960">
        <v>2.3884589662749591E-5</v>
      </c>
      <c r="AI135" s="1972">
        <v>170.60421187678278</v>
      </c>
    </row>
    <row r="136" spans="2:35" ht="15.75" x14ac:dyDescent="0.45">
      <c r="B136" s="1979" t="s">
        <v>1014</v>
      </c>
      <c r="R136" s="1971" t="s">
        <v>2273</v>
      </c>
      <c r="S136" s="1959"/>
      <c r="T136" s="1977" t="s">
        <v>72</v>
      </c>
      <c r="U136" s="1960">
        <v>1.1622222200000001</v>
      </c>
      <c r="V136" s="1960">
        <v>1.1622222200000001E-3</v>
      </c>
      <c r="W136" s="1960">
        <v>1.16222222E-6</v>
      </c>
      <c r="X136" s="1960">
        <v>1.1622222200000001E-9</v>
      </c>
      <c r="Y136" s="1960">
        <v>4.1839999920000004</v>
      </c>
      <c r="Z136" s="1960">
        <v>4.1839999920000003E-3</v>
      </c>
      <c r="AA136" s="1960">
        <v>4.1839999920000009E-6</v>
      </c>
      <c r="AB136" s="1960">
        <v>1</v>
      </c>
      <c r="AC136" s="1960">
        <v>1E-3</v>
      </c>
      <c r="AD136" s="1960">
        <v>3965.6668261387931</v>
      </c>
      <c r="AE136" s="1960">
        <v>3.9656668261387935</v>
      </c>
      <c r="AF136" s="1960">
        <v>3.9656668261387933E-3</v>
      </c>
      <c r="AG136" s="1960">
        <v>3.9626090257323651E-2</v>
      </c>
      <c r="AH136" s="1960">
        <v>9.9933122957867592E-11</v>
      </c>
      <c r="AI136" s="1972">
        <v>7.138080211276256E-4</v>
      </c>
    </row>
    <row r="137" spans="2:35" ht="15.75" x14ac:dyDescent="0.45">
      <c r="R137" s="1971" t="s">
        <v>2274</v>
      </c>
      <c r="S137" s="1959"/>
      <c r="T137" s="1977" t="s">
        <v>69</v>
      </c>
      <c r="U137" s="1960">
        <v>1162.2222200000001</v>
      </c>
      <c r="V137" s="1960">
        <v>1.1622222200000001</v>
      </c>
      <c r="W137" s="1960">
        <v>1.1622222200000001E-3</v>
      </c>
      <c r="X137" s="1960">
        <v>1.1622222200000002E-6</v>
      </c>
      <c r="Y137" s="1960">
        <v>4183.999992</v>
      </c>
      <c r="Z137" s="1960">
        <v>4.1839999920000004</v>
      </c>
      <c r="AA137" s="1960">
        <v>4.1839999920000011E-3</v>
      </c>
      <c r="AB137" s="1960">
        <v>1000</v>
      </c>
      <c r="AC137" s="1960">
        <v>1</v>
      </c>
      <c r="AD137" s="1960">
        <v>3965666.8261387935</v>
      </c>
      <c r="AE137" s="1960">
        <v>3965.6668261387936</v>
      </c>
      <c r="AF137" s="1960">
        <v>3.965666826138794</v>
      </c>
      <c r="AG137" s="1960">
        <v>39.626090257323646</v>
      </c>
      <c r="AH137" s="1960">
        <v>9.9933122957867597E-8</v>
      </c>
      <c r="AI137" s="1972">
        <v>0.71380802112762565</v>
      </c>
    </row>
    <row r="138" spans="2:35" ht="15.75" x14ac:dyDescent="0.55000000000000004">
      <c r="B138" s="404" t="s">
        <v>882</v>
      </c>
      <c r="C138" s="405" t="s">
        <v>883</v>
      </c>
      <c r="D138" s="405" t="s">
        <v>807</v>
      </c>
      <c r="E138" s="345" t="s">
        <v>884</v>
      </c>
      <c r="F138"/>
      <c r="G138"/>
      <c r="H138"/>
      <c r="I138"/>
      <c r="J138" s="345" t="s">
        <v>884</v>
      </c>
      <c r="R138" s="1971" t="s">
        <v>2275</v>
      </c>
      <c r="S138" s="1959"/>
      <c r="T138" s="1977" t="s">
        <v>64</v>
      </c>
      <c r="U138" s="1960">
        <v>2.9307106999999999E-4</v>
      </c>
      <c r="V138" s="1960">
        <v>2.9307106999999998E-7</v>
      </c>
      <c r="W138" s="1960">
        <v>2.9307107000000001E-10</v>
      </c>
      <c r="X138" s="1960">
        <v>2.9307107E-13</v>
      </c>
      <c r="Y138" s="1960">
        <v>1.0550558519999999E-3</v>
      </c>
      <c r="Z138" s="1960">
        <v>1.055055852E-6</v>
      </c>
      <c r="AA138" s="1960">
        <v>1.0550558520000001E-9</v>
      </c>
      <c r="AB138" s="1960">
        <v>2.5216440105576367E-4</v>
      </c>
      <c r="AC138" s="1960">
        <v>2.5216440105576365E-7</v>
      </c>
      <c r="AD138" s="1960">
        <v>1</v>
      </c>
      <c r="AE138" s="1960">
        <v>1E-3</v>
      </c>
      <c r="AF138" s="1960">
        <v>1.0000000000000002E-6</v>
      </c>
      <c r="AG138" s="1960">
        <v>9.9922893159196494E-6</v>
      </c>
      <c r="AH138" s="1960">
        <v>2.5199576096302666E-14</v>
      </c>
      <c r="AI138" s="1972">
        <v>1.799969721164476E-7</v>
      </c>
    </row>
    <row r="139" spans="2:35" ht="15.75" x14ac:dyDescent="0.45">
      <c r="B139" s="2551" t="s">
        <v>605</v>
      </c>
      <c r="C139" s="2546" t="s">
        <v>919</v>
      </c>
      <c r="D139" s="378" t="s">
        <v>888</v>
      </c>
      <c r="E139" s="361">
        <v>63.115340000000003</v>
      </c>
      <c r="F139"/>
      <c r="G139"/>
      <c r="H139"/>
      <c r="I139"/>
      <c r="J139" s="361">
        <v>63.115340000000003</v>
      </c>
      <c r="R139" s="1971" t="s">
        <v>2276</v>
      </c>
      <c r="S139" s="1959"/>
      <c r="T139" s="1977" t="s">
        <v>61</v>
      </c>
      <c r="U139" s="1960">
        <v>0.29307106999999999</v>
      </c>
      <c r="V139" s="1960">
        <v>2.9307106999999999E-4</v>
      </c>
      <c r="W139" s="1960">
        <v>2.9307106999999998E-7</v>
      </c>
      <c r="X139" s="1960">
        <v>2.9307107000000001E-10</v>
      </c>
      <c r="Y139" s="1960">
        <v>1.055055852</v>
      </c>
      <c r="Z139" s="1960">
        <v>1.0550558519999999E-3</v>
      </c>
      <c r="AA139" s="1960">
        <v>1.055055852E-6</v>
      </c>
      <c r="AB139" s="1960">
        <v>0.25216440105576365</v>
      </c>
      <c r="AC139" s="1960">
        <v>2.5216440105576367E-4</v>
      </c>
      <c r="AD139" s="1960">
        <v>1000</v>
      </c>
      <c r="AE139" s="1960">
        <v>1</v>
      </c>
      <c r="AF139" s="1960">
        <v>1E-3</v>
      </c>
      <c r="AG139" s="1960">
        <v>9.9922893159196495E-3</v>
      </c>
      <c r="AH139" s="1960">
        <v>2.5199576096302666E-11</v>
      </c>
      <c r="AI139" s="1972">
        <v>1.7999697211644759E-4</v>
      </c>
    </row>
    <row r="140" spans="2:35" ht="15.75" x14ac:dyDescent="0.45">
      <c r="B140" s="2551"/>
      <c r="C140" s="2546"/>
      <c r="D140" s="378" t="s">
        <v>115</v>
      </c>
      <c r="E140" s="361">
        <v>1.545E-2</v>
      </c>
      <c r="F140"/>
      <c r="G140"/>
      <c r="H140"/>
      <c r="I140"/>
      <c r="J140" s="361">
        <v>1.545E-2</v>
      </c>
      <c r="R140" s="1971" t="s">
        <v>2277</v>
      </c>
      <c r="S140" s="1959"/>
      <c r="T140" s="1977" t="s">
        <v>59</v>
      </c>
      <c r="U140" s="1960">
        <v>293.07106999999996</v>
      </c>
      <c r="V140" s="1960">
        <v>0.29307106999999999</v>
      </c>
      <c r="W140" s="1960">
        <v>2.9307106999999994E-4</v>
      </c>
      <c r="X140" s="1960">
        <v>2.9307106999999998E-7</v>
      </c>
      <c r="Y140" s="1960">
        <v>1055.0558519999997</v>
      </c>
      <c r="Z140" s="1960">
        <v>1.055055852</v>
      </c>
      <c r="AA140" s="1960">
        <v>1.0550558519999999E-3</v>
      </c>
      <c r="AB140" s="1960">
        <v>252.16440105576362</v>
      </c>
      <c r="AC140" s="1960">
        <v>0.2521644010557636</v>
      </c>
      <c r="AD140" s="1960">
        <v>999999.99999999988</v>
      </c>
      <c r="AE140" s="1960">
        <v>999.99999999999989</v>
      </c>
      <c r="AF140" s="1960">
        <v>1</v>
      </c>
      <c r="AG140" s="1960">
        <v>9.9922893159196473</v>
      </c>
      <c r="AH140" s="1960">
        <v>2.5199576096302661E-8</v>
      </c>
      <c r="AI140" s="1972">
        <v>0.17999697211644758</v>
      </c>
    </row>
    <row r="141" spans="2:35" ht="15.75" x14ac:dyDescent="0.45">
      <c r="B141" s="2551"/>
      <c r="C141" s="2546" t="s">
        <v>606</v>
      </c>
      <c r="D141" s="378" t="s">
        <v>888</v>
      </c>
      <c r="E141" s="361">
        <v>58.352719999999998</v>
      </c>
      <c r="F141"/>
      <c r="G141"/>
      <c r="H141"/>
      <c r="I141"/>
      <c r="J141" s="361">
        <v>58.352719999999998</v>
      </c>
      <c r="R141" s="1971" t="s">
        <v>2278</v>
      </c>
      <c r="S141" s="1959"/>
      <c r="T141" s="1977" t="s">
        <v>57</v>
      </c>
      <c r="U141" s="1960">
        <v>29.329722222221999</v>
      </c>
      <c r="V141" s="1960">
        <v>2.9329722222222E-2</v>
      </c>
      <c r="W141" s="1960">
        <v>2.9329722222221999E-5</v>
      </c>
      <c r="X141" s="1960">
        <v>2.9329722222221998E-8</v>
      </c>
      <c r="Y141" s="1960">
        <v>105.58699999999919</v>
      </c>
      <c r="Z141" s="1960">
        <v>0.1055869999999992</v>
      </c>
      <c r="AA141" s="1960">
        <v>1.055869999999992E-4</v>
      </c>
      <c r="AB141" s="1960">
        <v>25.235898709819882</v>
      </c>
      <c r="AC141" s="1960">
        <v>2.523589870981988E-2</v>
      </c>
      <c r="AD141" s="1960">
        <v>100077.16634133147</v>
      </c>
      <c r="AE141" s="1960">
        <v>100.07716634133148</v>
      </c>
      <c r="AF141" s="1960">
        <v>0.10007716634133149</v>
      </c>
      <c r="AG141" s="1960">
        <v>1</v>
      </c>
      <c r="AH141" s="1960">
        <v>2.5219021687207223E-9</v>
      </c>
      <c r="AI141" s="1972">
        <v>1.8013586919433729E-2</v>
      </c>
    </row>
    <row r="142" spans="2:35" ht="15.75" x14ac:dyDescent="0.45">
      <c r="B142" s="2551"/>
      <c r="C142" s="2546"/>
      <c r="D142" s="378" t="s">
        <v>115</v>
      </c>
      <c r="E142" s="361">
        <v>1.545E-2</v>
      </c>
      <c r="F142"/>
      <c r="G142"/>
      <c r="H142"/>
      <c r="I142"/>
      <c r="J142" s="361">
        <v>1.545E-2</v>
      </c>
      <c r="R142" s="1971" t="s">
        <v>2279</v>
      </c>
      <c r="S142" s="1959"/>
      <c r="T142" s="1977" t="s">
        <v>55</v>
      </c>
      <c r="U142" s="1960">
        <v>11630000000</v>
      </c>
      <c r="V142" s="1960">
        <v>11630000</v>
      </c>
      <c r="W142" s="1960">
        <v>11630</v>
      </c>
      <c r="X142" s="1960">
        <v>11.63</v>
      </c>
      <c r="Y142" s="1960">
        <v>41868000000</v>
      </c>
      <c r="Z142" s="1960">
        <v>41868000</v>
      </c>
      <c r="AA142" s="1960">
        <v>41868.000000000007</v>
      </c>
      <c r="AB142" s="1960">
        <v>10006692179.74511</v>
      </c>
      <c r="AC142" s="1960">
        <v>10006692.179745108</v>
      </c>
      <c r="AD142" s="1960">
        <v>39683207216597.672</v>
      </c>
      <c r="AE142" s="1960">
        <v>39683207216.597672</v>
      </c>
      <c r="AF142" s="1960">
        <v>39683207.216597669</v>
      </c>
      <c r="AG142" s="1960">
        <v>396526087.4918344</v>
      </c>
      <c r="AH142" s="1960">
        <v>1</v>
      </c>
      <c r="AI142" s="1972">
        <v>7142857.1428571427</v>
      </c>
    </row>
    <row r="143" spans="2:35" ht="16.149999999999999" thickBot="1" x14ac:dyDescent="0.5">
      <c r="B143" s="2551"/>
      <c r="C143" s="2546" t="s">
        <v>920</v>
      </c>
      <c r="D143" s="378" t="s">
        <v>888</v>
      </c>
      <c r="E143" s="361">
        <v>72.297309999999996</v>
      </c>
      <c r="F143"/>
      <c r="G143"/>
      <c r="H143"/>
      <c r="I143"/>
      <c r="J143" s="361">
        <v>72.297309999999996</v>
      </c>
      <c r="R143" s="1973" t="s">
        <v>2280</v>
      </c>
      <c r="S143" s="1974"/>
      <c r="T143" s="1978" t="s">
        <v>53</v>
      </c>
      <c r="U143" s="1975">
        <v>1628.2</v>
      </c>
      <c r="V143" s="1975">
        <v>1.6282000000000001</v>
      </c>
      <c r="W143" s="1975">
        <v>1.6282E-3</v>
      </c>
      <c r="X143" s="1975">
        <v>1.6282000000000001E-6</v>
      </c>
      <c r="Y143" s="1975">
        <v>5861.5199999999995</v>
      </c>
      <c r="Z143" s="1975">
        <v>5.8615200000000005</v>
      </c>
      <c r="AA143" s="1975">
        <v>5.8615200000000011E-3</v>
      </c>
      <c r="AB143" s="1975">
        <v>1400.9369051643152</v>
      </c>
      <c r="AC143" s="1975">
        <v>1.4009369051643152</v>
      </c>
      <c r="AD143" s="1975">
        <v>5555649.0103236735</v>
      </c>
      <c r="AE143" s="1975">
        <v>5555.6490103236738</v>
      </c>
      <c r="AF143" s="1975">
        <v>5.5556490103236742</v>
      </c>
      <c r="AG143" s="1975">
        <v>55.513652248856815</v>
      </c>
      <c r="AH143" s="1975">
        <v>1.4000000000000001E-7</v>
      </c>
      <c r="AI143" s="1976">
        <v>1</v>
      </c>
    </row>
    <row r="144" spans="2:35" x14ac:dyDescent="0.45">
      <c r="B144" s="2551"/>
      <c r="C144" s="2546"/>
      <c r="D144" s="378" t="s">
        <v>115</v>
      </c>
      <c r="E144" s="361">
        <v>1.545E-2</v>
      </c>
      <c r="F144"/>
      <c r="G144"/>
      <c r="H144"/>
      <c r="I144"/>
      <c r="J144" s="361">
        <v>1.545E-2</v>
      </c>
    </row>
    <row r="145" spans="2:13" x14ac:dyDescent="0.45">
      <c r="B145" s="2551"/>
      <c r="C145" s="2546" t="s">
        <v>921</v>
      </c>
      <c r="D145" s="378" t="s">
        <v>888</v>
      </c>
      <c r="E145" s="361">
        <v>60.954079999999998</v>
      </c>
      <c r="F145"/>
      <c r="G145"/>
      <c r="H145"/>
      <c r="I145"/>
      <c r="J145" s="361">
        <v>60.954079999999998</v>
      </c>
    </row>
    <row r="146" spans="2:13" x14ac:dyDescent="0.45">
      <c r="B146" s="2551"/>
      <c r="C146" s="2546"/>
      <c r="D146" s="378" t="s">
        <v>115</v>
      </c>
      <c r="E146" s="361">
        <v>1.6289999999999999E-2</v>
      </c>
      <c r="F146"/>
      <c r="G146"/>
      <c r="H146"/>
      <c r="I146"/>
      <c r="J146" s="361">
        <v>1.6289999999999999E-2</v>
      </c>
    </row>
    <row r="147" spans="2:13" x14ac:dyDescent="0.45">
      <c r="B147" s="1979" t="s">
        <v>1014</v>
      </c>
    </row>
    <row r="148" spans="2:13" ht="14.65" thickBot="1" x14ac:dyDescent="0.5"/>
    <row r="149" spans="2:13" x14ac:dyDescent="0.45">
      <c r="B149" s="2471" t="s">
        <v>955</v>
      </c>
      <c r="C149" s="2472"/>
      <c r="D149" s="2472"/>
      <c r="E149" s="2472"/>
      <c r="F149" s="2472"/>
      <c r="G149" s="2472"/>
      <c r="H149" s="2472"/>
      <c r="I149" s="2399"/>
      <c r="J149" s="2399"/>
      <c r="K149" s="2399"/>
      <c r="L149" s="2399"/>
      <c r="M149" s="2473"/>
    </row>
    <row r="150" spans="2:13" ht="14.65" thickBot="1" x14ac:dyDescent="0.5">
      <c r="B150" s="2484" t="s">
        <v>956</v>
      </c>
      <c r="C150" s="2485"/>
      <c r="D150" s="2485"/>
      <c r="E150" s="2485"/>
      <c r="F150" s="2485"/>
      <c r="G150" s="2485"/>
      <c r="H150" s="2485"/>
      <c r="I150" s="2486"/>
      <c r="J150" s="2486"/>
      <c r="K150" s="2486"/>
      <c r="L150" s="2486"/>
      <c r="M150" s="2487"/>
    </row>
    <row r="151" spans="2:13" ht="22.5" x14ac:dyDescent="0.45">
      <c r="B151" s="2547" t="s">
        <v>957</v>
      </c>
      <c r="C151" s="2547" t="s">
        <v>958</v>
      </c>
      <c r="D151" s="2547" t="s">
        <v>929</v>
      </c>
      <c r="E151"/>
      <c r="F151"/>
      <c r="G151"/>
      <c r="H151"/>
      <c r="I151"/>
      <c r="J151" s="2547" t="s">
        <v>959</v>
      </c>
      <c r="K151" s="411" t="s">
        <v>960</v>
      </c>
      <c r="L151" s="411" t="s">
        <v>962</v>
      </c>
      <c r="M151" s="411" t="s">
        <v>964</v>
      </c>
    </row>
    <row r="152" spans="2:13" x14ac:dyDescent="0.45">
      <c r="B152" s="2547"/>
      <c r="C152" s="2547"/>
      <c r="D152" s="2547"/>
      <c r="E152"/>
      <c r="F152"/>
      <c r="G152"/>
      <c r="H152"/>
      <c r="I152"/>
      <c r="J152" s="2547"/>
      <c r="K152" s="410" t="s">
        <v>961</v>
      </c>
      <c r="L152" s="420" t="s">
        <v>963</v>
      </c>
      <c r="M152" s="420" t="s">
        <v>965</v>
      </c>
    </row>
    <row r="153" spans="2:13" ht="14.65" thickBot="1" x14ac:dyDescent="0.5">
      <c r="B153" s="2541"/>
      <c r="C153" s="2541"/>
      <c r="D153" s="2541"/>
      <c r="E153"/>
      <c r="F153"/>
      <c r="G153"/>
      <c r="H153"/>
      <c r="I153"/>
      <c r="J153" s="2541"/>
      <c r="K153" s="419"/>
      <c r="L153" s="412" t="s">
        <v>365</v>
      </c>
      <c r="M153" s="412" t="s">
        <v>365</v>
      </c>
    </row>
    <row r="154" spans="2:13" ht="22.9" thickBot="1" x14ac:dyDescent="0.5">
      <c r="B154" s="413" t="s">
        <v>966</v>
      </c>
      <c r="C154" s="415" t="s">
        <v>365</v>
      </c>
      <c r="D154" s="414" t="s">
        <v>967</v>
      </c>
      <c r="E154"/>
      <c r="F154"/>
      <c r="G154"/>
      <c r="H154"/>
      <c r="I154"/>
      <c r="J154" s="415" t="s">
        <v>968</v>
      </c>
      <c r="K154" s="415" t="s">
        <v>969</v>
      </c>
      <c r="L154" s="415" t="s">
        <v>969</v>
      </c>
      <c r="M154" s="415" t="s">
        <v>969</v>
      </c>
    </row>
    <row r="155" spans="2:13" ht="22.9" thickBot="1" x14ac:dyDescent="0.5">
      <c r="B155" s="413" t="s">
        <v>970</v>
      </c>
      <c r="C155" s="415" t="s">
        <v>365</v>
      </c>
      <c r="D155" s="414" t="s">
        <v>967</v>
      </c>
      <c r="E155"/>
      <c r="F155"/>
      <c r="G155"/>
      <c r="H155"/>
      <c r="I155"/>
      <c r="J155" s="415">
        <v>50</v>
      </c>
      <c r="K155" s="415">
        <v>60</v>
      </c>
      <c r="L155" s="415" t="s">
        <v>971</v>
      </c>
      <c r="M155" s="415">
        <v>80</v>
      </c>
    </row>
    <row r="156" spans="2:13" ht="22.9" thickBot="1" x14ac:dyDescent="0.5">
      <c r="B156" s="413" t="s">
        <v>972</v>
      </c>
      <c r="C156" s="415" t="s">
        <v>365</v>
      </c>
      <c r="D156" s="414" t="s">
        <v>973</v>
      </c>
      <c r="E156"/>
      <c r="F156"/>
      <c r="G156"/>
      <c r="H156"/>
      <c r="I156"/>
      <c r="J156" s="415">
        <v>90</v>
      </c>
      <c r="K156" s="415">
        <v>40</v>
      </c>
      <c r="L156" s="415">
        <v>0</v>
      </c>
      <c r="M156" s="415">
        <v>100</v>
      </c>
    </row>
    <row r="157" spans="2:13" ht="15.75" customHeight="1" thickBot="1" x14ac:dyDescent="0.5">
      <c r="B157" s="2516" t="s">
        <v>974</v>
      </c>
      <c r="C157" s="415" t="s">
        <v>939</v>
      </c>
      <c r="D157" s="415">
        <v>100</v>
      </c>
      <c r="E157"/>
      <c r="F157"/>
      <c r="G157"/>
      <c r="H157"/>
      <c r="I157"/>
      <c r="J157" s="415">
        <v>100</v>
      </c>
      <c r="K157" s="415">
        <v>100</v>
      </c>
      <c r="L157" s="415">
        <v>100</v>
      </c>
      <c r="M157" s="415">
        <v>100</v>
      </c>
    </row>
    <row r="158" spans="2:13" ht="14.65" thickBot="1" x14ac:dyDescent="0.5">
      <c r="B158" s="2496"/>
      <c r="C158" s="421" t="s">
        <v>975</v>
      </c>
      <c r="D158" s="422">
        <v>58</v>
      </c>
      <c r="E158"/>
      <c r="F158"/>
      <c r="G158"/>
      <c r="H158"/>
      <c r="I158"/>
      <c r="J158" s="422" t="s">
        <v>976</v>
      </c>
      <c r="K158" s="422" t="s">
        <v>976</v>
      </c>
      <c r="L158" s="422" t="s">
        <v>976</v>
      </c>
      <c r="M158" s="422" t="s">
        <v>976</v>
      </c>
    </row>
    <row r="159" spans="2:13" x14ac:dyDescent="0.45">
      <c r="B159" s="2523" t="s">
        <v>977</v>
      </c>
      <c r="C159" s="2524"/>
      <c r="D159" s="2524"/>
      <c r="E159" s="2524"/>
      <c r="F159" s="2524"/>
      <c r="G159" s="2524"/>
      <c r="H159" s="2524"/>
      <c r="I159" s="2490"/>
      <c r="J159" s="2490"/>
      <c r="K159" s="2490"/>
      <c r="L159" s="2490"/>
      <c r="M159" s="2491"/>
    </row>
    <row r="160" spans="2:13" x14ac:dyDescent="0.45">
      <c r="B160" s="2525" t="s">
        <v>978</v>
      </c>
      <c r="C160" s="2526"/>
      <c r="D160" s="2526"/>
      <c r="E160" s="2526"/>
      <c r="F160" s="2526"/>
      <c r="G160" s="2526"/>
      <c r="H160" s="2526"/>
      <c r="I160" s="2527"/>
      <c r="J160" s="2527"/>
      <c r="K160" s="2527"/>
      <c r="L160" s="2527"/>
      <c r="M160" s="2528"/>
    </row>
    <row r="161" spans="2:13" x14ac:dyDescent="0.45">
      <c r="B161" s="2525" t="s">
        <v>979</v>
      </c>
      <c r="C161" s="2526"/>
      <c r="D161" s="2526"/>
      <c r="E161" s="2526"/>
      <c r="F161" s="2526"/>
      <c r="G161" s="2526"/>
      <c r="H161" s="2526"/>
      <c r="I161" s="2527"/>
      <c r="J161" s="2527"/>
      <c r="K161" s="2527"/>
      <c r="L161" s="2527"/>
      <c r="M161" s="2528"/>
    </row>
    <row r="162" spans="2:13" x14ac:dyDescent="0.45">
      <c r="B162" s="2525" t="s">
        <v>980</v>
      </c>
      <c r="C162" s="2526"/>
      <c r="D162" s="2526"/>
      <c r="E162" s="2526"/>
      <c r="F162" s="2526"/>
      <c r="G162" s="2526"/>
      <c r="H162" s="2526"/>
      <c r="I162" s="2527"/>
      <c r="J162" s="2527"/>
      <c r="K162" s="2527"/>
      <c r="L162" s="2527"/>
      <c r="M162" s="2528"/>
    </row>
    <row r="163" spans="2:13" x14ac:dyDescent="0.45">
      <c r="B163" s="2525" t="s">
        <v>981</v>
      </c>
      <c r="C163" s="2526"/>
      <c r="D163" s="2526"/>
      <c r="E163" s="2526"/>
      <c r="F163" s="2526"/>
      <c r="G163" s="2526"/>
      <c r="H163" s="2526"/>
      <c r="I163" s="2527"/>
      <c r="J163" s="2527"/>
      <c r="K163" s="2527"/>
      <c r="L163" s="2527"/>
      <c r="M163" s="2528"/>
    </row>
    <row r="164" spans="2:13" x14ac:dyDescent="0.45">
      <c r="B164" s="2525" t="s">
        <v>982</v>
      </c>
      <c r="C164" s="2526"/>
      <c r="D164" s="2526"/>
      <c r="E164" s="2526"/>
      <c r="F164" s="2526"/>
      <c r="G164" s="2526"/>
      <c r="H164" s="2526"/>
      <c r="I164" s="2527"/>
      <c r="J164" s="2527"/>
      <c r="K164" s="2527"/>
      <c r="L164" s="2527"/>
      <c r="M164" s="2528"/>
    </row>
    <row r="165" spans="2:13" ht="14.65" thickBot="1" x14ac:dyDescent="0.5">
      <c r="B165" s="2492" t="s">
        <v>983</v>
      </c>
      <c r="C165" s="2493"/>
      <c r="D165" s="2493"/>
      <c r="E165" s="2493"/>
      <c r="F165" s="2493"/>
      <c r="G165" s="2493"/>
      <c r="H165" s="2493"/>
      <c r="I165" s="2494"/>
      <c r="J165" s="2494"/>
      <c r="K165" s="2494"/>
      <c r="L165" s="2494"/>
      <c r="M165" s="2495"/>
    </row>
    <row r="166" spans="2:13" x14ac:dyDescent="0.45">
      <c r="B166" s="1987" t="s">
        <v>984</v>
      </c>
    </row>
    <row r="167" spans="2:13" ht="14.65" thickBot="1" x14ac:dyDescent="0.5"/>
    <row r="168" spans="2:13" x14ac:dyDescent="0.45">
      <c r="B168" s="2529" t="s">
        <v>942</v>
      </c>
      <c r="C168" s="2530"/>
      <c r="D168" s="2531"/>
      <c r="E168"/>
      <c r="F168"/>
      <c r="G168"/>
      <c r="H168"/>
      <c r="I168"/>
    </row>
    <row r="169" spans="2:13" ht="14.65" thickBot="1" x14ac:dyDescent="0.5">
      <c r="B169" s="2532" t="s">
        <v>943</v>
      </c>
      <c r="C169" s="2533"/>
      <c r="D169" s="2534"/>
      <c r="E169"/>
      <c r="F169"/>
      <c r="G169"/>
      <c r="H169"/>
      <c r="I169"/>
    </row>
    <row r="170" spans="2:13" ht="25.15" thickTop="1" x14ac:dyDescent="0.45">
      <c r="B170" s="2537"/>
      <c r="C170" s="2538"/>
      <c r="D170" s="411" t="s">
        <v>944</v>
      </c>
      <c r="E170"/>
      <c r="F170"/>
      <c r="G170"/>
      <c r="H170"/>
      <c r="I170"/>
    </row>
    <row r="171" spans="2:13" ht="34.15" thickBot="1" x14ac:dyDescent="0.5">
      <c r="B171" s="2539" t="s">
        <v>945</v>
      </c>
      <c r="C171" s="2540"/>
      <c r="D171" s="412" t="s">
        <v>946</v>
      </c>
      <c r="E171"/>
      <c r="F171"/>
      <c r="G171"/>
      <c r="H171"/>
      <c r="I171"/>
    </row>
    <row r="172" spans="2:13" ht="14.65" thickBot="1" x14ac:dyDescent="0.5">
      <c r="B172" s="2516" t="s">
        <v>947</v>
      </c>
      <c r="C172" s="414" t="s">
        <v>948</v>
      </c>
      <c r="D172" s="461">
        <v>0.2</v>
      </c>
      <c r="E172"/>
      <c r="F172"/>
      <c r="G172"/>
      <c r="H172"/>
      <c r="I172"/>
    </row>
    <row r="173" spans="2:13" ht="14.65" thickBot="1" x14ac:dyDescent="0.5">
      <c r="B173" s="2517"/>
      <c r="C173" s="414" t="s">
        <v>949</v>
      </c>
      <c r="D173" s="461">
        <v>0</v>
      </c>
      <c r="E173"/>
      <c r="F173"/>
      <c r="G173"/>
      <c r="H173"/>
      <c r="I173"/>
    </row>
    <row r="174" spans="2:13" ht="14.65" thickBot="1" x14ac:dyDescent="0.5">
      <c r="B174" s="2474" t="s">
        <v>950</v>
      </c>
      <c r="C174" s="414" t="s">
        <v>948</v>
      </c>
      <c r="D174" s="461">
        <v>6</v>
      </c>
      <c r="E174"/>
      <c r="F174"/>
      <c r="G174"/>
      <c r="H174"/>
      <c r="I174"/>
    </row>
    <row r="175" spans="2:13" ht="14.65" thickBot="1" x14ac:dyDescent="0.5">
      <c r="B175" s="2541"/>
      <c r="C175" s="414" t="s">
        <v>951</v>
      </c>
      <c r="D175" s="461">
        <v>188</v>
      </c>
      <c r="E175"/>
      <c r="F175"/>
      <c r="G175"/>
      <c r="H175"/>
      <c r="I175"/>
    </row>
    <row r="176" spans="2:13" ht="14.65" thickBot="1" x14ac:dyDescent="0.5">
      <c r="B176" s="2516" t="s">
        <v>952</v>
      </c>
      <c r="C176" s="414" t="s">
        <v>948</v>
      </c>
      <c r="D176" s="461">
        <v>60</v>
      </c>
      <c r="E176"/>
      <c r="F176"/>
      <c r="G176"/>
      <c r="H176"/>
      <c r="I176"/>
    </row>
    <row r="177" spans="2:10" ht="14.65" thickBot="1" x14ac:dyDescent="0.5">
      <c r="B177" s="2517"/>
      <c r="C177" s="414" t="s">
        <v>951</v>
      </c>
      <c r="D177" s="461">
        <v>237</v>
      </c>
      <c r="E177"/>
      <c r="F177"/>
      <c r="G177"/>
      <c r="H177"/>
      <c r="I177"/>
    </row>
    <row r="178" spans="2:10" ht="24" customHeight="1" x14ac:dyDescent="0.45">
      <c r="B178" s="2510" t="s">
        <v>953</v>
      </c>
      <c r="C178" s="2511"/>
      <c r="D178" s="2512"/>
      <c r="E178"/>
      <c r="F178"/>
      <c r="G178"/>
      <c r="H178"/>
      <c r="I178"/>
    </row>
    <row r="179" spans="2:10" ht="14.65" thickBot="1" x14ac:dyDescent="0.5">
      <c r="B179" s="2513" t="s">
        <v>954</v>
      </c>
      <c r="C179" s="2514"/>
      <c r="D179" s="2515"/>
      <c r="E179"/>
      <c r="F179"/>
      <c r="G179"/>
      <c r="H179"/>
      <c r="I179"/>
    </row>
    <row r="180" spans="2:10" x14ac:dyDescent="0.45">
      <c r="B180" s="1987" t="s">
        <v>984</v>
      </c>
    </row>
    <row r="181" spans="2:10" ht="14.65" thickBot="1" x14ac:dyDescent="0.5"/>
    <row r="182" spans="2:10" x14ac:dyDescent="0.45">
      <c r="B182" s="2471" t="s">
        <v>922</v>
      </c>
      <c r="C182" s="2472"/>
      <c r="D182" s="2472"/>
      <c r="E182" s="2472"/>
      <c r="F182" s="2399"/>
      <c r="G182" s="2399"/>
      <c r="H182" s="2399"/>
      <c r="I182" s="2399"/>
      <c r="J182" s="2473"/>
    </row>
    <row r="183" spans="2:10" ht="22.5" customHeight="1" thickBot="1" x14ac:dyDescent="0.5">
      <c r="B183" s="2484" t="s">
        <v>923</v>
      </c>
      <c r="C183" s="2485"/>
      <c r="D183" s="2485"/>
      <c r="E183" s="2485"/>
      <c r="F183" s="2486"/>
      <c r="G183" s="2486"/>
      <c r="H183" s="2486"/>
      <c r="I183" s="2486"/>
      <c r="J183" s="2487"/>
    </row>
    <row r="184" spans="2:10" x14ac:dyDescent="0.45">
      <c r="B184" s="2496" t="s">
        <v>924</v>
      </c>
      <c r="C184" s="2535" t="s">
        <v>925</v>
      </c>
      <c r="D184" s="426" t="s">
        <v>926</v>
      </c>
      <c r="E184" s="424"/>
      <c r="F184" s="424"/>
      <c r="G184" s="424"/>
      <c r="H184" s="424"/>
      <c r="I184" s="424"/>
      <c r="J184" s="426"/>
    </row>
    <row r="185" spans="2:10" ht="14.65" thickBot="1" x14ac:dyDescent="0.5">
      <c r="B185" s="2517"/>
      <c r="C185" s="2536"/>
      <c r="D185" s="425" t="s">
        <v>927</v>
      </c>
      <c r="E185" s="424"/>
      <c r="F185" s="424"/>
      <c r="G185" s="424"/>
      <c r="H185" s="424"/>
      <c r="I185" s="424"/>
      <c r="J185" s="425" t="s">
        <v>928</v>
      </c>
    </row>
    <row r="186" spans="2:10" ht="23.65" thickBot="1" x14ac:dyDescent="0.5">
      <c r="B186" s="413" t="s">
        <v>929</v>
      </c>
      <c r="C186" s="414" t="s">
        <v>930</v>
      </c>
      <c r="D186" s="418">
        <v>50</v>
      </c>
      <c r="E186" s="415" t="s">
        <v>931</v>
      </c>
      <c r="F186"/>
      <c r="G186"/>
      <c r="H186"/>
      <c r="I186"/>
      <c r="J186" s="416" t="s">
        <v>928</v>
      </c>
    </row>
    <row r="187" spans="2:10" ht="14.65" thickBot="1" x14ac:dyDescent="0.5">
      <c r="B187" s="413" t="s">
        <v>929</v>
      </c>
      <c r="C187" s="414" t="s">
        <v>932</v>
      </c>
      <c r="D187" s="423">
        <v>60</v>
      </c>
      <c r="E187" s="415" t="s">
        <v>931</v>
      </c>
      <c r="F187"/>
      <c r="G187"/>
      <c r="H187"/>
      <c r="I187"/>
      <c r="J187" s="423" t="s">
        <v>931</v>
      </c>
    </row>
    <row r="188" spans="2:10" ht="14.65" thickBot="1" x14ac:dyDescent="0.5">
      <c r="B188" s="413" t="s">
        <v>929</v>
      </c>
      <c r="C188" s="414" t="s">
        <v>933</v>
      </c>
      <c r="D188" s="423">
        <v>150</v>
      </c>
      <c r="E188" s="415" t="s">
        <v>934</v>
      </c>
      <c r="F188"/>
      <c r="G188"/>
      <c r="H188"/>
      <c r="I188"/>
      <c r="J188" s="423" t="s">
        <v>931</v>
      </c>
    </row>
    <row r="189" spans="2:10" ht="14.65" thickBot="1" x14ac:dyDescent="0.5">
      <c r="B189" s="413" t="s">
        <v>935</v>
      </c>
      <c r="C189" s="414" t="s">
        <v>936</v>
      </c>
      <c r="D189" s="423">
        <v>100</v>
      </c>
      <c r="E189" s="415" t="s">
        <v>931</v>
      </c>
      <c r="F189"/>
      <c r="G189"/>
      <c r="H189"/>
      <c r="I189"/>
      <c r="J189" s="423" t="s">
        <v>934</v>
      </c>
    </row>
    <row r="190" spans="2:10" ht="22.9" thickBot="1" x14ac:dyDescent="0.5">
      <c r="B190" s="416" t="s">
        <v>937</v>
      </c>
      <c r="C190" s="414" t="s">
        <v>936</v>
      </c>
      <c r="D190" s="423">
        <v>450</v>
      </c>
      <c r="E190" s="415" t="s">
        <v>931</v>
      </c>
      <c r="F190"/>
      <c r="G190"/>
      <c r="H190"/>
      <c r="I190"/>
      <c r="J190" s="423" t="s">
        <v>931</v>
      </c>
    </row>
    <row r="191" spans="2:10" ht="14.65" thickBot="1" x14ac:dyDescent="0.5">
      <c r="B191" s="2516" t="s">
        <v>938</v>
      </c>
      <c r="C191" s="2518" t="s">
        <v>939</v>
      </c>
      <c r="D191" s="423">
        <v>990</v>
      </c>
      <c r="E191" s="415" t="s">
        <v>934</v>
      </c>
      <c r="F191"/>
      <c r="G191"/>
      <c r="H191"/>
      <c r="I191"/>
      <c r="J191" s="423" t="s">
        <v>931</v>
      </c>
    </row>
    <row r="192" spans="2:10" ht="14.65" thickBot="1" x14ac:dyDescent="0.5">
      <c r="B192" s="2517"/>
      <c r="C192" s="2519"/>
      <c r="D192" s="418">
        <v>900</v>
      </c>
      <c r="E192" s="415" t="s">
        <v>940</v>
      </c>
      <c r="F192"/>
      <c r="G192"/>
      <c r="H192"/>
      <c r="I192"/>
      <c r="J192" s="423" t="s">
        <v>934</v>
      </c>
    </row>
    <row r="193" spans="2:12" ht="14.65" thickBot="1" x14ac:dyDescent="0.5">
      <c r="B193" s="2520" t="s">
        <v>941</v>
      </c>
      <c r="C193" s="2521"/>
      <c r="D193" s="2521"/>
      <c r="E193" s="2522"/>
      <c r="F193"/>
      <c r="G193"/>
      <c r="H193"/>
      <c r="I193"/>
      <c r="J193" s="423" t="s">
        <v>940</v>
      </c>
    </row>
    <row r="194" spans="2:12" x14ac:dyDescent="0.45">
      <c r="B194" s="1987" t="s">
        <v>984</v>
      </c>
    </row>
    <row r="196" spans="2:12" ht="14.65" thickBot="1" x14ac:dyDescent="0.5"/>
    <row r="197" spans="2:12" x14ac:dyDescent="0.45">
      <c r="B197" s="2471" t="s">
        <v>985</v>
      </c>
      <c r="C197" s="2472"/>
      <c r="D197" s="2472"/>
      <c r="E197" s="2472"/>
      <c r="F197" s="2472"/>
      <c r="G197" s="2472"/>
      <c r="H197" s="2399"/>
      <c r="I197" s="2399"/>
      <c r="J197" s="2399"/>
      <c r="K197" s="2399"/>
      <c r="L197" s="2473"/>
    </row>
    <row r="198" spans="2:12" ht="21" customHeight="1" thickBot="1" x14ac:dyDescent="0.5">
      <c r="B198" s="2484" t="s">
        <v>986</v>
      </c>
      <c r="C198" s="2485"/>
      <c r="D198" s="2485"/>
      <c r="E198" s="2485"/>
      <c r="F198" s="2485"/>
      <c r="G198" s="2485"/>
      <c r="H198" s="2486"/>
      <c r="I198" s="2486"/>
      <c r="J198" s="2486"/>
      <c r="K198" s="2486"/>
      <c r="L198" s="2487"/>
    </row>
    <row r="199" spans="2:12" ht="27" customHeight="1" thickBot="1" x14ac:dyDescent="0.5">
      <c r="B199" s="2496" t="s">
        <v>987</v>
      </c>
      <c r="C199" s="2497" t="s">
        <v>988</v>
      </c>
      <c r="D199" s="2509"/>
      <c r="E199" s="2497" t="s">
        <v>989</v>
      </c>
      <c r="F199" s="2509"/>
      <c r="G199" s="2496" t="s">
        <v>990</v>
      </c>
      <c r="H199"/>
      <c r="I199"/>
      <c r="J199" s="2497" t="s">
        <v>989</v>
      </c>
      <c r="K199" s="2498"/>
      <c r="L199" s="2478" t="s">
        <v>990</v>
      </c>
    </row>
    <row r="200" spans="2:12" x14ac:dyDescent="0.45">
      <c r="B200" s="2496"/>
      <c r="C200" s="2474" t="s">
        <v>1012</v>
      </c>
      <c r="D200" s="2474" t="s">
        <v>1013</v>
      </c>
      <c r="E200" s="411" t="s">
        <v>991</v>
      </c>
      <c r="F200" s="411" t="s">
        <v>991</v>
      </c>
      <c r="G200" s="2496"/>
      <c r="H200"/>
      <c r="I200"/>
      <c r="J200" s="2474" t="s">
        <v>1012</v>
      </c>
      <c r="K200" s="2476" t="s">
        <v>1013</v>
      </c>
      <c r="L200" s="2479"/>
    </row>
    <row r="201" spans="2:12" ht="22.9" thickBot="1" x14ac:dyDescent="0.5">
      <c r="B201" s="2496"/>
      <c r="C201" s="2475"/>
      <c r="D201" s="2475"/>
      <c r="E201" s="411" t="s">
        <v>992</v>
      </c>
      <c r="F201" s="411" t="s">
        <v>993</v>
      </c>
      <c r="G201" s="2496"/>
      <c r="H201"/>
      <c r="I201"/>
      <c r="J201" s="2475"/>
      <c r="K201" s="2477"/>
      <c r="L201" s="2480"/>
    </row>
    <row r="202" spans="2:12" ht="36" customHeight="1" x14ac:dyDescent="0.45">
      <c r="B202" s="428" t="s">
        <v>994</v>
      </c>
      <c r="C202" s="437">
        <v>10</v>
      </c>
      <c r="D202" s="437">
        <v>4</v>
      </c>
      <c r="E202" s="437">
        <v>0.6</v>
      </c>
      <c r="F202" s="437">
        <v>0.24</v>
      </c>
      <c r="G202" s="437" t="s">
        <v>999</v>
      </c>
      <c r="H202" s="437"/>
      <c r="I202" s="437"/>
      <c r="J202" s="437">
        <v>0.6</v>
      </c>
      <c r="K202" s="437">
        <v>0.24</v>
      </c>
      <c r="L202" s="2481" t="s">
        <v>1009</v>
      </c>
    </row>
    <row r="203" spans="2:12" ht="23.65" thickBot="1" x14ac:dyDescent="0.5">
      <c r="B203" s="429"/>
      <c r="C203" s="430" t="s">
        <v>995</v>
      </c>
      <c r="D203" s="430" t="s">
        <v>996</v>
      </c>
      <c r="E203" s="430" t="s">
        <v>997</v>
      </c>
      <c r="F203" s="430" t="s">
        <v>998</v>
      </c>
      <c r="G203" s="431" t="s">
        <v>1000</v>
      </c>
      <c r="H203" s="50"/>
      <c r="I203" s="50"/>
      <c r="J203" s="432" t="s">
        <v>997</v>
      </c>
      <c r="K203" s="433" t="s">
        <v>998</v>
      </c>
      <c r="L203" s="2482"/>
    </row>
    <row r="204" spans="2:12" ht="66" customHeight="1" x14ac:dyDescent="0.45">
      <c r="B204" s="2469" t="s">
        <v>1011</v>
      </c>
      <c r="C204" s="437">
        <v>2</v>
      </c>
      <c r="D204" s="437">
        <v>0.8</v>
      </c>
      <c r="E204" s="422" t="s">
        <v>1004</v>
      </c>
      <c r="F204" s="422" t="s">
        <v>1004</v>
      </c>
      <c r="G204" s="417" t="s">
        <v>1001</v>
      </c>
      <c r="H204"/>
      <c r="I204"/>
      <c r="J204" s="2499" t="s">
        <v>1008</v>
      </c>
      <c r="K204" s="2501" t="s">
        <v>1008</v>
      </c>
      <c r="L204" s="2482"/>
    </row>
    <row r="205" spans="2:12" ht="30.75" customHeight="1" thickBot="1" x14ac:dyDescent="0.5">
      <c r="B205" s="2470"/>
      <c r="C205" s="422" t="s">
        <v>1002</v>
      </c>
      <c r="D205" s="422" t="s">
        <v>1003</v>
      </c>
      <c r="E205" s="422" t="s">
        <v>1005</v>
      </c>
      <c r="F205" s="422" t="s">
        <v>1005</v>
      </c>
      <c r="G205" s="427"/>
      <c r="H205"/>
      <c r="I205"/>
      <c r="J205" s="2500"/>
      <c r="K205" s="2502"/>
      <c r="L205" s="2483"/>
    </row>
    <row r="206" spans="2:12" ht="24" customHeight="1" x14ac:dyDescent="0.45">
      <c r="B206" s="2488" t="s">
        <v>1006</v>
      </c>
      <c r="C206" s="2489"/>
      <c r="D206" s="2489"/>
      <c r="E206" s="2489"/>
      <c r="F206" s="2489"/>
      <c r="G206" s="2489"/>
      <c r="H206" s="2490"/>
      <c r="I206" s="2490"/>
      <c r="J206" s="2490"/>
      <c r="K206" s="2490"/>
      <c r="L206" s="2491"/>
    </row>
    <row r="207" spans="2:12" ht="33.75" customHeight="1" thickBot="1" x14ac:dyDescent="0.5">
      <c r="B207" s="2492" t="s">
        <v>1007</v>
      </c>
      <c r="C207" s="2493"/>
      <c r="D207" s="2493"/>
      <c r="E207" s="2493"/>
      <c r="F207" s="2493"/>
      <c r="G207" s="2493"/>
      <c r="H207" s="2494"/>
      <c r="I207" s="2494"/>
      <c r="J207" s="2494"/>
      <c r="K207" s="2494"/>
      <c r="L207" s="2495"/>
    </row>
    <row r="208" spans="2:12" ht="25.5" customHeight="1" x14ac:dyDescent="0.45">
      <c r="B208" s="2468" t="s">
        <v>1010</v>
      </c>
      <c r="C208" s="2468"/>
      <c r="D208" s="2468"/>
      <c r="E208" s="2468"/>
      <c r="F208" s="2468"/>
      <c r="G208" s="2468"/>
      <c r="H208" s="2468"/>
      <c r="I208" s="2468"/>
      <c r="J208" s="2468"/>
      <c r="K208" s="2468"/>
      <c r="L208" s="2468"/>
    </row>
    <row r="209" spans="1:31" ht="14.65" thickBot="1" x14ac:dyDescent="0.5"/>
    <row r="210" spans="1:31" ht="15.75" customHeight="1" x14ac:dyDescent="0.45">
      <c r="B210" s="434"/>
      <c r="C210" s="254"/>
      <c r="D210" s="2505" t="s">
        <v>585</v>
      </c>
      <c r="E210" s="2506"/>
      <c r="F210" s="2503" t="s">
        <v>586</v>
      </c>
      <c r="G210" s="2503"/>
      <c r="H210" s="2464" t="s">
        <v>587</v>
      </c>
      <c r="I210" s="2464" t="s">
        <v>397</v>
      </c>
      <c r="J210" s="2466" t="s">
        <v>615</v>
      </c>
      <c r="K210" s="434" t="s">
        <v>812</v>
      </c>
      <c r="L210" s="254"/>
      <c r="M210" s="254"/>
      <c r="N210" s="254"/>
      <c r="O210" s="254"/>
      <c r="P210" s="254" t="s">
        <v>589</v>
      </c>
      <c r="Q210"/>
    </row>
    <row r="211" spans="1:31" ht="22.5" customHeight="1" thickBot="1" x14ac:dyDescent="0.55000000000000004">
      <c r="B211" s="908" t="s">
        <v>380</v>
      </c>
      <c r="C211" s="909" t="s">
        <v>611</v>
      </c>
      <c r="D211" s="2507"/>
      <c r="E211" s="2508"/>
      <c r="F211" s="2504"/>
      <c r="G211" s="2504"/>
      <c r="H211" s="2465"/>
      <c r="I211" s="2465"/>
      <c r="J211" s="2467"/>
      <c r="K211" s="435" t="s">
        <v>354</v>
      </c>
      <c r="L211" s="436" t="s">
        <v>304</v>
      </c>
      <c r="M211" s="436" t="s">
        <v>256</v>
      </c>
      <c r="N211" s="436" t="s">
        <v>307</v>
      </c>
      <c r="O211" s="436" t="s">
        <v>583</v>
      </c>
      <c r="P211" s="436"/>
    </row>
    <row r="212" spans="1:31" ht="15.75" x14ac:dyDescent="0.45">
      <c r="B212" s="1995" t="s">
        <v>191</v>
      </c>
      <c r="C212" s="1996" t="s">
        <v>596</v>
      </c>
      <c r="D212" s="1997" t="s">
        <v>600</v>
      </c>
      <c r="E212" s="1997" t="s">
        <v>600</v>
      </c>
      <c r="F212" s="1998"/>
      <c r="G212" s="1998"/>
      <c r="H212" s="1999"/>
      <c r="I212" s="1999"/>
      <c r="J212" s="2000" t="s">
        <v>805</v>
      </c>
      <c r="K212" s="2001">
        <v>0.1349149051551963</v>
      </c>
      <c r="L212" s="2001">
        <v>8.471162968174997E-4</v>
      </c>
      <c r="M212" s="2001">
        <v>2.9495475482315689E-3</v>
      </c>
      <c r="N212" s="2002">
        <v>0.13871156900024537</v>
      </c>
      <c r="O212" s="2002"/>
      <c r="P212" s="2003" t="s">
        <v>601</v>
      </c>
    </row>
    <row r="213" spans="1:31" s="1207" customFormat="1" ht="15.75" x14ac:dyDescent="0.45">
      <c r="A213" s="1812"/>
      <c r="B213" s="2004" t="s">
        <v>227</v>
      </c>
      <c r="C213" s="1989" t="s">
        <v>614</v>
      </c>
      <c r="D213" s="1989" t="s">
        <v>224</v>
      </c>
      <c r="E213" s="1989" t="s">
        <v>609</v>
      </c>
      <c r="F213" s="1990"/>
      <c r="G213" s="1990"/>
      <c r="H213" s="1988"/>
      <c r="I213" s="1988"/>
      <c r="J213" s="1988" t="s">
        <v>608</v>
      </c>
      <c r="K213" s="1991"/>
      <c r="L213" s="1992"/>
      <c r="M213" s="1992"/>
      <c r="N213" s="1993"/>
      <c r="O213" s="1994">
        <f>IV.Waste!S115</f>
        <v>0</v>
      </c>
      <c r="P213" s="2005" t="s">
        <v>1015</v>
      </c>
      <c r="R213" s="1847"/>
      <c r="S213" s="1851"/>
      <c r="T213" s="2018"/>
      <c r="U213" s="2018"/>
      <c r="V213" s="2018"/>
      <c r="W213" s="2018"/>
      <c r="Y213" s="888"/>
      <c r="Z213" s="888"/>
      <c r="AA213" s="888"/>
      <c r="AB213" s="888"/>
      <c r="AC213" s="888"/>
      <c r="AD213" s="1804"/>
      <c r="AE213" s="888"/>
    </row>
    <row r="214" spans="1:31" s="1207" customFormat="1" ht="16.149999999999999" thickBot="1" x14ac:dyDescent="0.5">
      <c r="A214" s="1812"/>
      <c r="B214" s="2006" t="s">
        <v>570</v>
      </c>
      <c r="C214" s="2007" t="s">
        <v>624</v>
      </c>
      <c r="D214" s="2007"/>
      <c r="E214" s="2008"/>
      <c r="F214" s="2008"/>
      <c r="G214" s="2009"/>
      <c r="H214" s="2009"/>
      <c r="I214" s="2009"/>
      <c r="J214" s="2009" t="s">
        <v>1835</v>
      </c>
      <c r="K214" s="2009">
        <v>587</v>
      </c>
      <c r="L214" s="2009"/>
      <c r="M214" s="2010"/>
      <c r="N214" s="2011"/>
      <c r="O214" s="2011"/>
      <c r="P214" s="2012"/>
      <c r="Q214" s="1847"/>
      <c r="R214" s="2018"/>
      <c r="S214" s="2018"/>
      <c r="T214" s="2018"/>
      <c r="U214" s="2018"/>
      <c r="AB214" s="1810"/>
    </row>
    <row r="215" spans="1:31" s="1207" customFormat="1" ht="15.75" x14ac:dyDescent="0.45">
      <c r="A215" s="1812"/>
      <c r="B215" s="888"/>
      <c r="C215" s="888"/>
      <c r="D215" s="888"/>
      <c r="E215" s="888" t="s">
        <v>1835</v>
      </c>
      <c r="F215" s="1952"/>
      <c r="M215" s="1847"/>
      <c r="N215" s="1847"/>
      <c r="O215" s="1847"/>
      <c r="P215" s="1847"/>
      <c r="Q215" s="1847"/>
      <c r="R215" s="2018"/>
      <c r="S215" s="2018"/>
      <c r="T215" s="2018"/>
      <c r="U215" s="2018"/>
      <c r="AB215" s="1810"/>
    </row>
    <row r="216" spans="1:31" s="1207" customFormat="1" ht="15.75" x14ac:dyDescent="0.45">
      <c r="A216" s="1812"/>
      <c r="B216" s="1812"/>
      <c r="C216" s="1812"/>
      <c r="D216" s="1812"/>
      <c r="E216" s="1952"/>
      <c r="F216" s="1952"/>
      <c r="M216" s="1847"/>
      <c r="N216" s="1847"/>
      <c r="O216" s="1847"/>
      <c r="P216" s="1847"/>
      <c r="Q216" s="1851"/>
      <c r="R216" s="2018"/>
      <c r="S216" s="2018"/>
      <c r="T216" s="2018"/>
      <c r="U216" s="2018"/>
      <c r="AB216" s="1810"/>
    </row>
    <row r="217" spans="1:31" s="1207" customFormat="1" ht="16.149999999999999" thickBot="1" x14ac:dyDescent="0.5">
      <c r="A217" s="1812"/>
      <c r="B217" s="1812"/>
      <c r="C217" s="1812"/>
      <c r="D217" s="1812"/>
      <c r="E217" s="1952"/>
      <c r="F217" s="1952"/>
      <c r="M217" s="1847"/>
      <c r="N217" s="1847"/>
      <c r="O217" s="1847"/>
      <c r="P217" s="1847"/>
      <c r="Q217" s="1847"/>
      <c r="R217" s="2018"/>
      <c r="S217" s="2018"/>
      <c r="T217" s="2018"/>
      <c r="U217" s="2018"/>
    </row>
    <row r="218" spans="1:31" ht="14.65" thickBot="1" x14ac:dyDescent="0.5">
      <c r="B218" s="2013" t="s">
        <v>2264</v>
      </c>
      <c r="C218" s="2014"/>
      <c r="D218" s="2014"/>
      <c r="E218" s="2014"/>
      <c r="F218" s="2014"/>
      <c r="G218" s="2014"/>
      <c r="H218" s="2014"/>
      <c r="I218" s="2014"/>
      <c r="J218" s="2014"/>
      <c r="K218" s="2015"/>
    </row>
    <row r="219" spans="1:31" ht="28.5" customHeight="1" x14ac:dyDescent="0.45">
      <c r="B219" s="2425" t="s">
        <v>2257</v>
      </c>
      <c r="C219" s="2426"/>
      <c r="D219" s="2429" t="s">
        <v>2258</v>
      </c>
      <c r="E219" s="2429"/>
      <c r="F219" s="2429"/>
      <c r="G219" s="2429"/>
      <c r="H219" s="2429"/>
      <c r="I219" s="2429"/>
      <c r="J219" s="1645" t="s">
        <v>2259</v>
      </c>
      <c r="K219" s="1645" t="s">
        <v>2261</v>
      </c>
    </row>
    <row r="220" spans="1:31" ht="15.75" x14ac:dyDescent="0.45">
      <c r="B220" s="2427"/>
      <c r="C220" s="2428"/>
      <c r="D220" s="2430" t="s">
        <v>2260</v>
      </c>
      <c r="E220" s="2430"/>
      <c r="F220" s="2430" t="s">
        <v>2260</v>
      </c>
      <c r="G220" s="2430"/>
      <c r="H220" s="2430" t="s">
        <v>2261</v>
      </c>
      <c r="I220" s="2430"/>
      <c r="J220" s="1646"/>
      <c r="K220" s="1646" t="s">
        <v>2260</v>
      </c>
    </row>
    <row r="221" spans="1:31" x14ac:dyDescent="0.45">
      <c r="B221" s="1647" t="s">
        <v>2262</v>
      </c>
      <c r="C221" s="1647"/>
      <c r="D221" s="2423">
        <v>1.1000000000000001E-3</v>
      </c>
      <c r="E221" s="2423"/>
      <c r="F221" s="2423">
        <v>1.1000000000000001E-3</v>
      </c>
      <c r="G221" s="2423"/>
      <c r="H221" s="2424" t="s">
        <v>2263</v>
      </c>
      <c r="I221" s="2424"/>
      <c r="J221" s="1648">
        <v>5.1E-5</v>
      </c>
      <c r="K221" s="1648" t="s">
        <v>2263</v>
      </c>
    </row>
    <row r="223" spans="1:31" ht="15.75" x14ac:dyDescent="0.45">
      <c r="J223" s="2016"/>
      <c r="K223" s="2016"/>
      <c r="L223" s="2418"/>
      <c r="M223" s="2418"/>
      <c r="N223" s="2418"/>
      <c r="O223" s="2418"/>
      <c r="P223" s="2418"/>
      <c r="Q223" s="2418"/>
      <c r="R223" s="2418"/>
      <c r="S223" s="2418"/>
      <c r="T223" s="2418"/>
      <c r="U223" s="2418"/>
      <c r="V223" s="2418"/>
      <c r="W223" s="2418"/>
    </row>
    <row r="224" spans="1:31" ht="15.75" x14ac:dyDescent="0.45">
      <c r="J224" s="2016"/>
      <c r="K224" s="2016"/>
      <c r="L224" s="2418"/>
      <c r="M224" s="2418"/>
      <c r="N224" s="2418"/>
      <c r="O224" s="2418"/>
      <c r="P224" s="1954"/>
      <c r="Q224" s="1954"/>
      <c r="R224" s="2418"/>
      <c r="S224" s="2418"/>
      <c r="T224" s="2418"/>
      <c r="U224" s="2418"/>
      <c r="V224" s="2418"/>
      <c r="W224" s="2418"/>
    </row>
    <row r="225" spans="10:23" ht="15.75" x14ac:dyDescent="0.45">
      <c r="J225" s="2419"/>
      <c r="K225" s="2419"/>
      <c r="L225" s="2419"/>
      <c r="M225" s="2419"/>
      <c r="N225" s="2419"/>
      <c r="O225" s="2419"/>
      <c r="P225" s="2419"/>
      <c r="Q225" s="2419"/>
      <c r="R225" s="2419"/>
      <c r="S225" s="2419"/>
      <c r="T225" s="2419"/>
      <c r="U225" s="2419"/>
      <c r="V225" s="2419"/>
      <c r="W225" s="2419"/>
    </row>
    <row r="226" spans="10:23" x14ac:dyDescent="0.45">
      <c r="J226" s="2420"/>
      <c r="K226" s="2420"/>
      <c r="L226" s="2421"/>
      <c r="M226" s="2421"/>
      <c r="N226" s="2421"/>
      <c r="O226" s="2421"/>
      <c r="P226" s="2422"/>
      <c r="Q226" s="2422"/>
      <c r="R226" s="2422"/>
      <c r="S226" s="2422"/>
      <c r="T226" s="2017"/>
      <c r="U226" s="2017"/>
      <c r="V226" s="2422"/>
      <c r="W226" s="2422"/>
    </row>
  </sheetData>
  <sheetProtection algorithmName="SHA-512" hashValue="DEXF9f2SxsvXOXAQRugNYA1L1w498bUu81an1apBXKGLr0tZmENQcdTY1Pj3I58FTJN/MlfQOIPEcvlPHJkeZg==" saltValue="Mh4qUq18Pm5RSLzX4rHNfw==" spinCount="100000" sheet="1" objects="1" scenarios="1"/>
  <mergeCells count="138">
    <mergeCell ref="B151:B153"/>
    <mergeCell ref="C151:C153"/>
    <mergeCell ref="D151:D153"/>
    <mergeCell ref="B157:B158"/>
    <mergeCell ref="J151:J153"/>
    <mergeCell ref="C125:C127"/>
    <mergeCell ref="B139:B146"/>
    <mergeCell ref="C139:C140"/>
    <mergeCell ref="C141:C142"/>
    <mergeCell ref="C143:C144"/>
    <mergeCell ref="R76:AF76"/>
    <mergeCell ref="S78:S79"/>
    <mergeCell ref="R80:R101"/>
    <mergeCell ref="S103:S104"/>
    <mergeCell ref="R105:R117"/>
    <mergeCell ref="S119:S120"/>
    <mergeCell ref="R121:R122"/>
    <mergeCell ref="B149:M149"/>
    <mergeCell ref="B150:M150"/>
    <mergeCell ref="C145:C146"/>
    <mergeCell ref="B178:D178"/>
    <mergeCell ref="B179:D179"/>
    <mergeCell ref="B182:J182"/>
    <mergeCell ref="B176:B177"/>
    <mergeCell ref="B191:B192"/>
    <mergeCell ref="C191:C192"/>
    <mergeCell ref="B193:E193"/>
    <mergeCell ref="B159:M159"/>
    <mergeCell ref="B160:M160"/>
    <mergeCell ref="B161:M161"/>
    <mergeCell ref="B162:M162"/>
    <mergeCell ref="B163:M163"/>
    <mergeCell ref="B164:M164"/>
    <mergeCell ref="B165:M165"/>
    <mergeCell ref="B168:D168"/>
    <mergeCell ref="B169:D169"/>
    <mergeCell ref="B184:B185"/>
    <mergeCell ref="C184:C185"/>
    <mergeCell ref="B183:J183"/>
    <mergeCell ref="B170:C170"/>
    <mergeCell ref="B171:C171"/>
    <mergeCell ref="B172:B173"/>
    <mergeCell ref="B174:B175"/>
    <mergeCell ref="H210:H211"/>
    <mergeCell ref="I210:I211"/>
    <mergeCell ref="J210:J211"/>
    <mergeCell ref="B208:L208"/>
    <mergeCell ref="B204:B205"/>
    <mergeCell ref="B197:L197"/>
    <mergeCell ref="C200:C201"/>
    <mergeCell ref="D200:D201"/>
    <mergeCell ref="J200:J201"/>
    <mergeCell ref="K200:K201"/>
    <mergeCell ref="L199:L201"/>
    <mergeCell ref="L202:L205"/>
    <mergeCell ref="B198:L198"/>
    <mergeCell ref="B206:L206"/>
    <mergeCell ref="B207:L207"/>
    <mergeCell ref="G199:G201"/>
    <mergeCell ref="J199:K199"/>
    <mergeCell ref="J204:J205"/>
    <mergeCell ref="K204:K205"/>
    <mergeCell ref="F210:G211"/>
    <mergeCell ref="D210:E211"/>
    <mergeCell ref="B199:B201"/>
    <mergeCell ref="C199:D199"/>
    <mergeCell ref="E199:F199"/>
    <mergeCell ref="X11:X12"/>
    <mergeCell ref="Y11:Y12"/>
    <mergeCell ref="Z11:Z12"/>
    <mergeCell ref="S23:W23"/>
    <mergeCell ref="Q11:Q12"/>
    <mergeCell ref="S11:S12"/>
    <mergeCell ref="T11:T12"/>
    <mergeCell ref="U11:U12"/>
    <mergeCell ref="V11:V12"/>
    <mergeCell ref="AD20:AE20"/>
    <mergeCell ref="AD21:AE21"/>
    <mergeCell ref="AD22:AE22"/>
    <mergeCell ref="AD23:AE23"/>
    <mergeCell ref="AD24:AE24"/>
    <mergeCell ref="R57:R61"/>
    <mergeCell ref="R65:R69"/>
    <mergeCell ref="AD11:AG11"/>
    <mergeCell ref="AH11:AK11"/>
    <mergeCell ref="AD12:AE12"/>
    <mergeCell ref="AF12:AG12"/>
    <mergeCell ref="AD14:AE14"/>
    <mergeCell ref="AF14:AG14"/>
    <mergeCell ref="AD15:AE15"/>
    <mergeCell ref="AF15:AG15"/>
    <mergeCell ref="AD16:AE16"/>
    <mergeCell ref="AF16:AG16"/>
    <mergeCell ref="AD17:AE17"/>
    <mergeCell ref="AF17:AG17"/>
    <mergeCell ref="AD18:AE18"/>
    <mergeCell ref="AD19:AE19"/>
    <mergeCell ref="S24:W24"/>
    <mergeCell ref="S25:W25"/>
    <mergeCell ref="R32:R36"/>
    <mergeCell ref="AD30:AE30"/>
    <mergeCell ref="AD31:AE31"/>
    <mergeCell ref="AD32:AE32"/>
    <mergeCell ref="AF32:AG32"/>
    <mergeCell ref="C51:C52"/>
    <mergeCell ref="AD25:AE25"/>
    <mergeCell ref="AD26:AE26"/>
    <mergeCell ref="AD27:AE27"/>
    <mergeCell ref="AD28:AE28"/>
    <mergeCell ref="AD29:AE29"/>
    <mergeCell ref="R40:R44"/>
    <mergeCell ref="R48:R53"/>
    <mergeCell ref="E25:E26"/>
    <mergeCell ref="F25:F26"/>
    <mergeCell ref="A2:D6"/>
    <mergeCell ref="R223:W223"/>
    <mergeCell ref="L224:M224"/>
    <mergeCell ref="N224:O224"/>
    <mergeCell ref="R224:S224"/>
    <mergeCell ref="T224:U224"/>
    <mergeCell ref="V224:W224"/>
    <mergeCell ref="J225:W225"/>
    <mergeCell ref="J226:K226"/>
    <mergeCell ref="L226:M226"/>
    <mergeCell ref="N226:O226"/>
    <mergeCell ref="P226:Q226"/>
    <mergeCell ref="R226:S226"/>
    <mergeCell ref="V226:W226"/>
    <mergeCell ref="D221:E221"/>
    <mergeCell ref="F221:G221"/>
    <mergeCell ref="H221:I221"/>
    <mergeCell ref="L223:Q223"/>
    <mergeCell ref="B219:C220"/>
    <mergeCell ref="D219:I219"/>
    <mergeCell ref="D220:E220"/>
    <mergeCell ref="F220:G220"/>
    <mergeCell ref="H220:I220"/>
    <mergeCell ref="W11:W12"/>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9" tint="0.39997558519241921"/>
  </sheetPr>
  <dimension ref="B1:M63"/>
  <sheetViews>
    <sheetView topLeftCell="A28" workbookViewId="0">
      <selection activeCell="J43" sqref="J43:J46"/>
    </sheetView>
  </sheetViews>
  <sheetFormatPr defaultColWidth="9.1328125" defaultRowHeight="14.25" x14ac:dyDescent="0.45"/>
  <cols>
    <col min="1" max="1" width="6.59765625" style="888" customWidth="1"/>
    <col min="2" max="2" width="13.3984375" style="888" customWidth="1"/>
    <col min="3" max="6" width="9.1328125" style="888"/>
    <col min="7" max="7" width="20.59765625" style="888" customWidth="1"/>
    <col min="8" max="8" width="11.265625" style="888" bestFit="1" customWidth="1"/>
    <col min="9" max="9" width="12" style="888" customWidth="1"/>
    <col min="10" max="10" width="13.73046875" style="888" customWidth="1"/>
    <col min="11" max="11" width="14.1328125" style="888" customWidth="1"/>
    <col min="12" max="12" width="12.265625" style="888" customWidth="1"/>
    <col min="13" max="13" width="12.86328125" style="888" customWidth="1"/>
    <col min="14" max="16384" width="9.1328125" style="888"/>
  </cols>
  <sheetData>
    <row r="1" spans="2:13" ht="14.65" thickBot="1" x14ac:dyDescent="0.5"/>
    <row r="2" spans="2:13" ht="21.4" thickBot="1" x14ac:dyDescent="0.5">
      <c r="B2" s="1360" t="s">
        <v>2182</v>
      </c>
      <c r="C2" s="1358"/>
      <c r="D2" s="1358"/>
      <c r="E2" s="1358"/>
      <c r="F2" s="1358"/>
      <c r="G2" s="1358"/>
      <c r="H2" s="1358"/>
      <c r="I2" s="1358"/>
      <c r="J2" s="1358"/>
      <c r="K2" s="1358"/>
      <c r="L2" s="1358"/>
      <c r="M2" s="1359"/>
    </row>
    <row r="3" spans="2:13" ht="14.65" thickBot="1" x14ac:dyDescent="0.5"/>
    <row r="4" spans="2:13" x14ac:dyDescent="0.45">
      <c r="B4" s="2568" t="s">
        <v>2183</v>
      </c>
      <c r="C4" s="2569"/>
      <c r="D4" s="2569"/>
      <c r="E4" s="2569"/>
      <c r="F4" s="2569"/>
      <c r="G4" s="2569"/>
      <c r="H4" s="2569"/>
      <c r="I4" s="2569"/>
      <c r="J4" s="2569"/>
      <c r="K4" s="2569"/>
      <c r="L4" s="2569"/>
      <c r="M4" s="2019"/>
    </row>
    <row r="5" spans="2:13" x14ac:dyDescent="0.45">
      <c r="B5" s="2570"/>
      <c r="C5" s="2571"/>
      <c r="D5" s="2571"/>
      <c r="E5" s="2571"/>
      <c r="F5" s="2571"/>
      <c r="G5" s="2571"/>
      <c r="H5" s="2571"/>
      <c r="I5" s="2571"/>
      <c r="J5" s="2571"/>
      <c r="K5" s="2571"/>
      <c r="L5" s="2571"/>
      <c r="M5" s="2020"/>
    </row>
    <row r="6" spans="2:13" x14ac:dyDescent="0.45">
      <c r="B6" s="2021"/>
      <c r="C6" s="887"/>
      <c r="D6" s="887"/>
      <c r="E6" s="887"/>
      <c r="F6" s="887"/>
      <c r="G6" s="887"/>
      <c r="H6" s="887"/>
      <c r="I6" s="887"/>
      <c r="J6" s="887"/>
      <c r="K6" s="887"/>
      <c r="L6" s="887"/>
      <c r="M6" s="2020"/>
    </row>
    <row r="7" spans="2:13" x14ac:dyDescent="0.45">
      <c r="B7" s="2021"/>
      <c r="C7" s="887"/>
      <c r="D7" s="887"/>
      <c r="E7" s="887"/>
      <c r="F7" s="887"/>
      <c r="G7" s="887"/>
      <c r="H7" s="887"/>
      <c r="I7" s="887"/>
      <c r="J7" s="887"/>
      <c r="K7" s="887"/>
      <c r="L7" s="887"/>
      <c r="M7" s="2020"/>
    </row>
    <row r="8" spans="2:13" ht="14.65" thickBot="1" x14ac:dyDescent="0.5">
      <c r="B8" s="2022"/>
      <c r="C8" s="2023"/>
      <c r="D8" s="2023"/>
      <c r="E8" s="2023"/>
      <c r="F8" s="2023"/>
      <c r="G8" s="2023"/>
      <c r="H8" s="2023"/>
      <c r="I8" s="2023"/>
      <c r="J8" s="2023"/>
      <c r="K8" s="2023"/>
      <c r="L8" s="2023"/>
      <c r="M8" s="2024"/>
    </row>
    <row r="10" spans="2:13" ht="15.75" x14ac:dyDescent="0.45">
      <c r="B10" s="2572" t="s">
        <v>1096</v>
      </c>
      <c r="C10" s="2573"/>
      <c r="D10" s="2573"/>
      <c r="E10" s="2573"/>
      <c r="F10" s="2573"/>
      <c r="G10" s="2573"/>
      <c r="H10" s="2576" t="s">
        <v>1097</v>
      </c>
      <c r="I10" s="2576"/>
      <c r="J10" s="2576"/>
      <c r="K10" s="2576"/>
      <c r="L10" s="2576"/>
      <c r="M10" s="2577"/>
    </row>
    <row r="11" spans="2:13" ht="15.75" x14ac:dyDescent="0.45">
      <c r="B11" s="2574"/>
      <c r="C11" s="2575"/>
      <c r="D11" s="2575"/>
      <c r="E11" s="2575"/>
      <c r="F11" s="2575"/>
      <c r="G11" s="2575"/>
      <c r="H11" s="532" t="s">
        <v>321</v>
      </c>
      <c r="I11" s="532" t="s">
        <v>272</v>
      </c>
      <c r="J11" s="532" t="s">
        <v>226</v>
      </c>
      <c r="K11" s="532" t="s">
        <v>319</v>
      </c>
      <c r="L11" s="532" t="s">
        <v>270</v>
      </c>
      <c r="M11" s="533" t="s">
        <v>1098</v>
      </c>
    </row>
    <row r="12" spans="2:13" ht="15.75" x14ac:dyDescent="0.45">
      <c r="B12" s="2562" t="s">
        <v>408</v>
      </c>
      <c r="C12" s="2562"/>
      <c r="D12" s="2563" t="s">
        <v>1099</v>
      </c>
      <c r="E12" s="2563"/>
      <c r="F12" s="2563"/>
      <c r="G12" s="2563"/>
      <c r="H12" s="534">
        <f>J34</f>
        <v>12888366.351589223</v>
      </c>
      <c r="I12" s="534">
        <f>K34</f>
        <v>6582943.2633116608</v>
      </c>
      <c r="J12" s="535">
        <f>L34</f>
        <v>0</v>
      </c>
      <c r="K12" s="536">
        <f>H12+I12</f>
        <v>19471309.614900883</v>
      </c>
      <c r="L12" s="536">
        <f>SUM(H12:J12)</f>
        <v>19471309.614900883</v>
      </c>
      <c r="M12" s="537">
        <f>SUM(H12:J12)</f>
        <v>19471309.614900883</v>
      </c>
    </row>
    <row r="13" spans="2:13" ht="15.75" x14ac:dyDescent="0.45">
      <c r="B13" s="2562"/>
      <c r="C13" s="2562"/>
      <c r="D13" s="2563" t="s">
        <v>1100</v>
      </c>
      <c r="E13" s="2563"/>
      <c r="F13" s="2563"/>
      <c r="G13" s="2563"/>
      <c r="H13" s="538">
        <f>J29</f>
        <v>1288861.33</v>
      </c>
      <c r="I13" s="539"/>
      <c r="J13" s="539"/>
      <c r="K13" s="539"/>
      <c r="L13" s="539"/>
      <c r="M13" s="540"/>
    </row>
    <row r="14" spans="2:13" ht="15.75" x14ac:dyDescent="0.45">
      <c r="B14" s="2562" t="s">
        <v>1101</v>
      </c>
      <c r="C14" s="2562"/>
      <c r="D14" s="2563" t="s">
        <v>1102</v>
      </c>
      <c r="E14" s="2563"/>
      <c r="F14" s="2563"/>
      <c r="G14" s="2563"/>
      <c r="H14" s="534">
        <f>J41</f>
        <v>7568459.8076607147</v>
      </c>
      <c r="I14" s="534">
        <f>K41</f>
        <v>522561.83683142014</v>
      </c>
      <c r="J14" s="535">
        <f>L41</f>
        <v>0</v>
      </c>
      <c r="K14" s="536">
        <f>H14+I14</f>
        <v>8091021.6444921345</v>
      </c>
      <c r="L14" s="536">
        <f>SUM(H14:J14)</f>
        <v>8091021.6444921345</v>
      </c>
      <c r="M14" s="541">
        <f>SUM(H14:J14)</f>
        <v>8091021.6444921345</v>
      </c>
    </row>
    <row r="15" spans="2:13" ht="15.75" x14ac:dyDescent="0.45">
      <c r="B15" s="2562" t="s">
        <v>406</v>
      </c>
      <c r="C15" s="2562"/>
      <c r="D15" s="542" t="s">
        <v>1103</v>
      </c>
      <c r="E15" s="543"/>
      <c r="F15" s="543"/>
      <c r="G15" s="543"/>
      <c r="H15" s="534">
        <f>J51</f>
        <v>1775273.3436864098</v>
      </c>
      <c r="I15" s="539"/>
      <c r="J15" s="534">
        <f>L51</f>
        <v>381378.77322056063</v>
      </c>
      <c r="K15" s="536">
        <f>H15+J15</f>
        <v>2156652.1169069703</v>
      </c>
      <c r="L15" s="536">
        <f>H15+J15</f>
        <v>2156652.1169069703</v>
      </c>
      <c r="M15" s="541">
        <f>H15+J15</f>
        <v>2156652.1169069703</v>
      </c>
    </row>
    <row r="16" spans="2:13" ht="15.75" x14ac:dyDescent="0.45">
      <c r="B16" s="2562"/>
      <c r="C16" s="2562"/>
      <c r="D16" s="2563" t="s">
        <v>1104</v>
      </c>
      <c r="E16" s="2563"/>
      <c r="F16" s="2563"/>
      <c r="G16" s="2563"/>
      <c r="H16" s="538">
        <f>SUM(J47:J50)</f>
        <v>80818.697968034685</v>
      </c>
      <c r="I16" s="539"/>
      <c r="J16" s="539"/>
      <c r="K16" s="539"/>
      <c r="L16" s="539"/>
      <c r="M16" s="540"/>
    </row>
    <row r="17" spans="2:13" ht="15.75" x14ac:dyDescent="0.45">
      <c r="B17" s="2562" t="s">
        <v>192</v>
      </c>
      <c r="C17" s="2562"/>
      <c r="D17" s="2563" t="s">
        <v>1105</v>
      </c>
      <c r="E17" s="2563"/>
      <c r="F17" s="2563"/>
      <c r="G17" s="2563"/>
      <c r="H17" s="535">
        <f>J55</f>
        <v>1825695.847836674</v>
      </c>
      <c r="I17" s="539"/>
      <c r="J17" s="539"/>
      <c r="K17" s="539"/>
      <c r="L17" s="536">
        <f>H17</f>
        <v>1825695.847836674</v>
      </c>
      <c r="M17" s="541">
        <f>H17</f>
        <v>1825695.847836674</v>
      </c>
    </row>
    <row r="18" spans="2:13" ht="15.75" x14ac:dyDescent="0.45">
      <c r="B18" s="2562" t="s">
        <v>1074</v>
      </c>
      <c r="C18" s="2562"/>
      <c r="D18" s="2563" t="s">
        <v>1106</v>
      </c>
      <c r="E18" s="2563"/>
      <c r="F18" s="2563"/>
      <c r="G18" s="2563"/>
      <c r="H18" s="535">
        <f>J60</f>
        <v>119156.00939003112</v>
      </c>
      <c r="I18" s="539"/>
      <c r="J18" s="539"/>
      <c r="K18" s="539"/>
      <c r="L18" s="536">
        <f>H18</f>
        <v>119156.00939003112</v>
      </c>
      <c r="M18" s="541">
        <f>H18</f>
        <v>119156.00939003112</v>
      </c>
    </row>
    <row r="19" spans="2:13" ht="15.75" x14ac:dyDescent="0.45">
      <c r="B19" s="2562" t="s">
        <v>405</v>
      </c>
      <c r="C19" s="2562"/>
      <c r="D19" s="2563" t="s">
        <v>1107</v>
      </c>
      <c r="E19" s="2563"/>
      <c r="F19" s="2563"/>
      <c r="G19" s="2563"/>
      <c r="H19" s="539"/>
      <c r="I19" s="539"/>
      <c r="J19" s="544" t="str">
        <f>IF(ISNUMBER(L62),L62,"")</f>
        <v/>
      </c>
      <c r="K19" s="539"/>
      <c r="L19" s="539"/>
      <c r="M19" s="541">
        <f>SUM(J19)</f>
        <v>0</v>
      </c>
    </row>
    <row r="20" spans="2:13" ht="15.75" x14ac:dyDescent="0.45">
      <c r="B20" s="2564" t="s">
        <v>665</v>
      </c>
      <c r="C20" s="2564"/>
      <c r="D20" s="2564"/>
      <c r="E20" s="2564"/>
      <c r="F20" s="2564"/>
      <c r="G20" s="2564"/>
      <c r="H20" s="545">
        <f>IF(SUM(H12:H18)=0,"All territorial emissions",SUM(H12:H18))</f>
        <v>25546631.388131086</v>
      </c>
      <c r="I20" s="546">
        <f>IF((I12+I14)=0,"",I12+I14)</f>
        <v>7105505.1001430806</v>
      </c>
      <c r="J20" s="546">
        <f>IF((J12+J14+J15)=0,"",(J12+J14+J15))</f>
        <v>381378.77322056063</v>
      </c>
      <c r="K20" s="545">
        <f>IF((K12+K14+K15)=0,"All BASIC emissions",(K12+K14+K15))</f>
        <v>29718983.376299988</v>
      </c>
      <c r="L20" s="545">
        <f>IF((L12+L14+L15+L17+L18)=0,"All BASIC+ emissions",(L12+L14+L15+L17+L18))</f>
        <v>31663835.233526692</v>
      </c>
      <c r="M20" s="545">
        <f>IF((M12+M14+M15+M17+M18+M19)=0,"All BASIC+ S3 emissions",(M12+M14+M15+M17+M18+M19))</f>
        <v>31663835.233526692</v>
      </c>
    </row>
    <row r="21" spans="2:13" ht="15.75" x14ac:dyDescent="0.5">
      <c r="B21" s="547"/>
      <c r="C21" s="548"/>
      <c r="D21" s="548"/>
      <c r="E21" s="548"/>
      <c r="F21" s="548"/>
      <c r="G21" s="548"/>
      <c r="H21" s="548"/>
      <c r="I21" s="548"/>
      <c r="J21" s="548"/>
      <c r="K21" s="548"/>
      <c r="L21" s="548"/>
      <c r="M21" s="548"/>
    </row>
    <row r="22" spans="2:13" ht="18" x14ac:dyDescent="0.45">
      <c r="B22" s="2565" t="s">
        <v>1108</v>
      </c>
      <c r="C22" s="2560" t="s">
        <v>1109</v>
      </c>
      <c r="D22" s="2560"/>
      <c r="E22" s="2560"/>
      <c r="F22" s="2560"/>
      <c r="G22" s="2560"/>
      <c r="H22" s="2560"/>
      <c r="I22" s="2560"/>
      <c r="J22" s="2560" t="s">
        <v>1110</v>
      </c>
      <c r="K22" s="2560"/>
      <c r="L22" s="2560"/>
      <c r="M22" s="2561"/>
    </row>
    <row r="23" spans="2:13" ht="15.75" x14ac:dyDescent="0.45">
      <c r="B23" s="2566"/>
      <c r="C23" s="2567"/>
      <c r="D23" s="2567"/>
      <c r="E23" s="2567"/>
      <c r="F23" s="2567"/>
      <c r="G23" s="2567"/>
      <c r="H23" s="2567"/>
      <c r="I23" s="2567"/>
      <c r="J23" s="549" t="s">
        <v>321</v>
      </c>
      <c r="K23" s="549" t="s">
        <v>272</v>
      </c>
      <c r="L23" s="549" t="s">
        <v>226</v>
      </c>
      <c r="M23" s="550" t="s">
        <v>667</v>
      </c>
    </row>
    <row r="24" spans="2:13" ht="15.75" x14ac:dyDescent="0.5">
      <c r="B24" s="551" t="s">
        <v>1111</v>
      </c>
      <c r="C24" s="2554" t="s">
        <v>1112</v>
      </c>
      <c r="D24" s="2555"/>
      <c r="E24" s="552"/>
      <c r="F24" s="552"/>
      <c r="G24" s="553"/>
      <c r="H24" s="553"/>
      <c r="I24" s="553"/>
      <c r="J24" s="554"/>
      <c r="K24" s="554"/>
      <c r="L24" s="554"/>
      <c r="M24" s="555"/>
    </row>
    <row r="25" spans="2:13" ht="15.75" x14ac:dyDescent="0.5">
      <c r="B25" s="551" t="s">
        <v>1113</v>
      </c>
      <c r="C25" s="556" t="s">
        <v>520</v>
      </c>
      <c r="D25" s="557"/>
      <c r="E25" s="557"/>
      <c r="F25" s="557"/>
      <c r="G25" s="558"/>
      <c r="H25" s="558"/>
      <c r="I25" s="559"/>
      <c r="J25" s="560">
        <f>SUM('Ia.Energy-Stationary '!P12:P14)</f>
        <v>7389322.5903965887</v>
      </c>
      <c r="K25" s="561">
        <f>SUM('Ia.Energy-Stationary '!P15:P16)</f>
        <v>3178415.281400776</v>
      </c>
      <c r="L25" s="535"/>
      <c r="M25" s="562">
        <f t="shared" ref="M25:M31" si="0">SUM(J25:L25)</f>
        <v>10567737.871797364</v>
      </c>
    </row>
    <row r="26" spans="2:13" ht="15.75" x14ac:dyDescent="0.5">
      <c r="B26" s="563" t="s">
        <v>1114</v>
      </c>
      <c r="C26" s="564" t="s">
        <v>1115</v>
      </c>
      <c r="D26" s="552"/>
      <c r="E26" s="552"/>
      <c r="F26" s="552"/>
      <c r="G26" s="553"/>
      <c r="H26" s="553"/>
      <c r="I26" s="565"/>
      <c r="J26" s="566">
        <f>SUM('Ia.Energy-Stationary '!P23:P24,'Ia.Energy-Stationary '!P27,'Ia.Energy-Stationary '!P30:P31)</f>
        <v>1530821.5184903815</v>
      </c>
      <c r="K26" s="566">
        <f>SUM('Ia.Energy-Stationary '!P25,'Ia.Energy-Stationary '!P28,'Ia.Energy-Stationary '!P33)</f>
        <v>2095169.4753737201</v>
      </c>
      <c r="L26" s="567"/>
      <c r="M26" s="568">
        <f t="shared" si="0"/>
        <v>3625990.9938641014</v>
      </c>
    </row>
    <row r="27" spans="2:13" ht="15.75" x14ac:dyDescent="0.5">
      <c r="B27" s="563" t="s">
        <v>1116</v>
      </c>
      <c r="C27" s="564" t="s">
        <v>525</v>
      </c>
      <c r="D27" s="552"/>
      <c r="E27" s="552"/>
      <c r="F27" s="552"/>
      <c r="G27" s="553"/>
      <c r="H27" s="553"/>
      <c r="I27" s="565"/>
      <c r="J27" s="566">
        <f>SUM('Ia.Energy-Stationary '!P43:P46)</f>
        <v>359762.81916979584</v>
      </c>
      <c r="K27" s="566">
        <f>'Ia.Energy-Stationary '!P47</f>
        <v>11007.103736499999</v>
      </c>
      <c r="L27" s="567"/>
      <c r="M27" s="568">
        <f t="shared" si="0"/>
        <v>370769.92290629586</v>
      </c>
    </row>
    <row r="28" spans="2:13" ht="15.75" x14ac:dyDescent="0.5">
      <c r="B28" s="563" t="s">
        <v>1117</v>
      </c>
      <c r="C28" s="564" t="s">
        <v>563</v>
      </c>
      <c r="D28" s="552"/>
      <c r="E28" s="552"/>
      <c r="F28" s="552"/>
      <c r="G28" s="553"/>
      <c r="H28" s="553"/>
      <c r="I28" s="565"/>
      <c r="J28" s="566">
        <f>SUM('Ia.Energy-Stationary '!P54:P57, 'Ia.Energy-Stationary '!P59)</f>
        <v>1159656.4380409685</v>
      </c>
      <c r="K28" s="566">
        <v>0</v>
      </c>
      <c r="L28" s="567"/>
      <c r="M28" s="568">
        <f t="shared" si="0"/>
        <v>1159656.4380409685</v>
      </c>
    </row>
    <row r="29" spans="2:13" ht="15.75" x14ac:dyDescent="0.5">
      <c r="B29" s="563" t="s">
        <v>1118</v>
      </c>
      <c r="C29" s="564" t="s">
        <v>1119</v>
      </c>
      <c r="D29" s="552"/>
      <c r="E29" s="552"/>
      <c r="F29" s="552"/>
      <c r="G29" s="553"/>
      <c r="H29" s="553"/>
      <c r="I29" s="565"/>
      <c r="J29" s="538">
        <f>'GCoM summary'!F53</f>
        <v>1288861.33</v>
      </c>
      <c r="K29" s="539"/>
      <c r="L29" s="539"/>
      <c r="M29" s="569"/>
    </row>
    <row r="30" spans="2:13" ht="15.75" x14ac:dyDescent="0.5">
      <c r="B30" s="563" t="s">
        <v>1120</v>
      </c>
      <c r="C30" s="564" t="s">
        <v>1121</v>
      </c>
      <c r="D30" s="552"/>
      <c r="E30" s="552"/>
      <c r="F30" s="552"/>
      <c r="G30" s="553"/>
      <c r="H30" s="553"/>
      <c r="I30" s="565"/>
      <c r="J30" s="566">
        <f>SUM('Ia.Energy-Stationary '!P66:P67,'Ia.Energy-Stationary '!P70)</f>
        <v>15589.308859366765</v>
      </c>
      <c r="K30" s="566">
        <f>SUM('Ia.Energy-Stationary '!P68,'Ia.Energy-Stationary '!P72)</f>
        <v>11730.973611710999</v>
      </c>
      <c r="L30" s="567" t="s">
        <v>363</v>
      </c>
      <c r="M30" s="568">
        <f t="shared" si="0"/>
        <v>27320.282471077764</v>
      </c>
    </row>
    <row r="31" spans="2:13" ht="15.75" x14ac:dyDescent="0.5">
      <c r="B31" s="563" t="s">
        <v>1122</v>
      </c>
      <c r="C31" s="564" t="s">
        <v>565</v>
      </c>
      <c r="D31" s="552"/>
      <c r="E31" s="552"/>
      <c r="F31" s="552"/>
      <c r="G31" s="553"/>
      <c r="H31" s="553"/>
      <c r="I31" s="565"/>
      <c r="J31" s="566">
        <f>SUM('Ia.Energy-Stationary '!P79:P80,'Ia.Energy-Stationary '!P83)</f>
        <v>2266807.892276274</v>
      </c>
      <c r="K31" s="566">
        <f>'Ia.Energy-Stationary '!P81+'Ia.Energy-Stationary '!P85</f>
        <v>1286620.4291889535</v>
      </c>
      <c r="L31" s="567" t="s">
        <v>363</v>
      </c>
      <c r="M31" s="568">
        <f t="shared" si="0"/>
        <v>3553428.3214652278</v>
      </c>
    </row>
    <row r="32" spans="2:13" ht="15.75" x14ac:dyDescent="0.5">
      <c r="B32" s="563" t="s">
        <v>1123</v>
      </c>
      <c r="C32" s="564" t="s">
        <v>1124</v>
      </c>
      <c r="D32" s="552"/>
      <c r="E32" s="552"/>
      <c r="F32" s="552"/>
      <c r="G32" s="553"/>
      <c r="H32" s="553"/>
      <c r="I32" s="565"/>
      <c r="J32" s="566" t="s">
        <v>363</v>
      </c>
      <c r="K32" s="539"/>
      <c r="L32" s="539"/>
      <c r="M32" s="568">
        <f>SUM(J32:L32)</f>
        <v>0</v>
      </c>
    </row>
    <row r="33" spans="2:13" ht="15.75" x14ac:dyDescent="0.5">
      <c r="B33" s="563" t="s">
        <v>1125</v>
      </c>
      <c r="C33" s="570" t="s">
        <v>1126</v>
      </c>
      <c r="D33" s="571"/>
      <c r="E33" s="571"/>
      <c r="F33" s="571"/>
      <c r="G33" s="572"/>
      <c r="H33" s="572"/>
      <c r="I33" s="573"/>
      <c r="J33" s="566">
        <f>'Ia.Energy-Stationary '!P95</f>
        <v>166405.78435584917</v>
      </c>
      <c r="K33" s="539"/>
      <c r="L33" s="539"/>
      <c r="M33" s="568">
        <f>SUM(J33:L33)</f>
        <v>166405.78435584917</v>
      </c>
    </row>
    <row r="34" spans="2:13" ht="15.75" x14ac:dyDescent="0.5">
      <c r="B34" s="574" t="s">
        <v>1127</v>
      </c>
      <c r="C34" s="2556" t="s">
        <v>1128</v>
      </c>
      <c r="D34" s="2557"/>
      <c r="E34" s="2557"/>
      <c r="F34" s="2557"/>
      <c r="G34" s="575"/>
      <c r="H34" s="575"/>
      <c r="I34" s="576"/>
      <c r="J34" s="577">
        <f>SUM(J25:J28)+SUM(J30:J33)</f>
        <v>12888366.351589223</v>
      </c>
      <c r="K34" s="578">
        <f>SUM(K25:K33)</f>
        <v>6582943.2633116608</v>
      </c>
      <c r="L34" s="578">
        <f>SUM(L25:L33)</f>
        <v>0</v>
      </c>
      <c r="M34" s="578">
        <f>SUM(M25:M28)+SUM(M30:M33)</f>
        <v>19471309.614900883</v>
      </c>
    </row>
    <row r="35" spans="2:13" ht="15.75" x14ac:dyDescent="0.5">
      <c r="B35" s="551" t="s">
        <v>1129</v>
      </c>
      <c r="C35" s="2558" t="s">
        <v>1101</v>
      </c>
      <c r="D35" s="2559"/>
      <c r="E35" s="557"/>
      <c r="F35" s="557"/>
      <c r="G35" s="558"/>
      <c r="H35" s="558"/>
      <c r="I35" s="558"/>
      <c r="J35" s="579"/>
      <c r="K35" s="579"/>
      <c r="L35" s="579"/>
      <c r="M35" s="580"/>
    </row>
    <row r="36" spans="2:13" ht="15.75" x14ac:dyDescent="0.5">
      <c r="B36" s="563" t="s">
        <v>1130</v>
      </c>
      <c r="C36" s="556" t="s">
        <v>1131</v>
      </c>
      <c r="D36" s="557"/>
      <c r="E36" s="557"/>
      <c r="F36" s="557"/>
      <c r="G36" s="558"/>
      <c r="H36" s="558"/>
      <c r="I36" s="559"/>
      <c r="J36" s="561">
        <f>'Ib.Energy-Transport '!P12+'Ib.Energy-Transport '!P13+'Ib.Energy-Transport '!P15+'Ib.Energy-Transport '!P16+'Ib.Energy-Transport '!P18+'Ib.Energy-Transport '!P19+'Ib.Energy-Transport '!P20+'Ib.Energy-Transport '!P21+'Ib.Energy-Transport '!P22+'Ib.Energy-Transport '!P23</f>
        <v>6220486.3894384373</v>
      </c>
      <c r="K36" s="561">
        <f>'Ib.Energy-Transport '!P14+'Ib.Energy-Transport '!P17+'Ib.Energy-Transport '!P24</f>
        <v>5361.1973329510129</v>
      </c>
      <c r="L36" s="581">
        <v>0</v>
      </c>
      <c r="M36" s="562">
        <f>SUM(J36:L36)</f>
        <v>6225847.5867713885</v>
      </c>
    </row>
    <row r="37" spans="2:13" ht="15.75" x14ac:dyDescent="0.5">
      <c r="B37" s="563" t="s">
        <v>1132</v>
      </c>
      <c r="C37" s="564" t="s">
        <v>1133</v>
      </c>
      <c r="D37" s="552"/>
      <c r="E37" s="552"/>
      <c r="F37" s="552"/>
      <c r="G37" s="553"/>
      <c r="H37" s="553"/>
      <c r="I37" s="565"/>
      <c r="J37" s="566">
        <f>'Ib.Energy-Transport '!P30+'Ib.Energy-Transport '!P34+'Ib.Energy-Transport '!P37</f>
        <v>81514.599861271985</v>
      </c>
      <c r="K37" s="566">
        <f>'Ib.Energy-Transport '!P31+'Ib.Energy-Transport '!P32+'Ib.Energy-Transport '!P33+'Ib.Energy-Transport '!P35+'Ib.Energy-Transport '!P36</f>
        <v>517200.63949846913</v>
      </c>
      <c r="L37" s="582">
        <v>0</v>
      </c>
      <c r="M37" s="568">
        <f>SUM(J37:L37)</f>
        <v>598715.2393597411</v>
      </c>
    </row>
    <row r="38" spans="2:13" ht="15.75" x14ac:dyDescent="0.5">
      <c r="B38" s="563" t="s">
        <v>1134</v>
      </c>
      <c r="C38" s="564" t="s">
        <v>1135</v>
      </c>
      <c r="D38" s="552"/>
      <c r="E38" s="552"/>
      <c r="F38" s="552"/>
      <c r="G38" s="553"/>
      <c r="H38" s="553"/>
      <c r="I38" s="565"/>
      <c r="J38" s="566">
        <f>'Ib.Energy-Transport '!J215</f>
        <v>40106.479659647026</v>
      </c>
      <c r="K38" s="566" t="s">
        <v>306</v>
      </c>
      <c r="L38" s="582">
        <v>0</v>
      </c>
      <c r="M38" s="568">
        <f>SUM(J38:L38)</f>
        <v>40106.479659647026</v>
      </c>
    </row>
    <row r="39" spans="2:13" ht="15.75" x14ac:dyDescent="0.5">
      <c r="B39" s="563" t="s">
        <v>1136</v>
      </c>
      <c r="C39" s="564" t="s">
        <v>623</v>
      </c>
      <c r="D39" s="552"/>
      <c r="E39" s="552"/>
      <c r="F39" s="552"/>
      <c r="G39" s="553"/>
      <c r="H39" s="553"/>
      <c r="I39" s="565"/>
      <c r="J39" s="566">
        <f>SUM('Ib.Energy-Transport '!P44:P45)</f>
        <v>988767.27442632802</v>
      </c>
      <c r="K39" s="566" t="s">
        <v>306</v>
      </c>
      <c r="L39" s="582">
        <v>0</v>
      </c>
      <c r="M39" s="568">
        <f>SUM(J39:L39)</f>
        <v>988767.27442632802</v>
      </c>
    </row>
    <row r="40" spans="2:13" ht="15.75" x14ac:dyDescent="0.5">
      <c r="B40" s="563" t="s">
        <v>1137</v>
      </c>
      <c r="C40" s="564" t="s">
        <v>1138</v>
      </c>
      <c r="D40" s="552"/>
      <c r="E40" s="552"/>
      <c r="F40" s="552"/>
      <c r="G40" s="553"/>
      <c r="H40" s="553"/>
      <c r="I40" s="565"/>
      <c r="J40" s="566">
        <f>SUM('Ib.Energy-Transport '!P61:P68)</f>
        <v>237585.06427503139</v>
      </c>
      <c r="K40" s="566" t="s">
        <v>306</v>
      </c>
      <c r="L40" s="582" t="s">
        <v>363</v>
      </c>
      <c r="M40" s="568">
        <f>SUM(J40:L40)</f>
        <v>237585.06427503139</v>
      </c>
    </row>
    <row r="41" spans="2:13" ht="15.75" x14ac:dyDescent="0.5">
      <c r="B41" s="583" t="s">
        <v>1127</v>
      </c>
      <c r="C41" s="2552" t="s">
        <v>1128</v>
      </c>
      <c r="D41" s="2553"/>
      <c r="E41" s="2553"/>
      <c r="F41" s="2553"/>
      <c r="G41" s="584"/>
      <c r="H41" s="584"/>
      <c r="I41" s="585"/>
      <c r="J41" s="578">
        <f>SUM(J36:J40)</f>
        <v>7568459.8076607147</v>
      </c>
      <c r="K41" s="578">
        <f>SUM(K36:K40)</f>
        <v>522561.83683142014</v>
      </c>
      <c r="L41" s="578">
        <f>SUM(L36:L40)</f>
        <v>0</v>
      </c>
      <c r="M41" s="578">
        <f>SUM(M36:M40)</f>
        <v>8091021.6444921354</v>
      </c>
    </row>
    <row r="42" spans="2:13" ht="15.75" x14ac:dyDescent="0.5">
      <c r="B42" s="551" t="s">
        <v>1139</v>
      </c>
      <c r="C42" s="2554" t="s">
        <v>1140</v>
      </c>
      <c r="D42" s="2555"/>
      <c r="E42" s="552"/>
      <c r="F42" s="552"/>
      <c r="G42" s="553"/>
      <c r="H42" s="553"/>
      <c r="I42" s="553"/>
      <c r="J42" s="579"/>
      <c r="K42" s="579"/>
      <c r="L42" s="579"/>
      <c r="M42" s="580"/>
    </row>
    <row r="43" spans="2:13" ht="15.75" x14ac:dyDescent="0.5">
      <c r="B43" s="563" t="s">
        <v>1141</v>
      </c>
      <c r="C43" s="556" t="s">
        <v>1142</v>
      </c>
      <c r="D43" s="557"/>
      <c r="E43" s="557"/>
      <c r="F43" s="557"/>
      <c r="G43" s="558"/>
      <c r="H43" s="558"/>
      <c r="I43" s="559"/>
      <c r="J43" s="561">
        <f>IV.Waste!P10</f>
        <v>675000</v>
      </c>
      <c r="K43" s="586"/>
      <c r="L43" s="561" t="s">
        <v>306</v>
      </c>
      <c r="M43" s="562">
        <f>SUM(J43:L43)</f>
        <v>675000</v>
      </c>
    </row>
    <row r="44" spans="2:13" ht="15.75" x14ac:dyDescent="0.5">
      <c r="B44" s="563" t="s">
        <v>1143</v>
      </c>
      <c r="C44" s="564" t="s">
        <v>1144</v>
      </c>
      <c r="D44" s="552"/>
      <c r="E44" s="552"/>
      <c r="F44" s="552"/>
      <c r="G44" s="553"/>
      <c r="H44" s="553"/>
      <c r="I44" s="565"/>
      <c r="J44" s="566">
        <f>IV.Waste!P11+IV.Waste!P13</f>
        <v>28922.56218719999</v>
      </c>
      <c r="K44" s="539"/>
      <c r="L44" s="566">
        <f>IV.Waste!P12+IV.Waste!P14</f>
        <v>28357.261391566219</v>
      </c>
      <c r="M44" s="568">
        <f>SUM(J44:L44)</f>
        <v>57279.823578766212</v>
      </c>
    </row>
    <row r="45" spans="2:13" ht="15.75" x14ac:dyDescent="0.5">
      <c r="B45" s="563" t="s">
        <v>1145</v>
      </c>
      <c r="C45" s="564" t="s">
        <v>1146</v>
      </c>
      <c r="D45" s="552"/>
      <c r="E45" s="552"/>
      <c r="F45" s="552"/>
      <c r="G45" s="553"/>
      <c r="H45" s="553"/>
      <c r="I45" s="565"/>
      <c r="J45" s="566">
        <f>SUM('Ia.Energy-Stationary '!P56:P57,'Ia.Energy-Stationary '!P59)*94%</f>
        <v>654661.40149921004</v>
      </c>
      <c r="K45" s="539"/>
      <c r="L45" s="566">
        <f>'Ia.Energy-Stationary '!P58</f>
        <v>306722.69182899443</v>
      </c>
      <c r="M45" s="568">
        <f>SUM(J45:L45)</f>
        <v>961384.09332820447</v>
      </c>
    </row>
    <row r="46" spans="2:13" ht="15.75" x14ac:dyDescent="0.5">
      <c r="B46" s="563" t="s">
        <v>1147</v>
      </c>
      <c r="C46" s="564" t="s">
        <v>1148</v>
      </c>
      <c r="D46" s="552"/>
      <c r="E46" s="552"/>
      <c r="F46" s="552"/>
      <c r="G46" s="553"/>
      <c r="H46" s="553"/>
      <c r="I46" s="565"/>
      <c r="J46" s="566">
        <f>IV.Waste!P15*90%</f>
        <v>416689.38</v>
      </c>
      <c r="K46" s="539"/>
      <c r="L46" s="566">
        <f>IV.Waste!P15*10%</f>
        <v>46298.820000000007</v>
      </c>
      <c r="M46" s="568">
        <f>SUM(J46:L46)</f>
        <v>462988.2</v>
      </c>
    </row>
    <row r="47" spans="2:13" ht="15.75" x14ac:dyDescent="0.5">
      <c r="B47" s="563" t="s">
        <v>1149</v>
      </c>
      <c r="C47" s="564" t="s">
        <v>1150</v>
      </c>
      <c r="D47" s="552"/>
      <c r="E47" s="552"/>
      <c r="F47" s="552"/>
      <c r="G47" s="553"/>
      <c r="H47" s="553"/>
      <c r="I47" s="565"/>
      <c r="J47" s="538"/>
      <c r="K47" s="539"/>
      <c r="L47" s="539"/>
      <c r="M47" s="569"/>
    </row>
    <row r="48" spans="2:13" ht="15.75" x14ac:dyDescent="0.5">
      <c r="B48" s="563" t="s">
        <v>1151</v>
      </c>
      <c r="C48" s="564" t="s">
        <v>1152</v>
      </c>
      <c r="D48" s="552"/>
      <c r="E48" s="552"/>
      <c r="F48" s="552"/>
      <c r="G48" s="553"/>
      <c r="H48" s="553"/>
      <c r="I48" s="565"/>
      <c r="J48" s="538"/>
      <c r="K48" s="539"/>
      <c r="L48" s="539"/>
      <c r="M48" s="569"/>
    </row>
    <row r="49" spans="2:13" ht="15.75" x14ac:dyDescent="0.5">
      <c r="B49" s="563" t="s">
        <v>1153</v>
      </c>
      <c r="C49" s="564" t="s">
        <v>1154</v>
      </c>
      <c r="D49" s="552"/>
      <c r="E49" s="552"/>
      <c r="F49" s="552"/>
      <c r="G49" s="553"/>
      <c r="H49" s="553"/>
      <c r="I49" s="565"/>
      <c r="J49" s="538">
        <f>SUM('Ia.Energy-Stationary '!P56:P57,'Ia.Energy-Stationary '!P59)*6%</f>
        <v>41786.897968034682</v>
      </c>
      <c r="K49" s="539"/>
      <c r="L49" s="539"/>
      <c r="M49" s="569"/>
    </row>
    <row r="50" spans="2:13" ht="15.75" x14ac:dyDescent="0.5">
      <c r="B50" s="563" t="s">
        <v>1155</v>
      </c>
      <c r="C50" s="564" t="s">
        <v>1156</v>
      </c>
      <c r="D50" s="552"/>
      <c r="E50" s="552"/>
      <c r="F50" s="552"/>
      <c r="G50" s="553"/>
      <c r="H50" s="553"/>
      <c r="I50" s="565"/>
      <c r="J50" s="538">
        <f>IV.Waste!P16</f>
        <v>39031.799999999996</v>
      </c>
      <c r="K50" s="539"/>
      <c r="L50" s="539"/>
      <c r="M50" s="569"/>
    </row>
    <row r="51" spans="2:13" ht="15.75" x14ac:dyDescent="0.5">
      <c r="B51" s="583" t="s">
        <v>1127</v>
      </c>
      <c r="C51" s="2552" t="s">
        <v>1128</v>
      </c>
      <c r="D51" s="2553"/>
      <c r="E51" s="2553"/>
      <c r="F51" s="2553"/>
      <c r="G51" s="584"/>
      <c r="H51" s="584"/>
      <c r="I51" s="585"/>
      <c r="J51" s="578">
        <f>SUM(J43:J46)</f>
        <v>1775273.3436864098</v>
      </c>
      <c r="K51" s="578"/>
      <c r="L51" s="578">
        <f>SUM(L43:L46)</f>
        <v>381378.77322056063</v>
      </c>
      <c r="M51" s="578">
        <f>SUM(M43:M46)</f>
        <v>2156652.1169069707</v>
      </c>
    </row>
    <row r="52" spans="2:13" ht="15.75" x14ac:dyDescent="0.5">
      <c r="B52" s="551" t="s">
        <v>1157</v>
      </c>
      <c r="C52" s="564" t="s">
        <v>1158</v>
      </c>
      <c r="D52" s="552"/>
      <c r="E52" s="552"/>
      <c r="F52" s="552"/>
      <c r="G52" s="553"/>
      <c r="H52" s="553"/>
      <c r="I52" s="553"/>
      <c r="J52" s="579"/>
      <c r="K52" s="579"/>
      <c r="L52" s="579"/>
      <c r="M52" s="580"/>
    </row>
    <row r="53" spans="2:13" ht="15.75" x14ac:dyDescent="0.5">
      <c r="B53" s="587" t="s">
        <v>1159</v>
      </c>
      <c r="C53" s="556" t="s">
        <v>1160</v>
      </c>
      <c r="D53" s="557"/>
      <c r="E53" s="557"/>
      <c r="F53" s="557"/>
      <c r="G53" s="558"/>
      <c r="H53" s="558"/>
      <c r="I53" s="559"/>
      <c r="J53" s="581" t="s">
        <v>306</v>
      </c>
      <c r="K53" s="586"/>
      <c r="L53" s="586"/>
      <c r="M53" s="588">
        <f>SUM(J53:L53)</f>
        <v>0</v>
      </c>
    </row>
    <row r="54" spans="2:13" ht="15.75" x14ac:dyDescent="0.5">
      <c r="B54" s="587" t="s">
        <v>1161</v>
      </c>
      <c r="C54" s="564" t="s">
        <v>1162</v>
      </c>
      <c r="D54" s="552"/>
      <c r="E54" s="552"/>
      <c r="F54" s="552"/>
      <c r="G54" s="553"/>
      <c r="H54" s="553"/>
      <c r="I54" s="565"/>
      <c r="J54" s="582">
        <f>SUM(II.IPPU!AH22:AH41)</f>
        <v>1825695.847836674</v>
      </c>
      <c r="K54" s="539"/>
      <c r="L54" s="539"/>
      <c r="M54" s="589">
        <f>SUM(J54:L54)</f>
        <v>1825695.847836674</v>
      </c>
    </row>
    <row r="55" spans="2:13" ht="15.75" x14ac:dyDescent="0.5">
      <c r="B55" s="583" t="s">
        <v>1127</v>
      </c>
      <c r="C55" s="2552" t="s">
        <v>1128</v>
      </c>
      <c r="D55" s="2553"/>
      <c r="E55" s="2553"/>
      <c r="F55" s="2553"/>
      <c r="G55" s="584"/>
      <c r="H55" s="584"/>
      <c r="I55" s="585"/>
      <c r="J55" s="578">
        <f>SUM(J53:J54)</f>
        <v>1825695.847836674</v>
      </c>
      <c r="K55" s="578"/>
      <c r="L55" s="578"/>
      <c r="M55" s="578">
        <f>SUM(M53:M54)</f>
        <v>1825695.847836674</v>
      </c>
    </row>
    <row r="56" spans="2:13" ht="15.75" x14ac:dyDescent="0.5">
      <c r="B56" s="590" t="s">
        <v>1163</v>
      </c>
      <c r="C56" s="564" t="s">
        <v>1164</v>
      </c>
      <c r="D56" s="591"/>
      <c r="E56" s="552"/>
      <c r="F56" s="552"/>
      <c r="G56" s="553"/>
      <c r="H56" s="553"/>
      <c r="I56" s="553"/>
      <c r="J56" s="579"/>
      <c r="K56" s="579"/>
      <c r="L56" s="579"/>
      <c r="M56" s="580"/>
    </row>
    <row r="57" spans="2:13" ht="15.75" x14ac:dyDescent="0.5">
      <c r="B57" s="587" t="s">
        <v>1165</v>
      </c>
      <c r="C57" s="556" t="s">
        <v>1166</v>
      </c>
      <c r="D57" s="557"/>
      <c r="E57" s="557"/>
      <c r="F57" s="557"/>
      <c r="G57" s="558"/>
      <c r="H57" s="558"/>
      <c r="I57" s="559"/>
      <c r="J57" s="581">
        <f>SUM(III.AFOLU!P12:P22)</f>
        <v>10356.521475130005</v>
      </c>
      <c r="K57" s="586"/>
      <c r="L57" s="586"/>
      <c r="M57" s="588">
        <f>SUM(J57:L57)</f>
        <v>10356.521475130005</v>
      </c>
    </row>
    <row r="58" spans="2:13" ht="15.75" x14ac:dyDescent="0.5">
      <c r="B58" s="587" t="s">
        <v>1167</v>
      </c>
      <c r="C58" s="564" t="s">
        <v>1168</v>
      </c>
      <c r="D58" s="552"/>
      <c r="E58" s="552"/>
      <c r="F58" s="552"/>
      <c r="G58" s="553"/>
      <c r="H58" s="553"/>
      <c r="I58" s="565"/>
      <c r="J58" s="582">
        <f>SUM(III.AFOLU!P29:P44)</f>
        <v>102363.23000000001</v>
      </c>
      <c r="K58" s="539"/>
      <c r="L58" s="539"/>
      <c r="M58" s="589">
        <f>SUM(J58:L58)</f>
        <v>102363.23000000001</v>
      </c>
    </row>
    <row r="59" spans="2:13" ht="15.75" x14ac:dyDescent="0.5">
      <c r="B59" s="587" t="s">
        <v>1169</v>
      </c>
      <c r="C59" s="564" t="s">
        <v>1170</v>
      </c>
      <c r="D59" s="552"/>
      <c r="E59" s="552"/>
      <c r="F59" s="552"/>
      <c r="G59" s="553"/>
      <c r="H59" s="553"/>
      <c r="I59" s="565"/>
      <c r="J59" s="582">
        <f>SUM(III.AFOLU!P58:P64)</f>
        <v>6436.2579149011053</v>
      </c>
      <c r="K59" s="539"/>
      <c r="L59" s="539"/>
      <c r="M59" s="589">
        <f>SUM(J59:L59)</f>
        <v>6436.2579149011053</v>
      </c>
    </row>
    <row r="60" spans="2:13" ht="15.75" x14ac:dyDescent="0.5">
      <c r="B60" s="583" t="s">
        <v>1127</v>
      </c>
      <c r="C60" s="2552" t="s">
        <v>1128</v>
      </c>
      <c r="D60" s="2553"/>
      <c r="E60" s="2553"/>
      <c r="F60" s="2553"/>
      <c r="G60" s="584"/>
      <c r="H60" s="584"/>
      <c r="I60" s="585"/>
      <c r="J60" s="578">
        <f>SUM(J57:J59)</f>
        <v>119156.00939003112</v>
      </c>
      <c r="K60" s="578"/>
      <c r="L60" s="578"/>
      <c r="M60" s="578">
        <f>SUM(M57:M59)</f>
        <v>119156.00939003112</v>
      </c>
    </row>
    <row r="61" spans="2:13" ht="15.75" x14ac:dyDescent="0.5">
      <c r="B61" s="551" t="s">
        <v>1171</v>
      </c>
      <c r="C61" s="2554" t="s">
        <v>405</v>
      </c>
      <c r="D61" s="2555"/>
      <c r="E61" s="552"/>
      <c r="F61" s="552"/>
      <c r="G61" s="553"/>
      <c r="H61" s="553"/>
      <c r="I61" s="553"/>
      <c r="J61" s="579"/>
      <c r="K61" s="579"/>
      <c r="L61" s="579"/>
      <c r="M61" s="580"/>
    </row>
    <row r="62" spans="2:13" ht="15.75" x14ac:dyDescent="0.5">
      <c r="B62" s="587" t="s">
        <v>1172</v>
      </c>
      <c r="C62" s="556" t="s">
        <v>1173</v>
      </c>
      <c r="D62" s="557"/>
      <c r="E62" s="557"/>
      <c r="F62" s="557"/>
      <c r="G62" s="558"/>
      <c r="H62" s="558"/>
      <c r="I62" s="559"/>
      <c r="J62" s="586"/>
      <c r="K62" s="586"/>
      <c r="L62" s="592" t="s">
        <v>306</v>
      </c>
      <c r="M62" s="588">
        <f>SUM(J62:L62)</f>
        <v>0</v>
      </c>
    </row>
    <row r="63" spans="2:13" ht="15.75" x14ac:dyDescent="0.5">
      <c r="B63" s="593" t="s">
        <v>665</v>
      </c>
      <c r="C63" s="2556" t="s">
        <v>1128</v>
      </c>
      <c r="D63" s="2557"/>
      <c r="E63" s="2557"/>
      <c r="F63" s="2557"/>
      <c r="G63" s="575"/>
      <c r="H63" s="575"/>
      <c r="I63" s="576"/>
      <c r="J63" s="594">
        <f>J34+J41+J51+J55+J60+J62</f>
        <v>24176951.360163052</v>
      </c>
      <c r="K63" s="594">
        <f>K34+K41+K51+K55+K60+K62</f>
        <v>7105505.1001430806</v>
      </c>
      <c r="L63" s="594">
        <f>L34+L41+L51+L55+L60+SUM(L62)</f>
        <v>381378.77322056063</v>
      </c>
      <c r="M63" s="594">
        <f>M34+M41+M51+M55+M60+M62</f>
        <v>31663835.233526692</v>
      </c>
    </row>
  </sheetData>
  <mergeCells count="30">
    <mergeCell ref="B4:L5"/>
    <mergeCell ref="B14:C14"/>
    <mergeCell ref="D14:G14"/>
    <mergeCell ref="B10:G11"/>
    <mergeCell ref="H10:M10"/>
    <mergeCell ref="B12:C13"/>
    <mergeCell ref="D12:G12"/>
    <mergeCell ref="D13:G13"/>
    <mergeCell ref="J22:M22"/>
    <mergeCell ref="B15:C16"/>
    <mergeCell ref="D16:G16"/>
    <mergeCell ref="B17:C17"/>
    <mergeCell ref="D17:G17"/>
    <mergeCell ref="B18:C18"/>
    <mergeCell ref="D18:G18"/>
    <mergeCell ref="B19:C19"/>
    <mergeCell ref="D19:G19"/>
    <mergeCell ref="B20:G20"/>
    <mergeCell ref="B22:B23"/>
    <mergeCell ref="C22:I23"/>
    <mergeCell ref="C55:F55"/>
    <mergeCell ref="C60:F60"/>
    <mergeCell ref="C61:D61"/>
    <mergeCell ref="C63:F63"/>
    <mergeCell ref="C24:D24"/>
    <mergeCell ref="C34:F34"/>
    <mergeCell ref="C35:D35"/>
    <mergeCell ref="C41:F41"/>
    <mergeCell ref="C42:D42"/>
    <mergeCell ref="C51:F5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
    <tabColor theme="9" tint="0.39997558519241921"/>
  </sheetPr>
  <dimension ref="B1:U162"/>
  <sheetViews>
    <sheetView workbookViewId="0">
      <selection activeCell="D9" sqref="D9"/>
    </sheetView>
  </sheetViews>
  <sheetFormatPr defaultColWidth="9.1328125" defaultRowHeight="14.25" x14ac:dyDescent="0.45"/>
  <cols>
    <col min="1" max="1" width="9.1328125" style="888"/>
    <col min="2" max="2" width="31.1328125" style="888" customWidth="1"/>
    <col min="3" max="3" width="20.1328125" style="888" customWidth="1"/>
    <col min="4" max="4" width="55.86328125" style="888" customWidth="1"/>
    <col min="5" max="5" width="9.1328125" style="888"/>
    <col min="6" max="6" width="19.86328125" style="888" bestFit="1" customWidth="1"/>
    <col min="7" max="7" width="11.59765625" style="888" bestFit="1" customWidth="1"/>
    <col min="8" max="8" width="13.1328125" style="888" customWidth="1"/>
    <col min="9" max="9" width="9.1328125" style="888"/>
    <col min="10" max="10" width="13.86328125" style="888" customWidth="1"/>
    <col min="11" max="16384" width="9.1328125" style="888"/>
  </cols>
  <sheetData>
    <row r="1" spans="2:6" ht="14.65" thickBot="1" x14ac:dyDescent="0.5"/>
    <row r="2" spans="2:6" ht="21.4" thickBot="1" x14ac:dyDescent="0.5">
      <c r="B2" s="1362" t="s">
        <v>2184</v>
      </c>
      <c r="C2" s="1358"/>
      <c r="D2" s="1358"/>
      <c r="E2" s="1358"/>
      <c r="F2" s="1359"/>
    </row>
    <row r="3" spans="2:6" ht="21.4" thickBot="1" x14ac:dyDescent="0.5">
      <c r="B3" s="1361"/>
    </row>
    <row r="4" spans="2:6" ht="15" customHeight="1" thickBot="1" x14ac:dyDescent="0.5">
      <c r="B4" s="2578" t="s">
        <v>2310</v>
      </c>
      <c r="C4" s="2579"/>
      <c r="D4" s="2579"/>
      <c r="E4" s="2579"/>
      <c r="F4" s="2580"/>
    </row>
    <row r="5" spans="2:6" ht="21.4" thickBot="1" x14ac:dyDescent="0.5">
      <c r="B5" s="1361"/>
    </row>
    <row r="6" spans="2:6" ht="14.65" thickBot="1" x14ac:dyDescent="0.5">
      <c r="B6" s="1375" t="s">
        <v>1053</v>
      </c>
      <c r="C6" s="1376"/>
      <c r="D6" s="501" t="s">
        <v>1054</v>
      </c>
    </row>
    <row r="7" spans="2:6" ht="14.65" thickBot="1" x14ac:dyDescent="0.5">
      <c r="B7" s="502" t="s">
        <v>1055</v>
      </c>
      <c r="C7" s="503" t="s">
        <v>1092</v>
      </c>
      <c r="D7" s="504" t="s">
        <v>1057</v>
      </c>
    </row>
    <row r="8" spans="2:6" ht="14.65" thickBot="1" x14ac:dyDescent="0.5">
      <c r="B8" s="502" t="s">
        <v>1058</v>
      </c>
      <c r="C8" s="503" t="s">
        <v>1093</v>
      </c>
      <c r="D8" s="504" t="s">
        <v>1057</v>
      </c>
    </row>
    <row r="9" spans="2:6" ht="14.65" thickBot="1" x14ac:dyDescent="0.5">
      <c r="B9" s="502" t="s">
        <v>1059</v>
      </c>
      <c r="C9" s="503" t="s">
        <v>1094</v>
      </c>
      <c r="D9" s="504" t="s">
        <v>1057</v>
      </c>
    </row>
    <row r="10" spans="2:6" ht="14.65" thickBot="1" x14ac:dyDescent="0.5">
      <c r="B10" s="502" t="s">
        <v>1060</v>
      </c>
      <c r="C10" s="503">
        <v>2018</v>
      </c>
      <c r="D10" s="504" t="s">
        <v>1751</v>
      </c>
    </row>
    <row r="11" spans="2:6" ht="14.65" thickBot="1" x14ac:dyDescent="0.5">
      <c r="B11" s="502" t="s">
        <v>1061</v>
      </c>
      <c r="C11" s="503" t="s">
        <v>1056</v>
      </c>
      <c r="D11" s="504" t="s">
        <v>1752</v>
      </c>
    </row>
    <row r="12" spans="2:6" ht="14.65" thickBot="1" x14ac:dyDescent="0.5">
      <c r="B12" s="502" t="s">
        <v>1062</v>
      </c>
      <c r="C12" s="886">
        <f>'00 Summary'!V70</f>
        <v>8908081</v>
      </c>
      <c r="D12" s="505" t="s">
        <v>1056</v>
      </c>
    </row>
    <row r="13" spans="2:6" ht="14.65" thickBot="1" x14ac:dyDescent="0.5">
      <c r="B13" s="506" t="s">
        <v>2323</v>
      </c>
      <c r="C13" s="886" t="s">
        <v>2321</v>
      </c>
      <c r="D13" s="505" t="s">
        <v>2322</v>
      </c>
    </row>
    <row r="14" spans="2:6" ht="14.65" thickBot="1" x14ac:dyDescent="0.5">
      <c r="B14" s="507" t="s">
        <v>1063</v>
      </c>
      <c r="C14" s="508" t="s">
        <v>1056</v>
      </c>
      <c r="D14" s="509" t="s">
        <v>1056</v>
      </c>
    </row>
    <row r="15" spans="2:6" ht="15" thickTop="1" thickBot="1" x14ac:dyDescent="0.5"/>
    <row r="16" spans="2:6" ht="18.75" thickBot="1" x14ac:dyDescent="0.7">
      <c r="B16" s="1377" t="s">
        <v>1066</v>
      </c>
      <c r="C16" s="1359"/>
    </row>
    <row r="17" spans="2:21" ht="14.65" thickBot="1" x14ac:dyDescent="0.5">
      <c r="B17" s="519" t="s">
        <v>1064</v>
      </c>
      <c r="C17" s="505" t="s">
        <v>810</v>
      </c>
    </row>
    <row r="18" spans="2:21" ht="14.65" thickBot="1" x14ac:dyDescent="0.5">
      <c r="B18" s="510" t="s">
        <v>1065</v>
      </c>
      <c r="C18" s="509" t="s">
        <v>1095</v>
      </c>
    </row>
    <row r="19" spans="2:21" ht="14.65" thickTop="1" x14ac:dyDescent="0.45"/>
    <row r="21" spans="2:21" ht="14.65" thickBot="1" x14ac:dyDescent="0.5">
      <c r="B21" s="1364" t="s">
        <v>1072</v>
      </c>
    </row>
    <row r="22" spans="2:21" s="1363" customFormat="1" ht="51.75" customHeight="1" thickBot="1" x14ac:dyDescent="0.5">
      <c r="B22" s="2630" t="s">
        <v>1790</v>
      </c>
      <c r="C22" s="2631"/>
      <c r="D22" s="2631"/>
      <c r="E22" s="2632"/>
      <c r="F22" s="2636" t="s">
        <v>1791</v>
      </c>
      <c r="G22" s="2637"/>
      <c r="H22" s="2638" t="s">
        <v>1792</v>
      </c>
      <c r="I22" s="2639"/>
      <c r="J22" s="2638" t="s">
        <v>1793</v>
      </c>
      <c r="K22" s="2639"/>
      <c r="L22" s="2640" t="s">
        <v>1794</v>
      </c>
      <c r="M22" s="2640"/>
      <c r="N22" s="2640"/>
      <c r="O22" s="2640"/>
      <c r="P22" s="1365"/>
      <c r="Q22" s="1365"/>
      <c r="R22" s="1365"/>
      <c r="S22" s="1365"/>
      <c r="T22" s="1365"/>
      <c r="U22" s="1365"/>
    </row>
    <row r="23" spans="2:21" s="1363" customFormat="1" ht="43.15" thickBot="1" x14ac:dyDescent="0.5">
      <c r="B23" s="2633"/>
      <c r="C23" s="2634"/>
      <c r="D23" s="2634"/>
      <c r="E23" s="2635"/>
      <c r="F23" s="1378" t="s">
        <v>1795</v>
      </c>
      <c r="G23" s="1379" t="s">
        <v>1796</v>
      </c>
      <c r="H23" s="1401" t="s">
        <v>1795</v>
      </c>
      <c r="I23" s="1402" t="s">
        <v>1797</v>
      </c>
      <c r="J23" s="1423" t="s">
        <v>1795</v>
      </c>
      <c r="K23" s="1402" t="s">
        <v>1796</v>
      </c>
      <c r="L23" s="2640"/>
      <c r="M23" s="2640"/>
      <c r="N23" s="2640"/>
      <c r="O23" s="2640"/>
      <c r="P23" s="1365"/>
      <c r="Q23" s="1365"/>
      <c r="R23" s="1365"/>
      <c r="S23" s="1365"/>
      <c r="T23" s="1365"/>
      <c r="U23" s="1365"/>
    </row>
    <row r="24" spans="2:21" s="1363" customFormat="1" ht="15.75" x14ac:dyDescent="0.45">
      <c r="B24" s="2624" t="s">
        <v>1798</v>
      </c>
      <c r="C24" s="2625"/>
      <c r="D24" s="2625"/>
      <c r="E24" s="2626"/>
      <c r="F24" s="1380">
        <f>SUM('Ia.Energy-Stationary '!P12:P14)</f>
        <v>7389322.5903965887</v>
      </c>
      <c r="G24" s="1381" t="s">
        <v>1684</v>
      </c>
      <c r="H24" s="1403">
        <f>SUM('Ia.Energy-Stationary '!P15:P16)</f>
        <v>3178415.281400776</v>
      </c>
      <c r="I24" s="1404" t="s">
        <v>1684</v>
      </c>
      <c r="J24" s="1424">
        <v>0</v>
      </c>
      <c r="K24" s="1425" t="s">
        <v>1904</v>
      </c>
      <c r="L24" s="2589"/>
      <c r="M24" s="2590"/>
      <c r="N24" s="2590"/>
      <c r="O24" s="2591"/>
      <c r="P24" s="1365"/>
      <c r="Q24" s="1365"/>
      <c r="R24" s="1365"/>
      <c r="S24" s="1365"/>
      <c r="T24" s="1365"/>
      <c r="U24" s="1365"/>
    </row>
    <row r="25" spans="2:21" s="1363" customFormat="1" ht="15.75" x14ac:dyDescent="0.45">
      <c r="B25" s="2586" t="s">
        <v>1799</v>
      </c>
      <c r="C25" s="2587"/>
      <c r="D25" s="2587"/>
      <c r="E25" s="2588"/>
      <c r="F25" s="1382">
        <f>SUM('Ia.Energy-Stationary '!P23:P24)</f>
        <v>1079799.1640016839</v>
      </c>
      <c r="G25" s="1383" t="s">
        <v>1684</v>
      </c>
      <c r="H25" s="1405">
        <f>'Ia.Energy-Stationary '!P25</f>
        <v>2019041.0518883399</v>
      </c>
      <c r="I25" s="1406" t="s">
        <v>1684</v>
      </c>
      <c r="J25" s="1426">
        <v>0</v>
      </c>
      <c r="K25" s="1427" t="s">
        <v>1904</v>
      </c>
      <c r="L25" s="2627"/>
      <c r="M25" s="2628"/>
      <c r="N25" s="2628"/>
      <c r="O25" s="2629"/>
      <c r="P25" s="1365"/>
      <c r="Q25" s="1365"/>
      <c r="R25" s="1365"/>
      <c r="S25" s="1365"/>
      <c r="T25" s="1365"/>
      <c r="U25" s="1365"/>
    </row>
    <row r="26" spans="2:21" s="1363" customFormat="1" ht="15.75" x14ac:dyDescent="0.45">
      <c r="B26" s="2586" t="s">
        <v>1800</v>
      </c>
      <c r="C26" s="2587"/>
      <c r="D26" s="2587"/>
      <c r="E26" s="2588"/>
      <c r="F26" s="1382">
        <f>SUM('Ia.Energy-Stationary '!P27,'Ia.Energy-Stationary '!P30:P31)</f>
        <v>451022.35448869778</v>
      </c>
      <c r="G26" s="1383" t="s">
        <v>1684</v>
      </c>
      <c r="H26" s="1405">
        <f>'Ia.Energy-Stationary '!P28+'Ia.Energy-Stationary '!P33</f>
        <v>76128.423485379986</v>
      </c>
      <c r="I26" s="1406" t="s">
        <v>1684</v>
      </c>
      <c r="J26" s="1426">
        <v>0</v>
      </c>
      <c r="K26" s="1427" t="s">
        <v>1904</v>
      </c>
      <c r="L26" s="2589"/>
      <c r="M26" s="2590"/>
      <c r="N26" s="2590"/>
      <c r="O26" s="2591"/>
      <c r="P26" s="1365"/>
      <c r="Q26" s="1365"/>
      <c r="R26" s="1365"/>
      <c r="S26" s="1365"/>
      <c r="T26" s="1365"/>
      <c r="U26" s="1365"/>
    </row>
    <row r="27" spans="2:21" s="1363" customFormat="1" ht="15.75" x14ac:dyDescent="0.45">
      <c r="B27" s="2586" t="s">
        <v>1801</v>
      </c>
      <c r="C27" s="2587"/>
      <c r="D27" s="2587"/>
      <c r="E27" s="2588"/>
      <c r="F27" s="1384">
        <f>SUM('Ia.Energy-Stationary '!P43:P46)</f>
        <v>359762.81916979584</v>
      </c>
      <c r="G27" s="1385" t="s">
        <v>1684</v>
      </c>
      <c r="H27" s="1407">
        <f>'Ia.Energy-Stationary '!P47</f>
        <v>11007.103736499999</v>
      </c>
      <c r="I27" s="1404" t="s">
        <v>1684</v>
      </c>
      <c r="J27" s="1424">
        <v>0</v>
      </c>
      <c r="K27" s="1427" t="s">
        <v>1904</v>
      </c>
      <c r="L27" s="2589"/>
      <c r="M27" s="2590"/>
      <c r="N27" s="2590"/>
      <c r="O27" s="2591"/>
      <c r="P27" s="1365"/>
      <c r="Q27" s="1365"/>
      <c r="R27" s="1365"/>
      <c r="S27" s="1365"/>
      <c r="T27" s="1365"/>
      <c r="U27" s="1365"/>
    </row>
    <row r="28" spans="2:21" s="1363" customFormat="1" ht="15.75" x14ac:dyDescent="0.45">
      <c r="B28" s="2586" t="s">
        <v>1802</v>
      </c>
      <c r="C28" s="2587"/>
      <c r="D28" s="2587"/>
      <c r="E28" s="2588"/>
      <c r="F28" s="1386">
        <f>SUM('Ia.Energy-Stationary '!P66:P67,'Ia.Energy-Stationary '!P70)</f>
        <v>15589.308859366765</v>
      </c>
      <c r="G28" s="1387"/>
      <c r="H28" s="1408">
        <f>SUM('Ia.Energy-Stationary '!P68,'Ia.Energy-Stationary '!P72)</f>
        <v>11730.973611710999</v>
      </c>
      <c r="I28" s="1409"/>
      <c r="J28" s="1428">
        <v>0</v>
      </c>
      <c r="K28" s="1427" t="s">
        <v>1904</v>
      </c>
      <c r="L28" s="2619"/>
      <c r="M28" s="2620"/>
      <c r="N28" s="2620"/>
      <c r="O28" s="2621"/>
      <c r="P28" s="1365"/>
      <c r="Q28" s="1365"/>
      <c r="R28" s="1365"/>
      <c r="S28" s="1365"/>
      <c r="T28" s="1365"/>
      <c r="U28" s="1365"/>
    </row>
    <row r="29" spans="2:21" s="1363" customFormat="1" ht="16.149999999999999" thickBot="1" x14ac:dyDescent="0.5">
      <c r="B29" s="2595" t="s">
        <v>1803</v>
      </c>
      <c r="C29" s="2596"/>
      <c r="D29" s="2596"/>
      <c r="E29" s="2597"/>
      <c r="F29" s="1388">
        <f>'Ia.Energy-Stationary '!P95</f>
        <v>166405.78435584917</v>
      </c>
      <c r="G29" s="1389"/>
      <c r="H29" s="1410"/>
      <c r="I29" s="1411" t="s">
        <v>1904</v>
      </c>
      <c r="J29" s="1429"/>
      <c r="K29" s="1427" t="s">
        <v>1904</v>
      </c>
      <c r="L29" s="2622"/>
      <c r="M29" s="2622"/>
      <c r="N29" s="2622"/>
      <c r="O29" s="2623"/>
      <c r="P29" s="1365"/>
      <c r="Q29" s="1365"/>
      <c r="R29" s="1365"/>
      <c r="S29" s="1365"/>
      <c r="T29" s="1365"/>
      <c r="U29" s="1365"/>
    </row>
    <row r="30" spans="2:21" s="1363" customFormat="1" ht="16.149999999999999" thickBot="1" x14ac:dyDescent="0.5">
      <c r="B30" s="2581" t="s">
        <v>1804</v>
      </c>
      <c r="C30" s="2582"/>
      <c r="D30" s="2582"/>
      <c r="E30" s="2583"/>
      <c r="F30" s="1390">
        <f>SUM(F24:F29)</f>
        <v>9461902.0212719813</v>
      </c>
      <c r="G30" s="1391"/>
      <c r="H30" s="1412">
        <f>SUM(H24:H28)</f>
        <v>5296322.8341227062</v>
      </c>
      <c r="I30" s="1413" t="s">
        <v>1684</v>
      </c>
      <c r="J30" s="1430">
        <v>0</v>
      </c>
      <c r="K30" s="1431" t="s">
        <v>306</v>
      </c>
      <c r="L30" s="2600"/>
      <c r="M30" s="2600"/>
      <c r="N30" s="2600"/>
      <c r="O30" s="2601"/>
      <c r="P30" s="1365"/>
      <c r="Q30" s="1365"/>
      <c r="R30" s="1365"/>
      <c r="S30" s="1365"/>
      <c r="T30" s="1365"/>
      <c r="U30" s="1365"/>
    </row>
    <row r="31" spans="2:21" s="1363" customFormat="1" ht="15.75" x14ac:dyDescent="0.45">
      <c r="B31" s="2602" t="s">
        <v>1805</v>
      </c>
      <c r="C31" s="2603"/>
      <c r="D31" s="2603"/>
      <c r="E31" s="2604"/>
      <c r="F31" s="1384">
        <f>'Ib.Energy-Transport '!P12+'Ib.Energy-Transport '!P13+'Ib.Energy-Transport '!P15+'Ib.Energy-Transport '!P16+'Ib.Energy-Transport '!P18+'Ib.Energy-Transport '!P19+'Ib.Energy-Transport '!P20+'Ib.Energy-Transport '!P21+'Ib.Energy-Transport '!P22+'Ib.Energy-Transport '!P23</f>
        <v>6220486.3894384373</v>
      </c>
      <c r="G31" s="1392" t="s">
        <v>1684</v>
      </c>
      <c r="H31" s="1407">
        <f>'Ib.Energy-Transport '!P14+'Ib.Energy-Transport '!P17+'Ib.Energy-Transport '!P24</f>
        <v>5361.1973329510129</v>
      </c>
      <c r="I31" s="1414" t="s">
        <v>1684</v>
      </c>
      <c r="J31" s="1432">
        <v>0</v>
      </c>
      <c r="K31" s="1433" t="s">
        <v>306</v>
      </c>
      <c r="L31" s="2617"/>
      <c r="M31" s="2617"/>
      <c r="N31" s="2617"/>
      <c r="O31" s="2618"/>
      <c r="P31" s="1365"/>
      <c r="Q31" s="1365"/>
      <c r="R31" s="1365"/>
      <c r="S31" s="1365"/>
      <c r="T31" s="1365"/>
      <c r="U31" s="1365"/>
    </row>
    <row r="32" spans="2:21" s="1363" customFormat="1" ht="16.149999999999999" thickBot="1" x14ac:dyDescent="0.5">
      <c r="B32" s="2595" t="s">
        <v>1806</v>
      </c>
      <c r="C32" s="2596"/>
      <c r="D32" s="2596"/>
      <c r="E32" s="2597"/>
      <c r="F32" s="1384">
        <f>'Ib.Energy-Transport '!P30+'Ib.Energy-Transport '!P34+'Ib.Energy-Transport '!P37</f>
        <v>81514.599861271985</v>
      </c>
      <c r="G32" s="1381" t="s">
        <v>1684</v>
      </c>
      <c r="H32" s="1407">
        <f>'Ib.Energy-Transport '!P31+'Ib.Energy-Transport '!P32+'Ib.Energy-Transport '!P33+'Ib.Energy-Transport '!P35+'Ib.Energy-Transport '!P36</f>
        <v>517200.63949846913</v>
      </c>
      <c r="I32" s="1404" t="s">
        <v>1684</v>
      </c>
      <c r="J32" s="1424">
        <v>0</v>
      </c>
      <c r="K32" s="1425" t="s">
        <v>306</v>
      </c>
      <c r="L32" s="2605"/>
      <c r="M32" s="2606"/>
      <c r="N32" s="2606"/>
      <c r="O32" s="2607"/>
      <c r="P32" s="1365"/>
      <c r="Q32" s="1365"/>
      <c r="R32" s="1365"/>
      <c r="S32" s="1365"/>
      <c r="T32" s="1365"/>
      <c r="U32" s="1365"/>
    </row>
    <row r="33" spans="2:21" s="1363" customFormat="1" ht="16.149999999999999" thickTop="1" x14ac:dyDescent="0.45">
      <c r="B33" s="2614" t="s">
        <v>1807</v>
      </c>
      <c r="C33" s="2615"/>
      <c r="D33" s="2615"/>
      <c r="E33" s="2616"/>
      <c r="F33" s="1384">
        <f>'Ib.Energy-Transport '!J215</f>
        <v>40106.479659647026</v>
      </c>
      <c r="G33" s="1381" t="s">
        <v>1684</v>
      </c>
      <c r="H33" s="1407">
        <v>0</v>
      </c>
      <c r="I33" s="1404" t="s">
        <v>306</v>
      </c>
      <c r="J33" s="1424">
        <v>0</v>
      </c>
      <c r="K33" s="1425" t="s">
        <v>306</v>
      </c>
      <c r="L33" s="2589"/>
      <c r="M33" s="2590"/>
      <c r="N33" s="2590"/>
      <c r="O33" s="2591"/>
      <c r="P33" s="1365"/>
      <c r="Q33" s="1365"/>
      <c r="R33" s="1365"/>
      <c r="S33" s="1365"/>
      <c r="T33" s="1365"/>
      <c r="U33" s="1365"/>
    </row>
    <row r="34" spans="2:21" s="1363" customFormat="1" ht="15.75" x14ac:dyDescent="0.45">
      <c r="B34" s="2586" t="s">
        <v>1808</v>
      </c>
      <c r="C34" s="2587"/>
      <c r="D34" s="2587"/>
      <c r="E34" s="2588"/>
      <c r="F34" s="1386">
        <f>SUM('Ib.Energy-Transport '!P44:P45)</f>
        <v>988767.27442632802</v>
      </c>
      <c r="G34" s="1393" t="s">
        <v>1684</v>
      </c>
      <c r="H34" s="1415">
        <v>0</v>
      </c>
      <c r="I34" s="1416" t="s">
        <v>363</v>
      </c>
      <c r="J34" s="1434">
        <v>0</v>
      </c>
      <c r="K34" s="1435" t="s">
        <v>306</v>
      </c>
      <c r="L34" s="2589"/>
      <c r="M34" s="2590"/>
      <c r="N34" s="2590"/>
      <c r="O34" s="2591"/>
      <c r="P34" s="1366"/>
      <c r="Q34" s="1365"/>
      <c r="R34" s="1365"/>
      <c r="S34" s="1367"/>
      <c r="T34" s="1366"/>
      <c r="U34" s="1365"/>
    </row>
    <row r="35" spans="2:21" s="1363" customFormat="1" ht="16.149999999999999" thickBot="1" x14ac:dyDescent="0.5">
      <c r="B35" s="2595" t="s">
        <v>1809</v>
      </c>
      <c r="C35" s="2596"/>
      <c r="D35" s="2596"/>
      <c r="E35" s="2597"/>
      <c r="F35" s="1388">
        <f>SUM('Ib.Energy-Transport '!P61:P68)</f>
        <v>237585.06427503139</v>
      </c>
      <c r="G35" s="1394"/>
      <c r="H35" s="1410">
        <v>0</v>
      </c>
      <c r="I35" s="1417" t="s">
        <v>306</v>
      </c>
      <c r="J35" s="1436">
        <v>0</v>
      </c>
      <c r="K35" s="1437" t="s">
        <v>306</v>
      </c>
      <c r="L35" s="2608"/>
      <c r="M35" s="2609"/>
      <c r="N35" s="2609"/>
      <c r="O35" s="2610"/>
      <c r="P35" s="1367"/>
      <c r="Q35" s="1367"/>
      <c r="R35" s="1367"/>
      <c r="S35" s="1367"/>
      <c r="T35" s="1367"/>
      <c r="U35" s="1367"/>
    </row>
    <row r="36" spans="2:21" s="1363" customFormat="1" ht="16.149999999999999" thickBot="1" x14ac:dyDescent="0.5">
      <c r="B36" s="2581" t="s">
        <v>1810</v>
      </c>
      <c r="C36" s="2582"/>
      <c r="D36" s="2582"/>
      <c r="E36" s="2583"/>
      <c r="F36" s="1390">
        <f>SUM(F31:F35)</f>
        <v>7568459.8076607147</v>
      </c>
      <c r="G36" s="1391" t="s">
        <v>1684</v>
      </c>
      <c r="H36" s="1412">
        <f>SUM(H31:H35)</f>
        <v>522561.83683142014</v>
      </c>
      <c r="I36" s="1413" t="s">
        <v>1684</v>
      </c>
      <c r="J36" s="1430">
        <v>0</v>
      </c>
      <c r="K36" s="1431" t="s">
        <v>306</v>
      </c>
      <c r="L36" s="2600"/>
      <c r="M36" s="2600"/>
      <c r="N36" s="2600"/>
      <c r="O36" s="2601"/>
      <c r="P36" s="1367"/>
      <c r="Q36" s="1367"/>
      <c r="R36" s="1367"/>
      <c r="S36" s="1367"/>
      <c r="T36" s="1367"/>
      <c r="U36" s="1367"/>
    </row>
    <row r="37" spans="2:21" s="1363" customFormat="1" ht="15.75" x14ac:dyDescent="0.45">
      <c r="B37" s="2611" t="s">
        <v>1811</v>
      </c>
      <c r="C37" s="2612"/>
      <c r="D37" s="2612"/>
      <c r="E37" s="2613"/>
      <c r="F37" s="1384">
        <f>IV.Waste!P10</f>
        <v>675000</v>
      </c>
      <c r="G37" s="1392" t="s">
        <v>1684</v>
      </c>
      <c r="H37" s="1415"/>
      <c r="I37" s="1418"/>
      <c r="J37" s="1426">
        <v>0</v>
      </c>
      <c r="K37" s="1433" t="s">
        <v>1684</v>
      </c>
      <c r="L37" s="2605"/>
      <c r="M37" s="2606"/>
      <c r="N37" s="2606"/>
      <c r="O37" s="2607"/>
      <c r="P37" s="1367"/>
      <c r="Q37" s="1367"/>
      <c r="R37" s="1367"/>
      <c r="S37" s="1367"/>
      <c r="T37" s="1367"/>
      <c r="U37" s="1367"/>
    </row>
    <row r="38" spans="2:21" s="1363" customFormat="1" ht="15.75" x14ac:dyDescent="0.45">
      <c r="B38" s="2602" t="s">
        <v>1812</v>
      </c>
      <c r="C38" s="2603"/>
      <c r="D38" s="2603"/>
      <c r="E38" s="2604"/>
      <c r="F38" s="1384">
        <f>IV.Waste!P11+IV.Waste!P13</f>
        <v>28922.56218719999</v>
      </c>
      <c r="G38" s="1381" t="s">
        <v>1684</v>
      </c>
      <c r="H38" s="1415"/>
      <c r="I38" s="1418"/>
      <c r="J38" s="1426">
        <f>IV.Waste!P12+IV.Waste!P14</f>
        <v>28357.261391566219</v>
      </c>
      <c r="K38" s="1425" t="s">
        <v>1684</v>
      </c>
      <c r="L38" s="2589"/>
      <c r="M38" s="2590"/>
      <c r="N38" s="2590"/>
      <c r="O38" s="2591"/>
      <c r="P38" s="1367"/>
      <c r="Q38" s="1367"/>
      <c r="R38" s="1367"/>
      <c r="S38" s="1367"/>
      <c r="T38" s="1367"/>
      <c r="U38" s="1367"/>
    </row>
    <row r="39" spans="2:21" s="1363" customFormat="1" ht="15.75" x14ac:dyDescent="0.45">
      <c r="B39" s="2586" t="s">
        <v>1813</v>
      </c>
      <c r="C39" s="2587"/>
      <c r="D39" s="2587"/>
      <c r="E39" s="2588"/>
      <c r="F39" s="1386">
        <f>SUM('Ia.Energy-Stationary '!P56:P57,'Ia.Energy-Stationary '!P59)</f>
        <v>696448.29946724477</v>
      </c>
      <c r="G39" s="1393" t="s">
        <v>1684</v>
      </c>
      <c r="H39" s="1415"/>
      <c r="I39" s="1418"/>
      <c r="J39" s="1428">
        <f>'Ia.Energy-Stationary '!P58</f>
        <v>306722.69182899443</v>
      </c>
      <c r="K39" s="1435" t="s">
        <v>1684</v>
      </c>
      <c r="L39" s="2589"/>
      <c r="M39" s="2590"/>
      <c r="N39" s="2590"/>
      <c r="O39" s="2591"/>
      <c r="P39" s="1367"/>
      <c r="Q39" s="1367"/>
      <c r="R39" s="1367"/>
      <c r="S39" s="1367"/>
      <c r="T39" s="1367"/>
      <c r="U39" s="1367"/>
    </row>
    <row r="40" spans="2:21" s="1363" customFormat="1" ht="16.149999999999999" thickBot="1" x14ac:dyDescent="0.5">
      <c r="B40" s="2595" t="s">
        <v>1814</v>
      </c>
      <c r="C40" s="2596"/>
      <c r="D40" s="2596"/>
      <c r="E40" s="2597"/>
      <c r="F40" s="1388">
        <f>IV.Waste!P15</f>
        <v>462988.2</v>
      </c>
      <c r="G40" s="1394" t="s">
        <v>1684</v>
      </c>
      <c r="H40" s="1415"/>
      <c r="I40" s="1418"/>
      <c r="J40" s="1438">
        <f>IV.Waste!P16</f>
        <v>39031.799999999996</v>
      </c>
      <c r="K40" s="1437" t="s">
        <v>1684</v>
      </c>
      <c r="L40" s="2608"/>
      <c r="M40" s="2609"/>
      <c r="N40" s="2609"/>
      <c r="O40" s="2610"/>
      <c r="P40" s="1367"/>
      <c r="Q40" s="1367"/>
      <c r="R40" s="1367"/>
      <c r="S40" s="1367"/>
      <c r="T40" s="1367"/>
      <c r="U40" s="1367"/>
    </row>
    <row r="41" spans="2:21" s="1363" customFormat="1" ht="16.149999999999999" thickBot="1" x14ac:dyDescent="0.5">
      <c r="B41" s="2581" t="s">
        <v>1815</v>
      </c>
      <c r="C41" s="2582"/>
      <c r="D41" s="2582"/>
      <c r="E41" s="2583"/>
      <c r="F41" s="1390">
        <f>SUM(F37:F40)</f>
        <v>1863359.0616544446</v>
      </c>
      <c r="G41" s="1391" t="s">
        <v>1684</v>
      </c>
      <c r="H41" s="1412"/>
      <c r="I41" s="1419"/>
      <c r="J41" s="1430">
        <f>SUM(J37:J40)</f>
        <v>374111.75322056061</v>
      </c>
      <c r="K41" s="1431" t="s">
        <v>1684</v>
      </c>
      <c r="L41" s="2600"/>
      <c r="M41" s="2600"/>
      <c r="N41" s="2600"/>
      <c r="O41" s="2601"/>
      <c r="P41" s="1367"/>
      <c r="Q41" s="1367"/>
      <c r="R41" s="1367"/>
      <c r="S41" s="1367"/>
      <c r="T41" s="1367"/>
      <c r="U41" s="1367"/>
    </row>
    <row r="42" spans="2:21" s="1363" customFormat="1" ht="15.75" x14ac:dyDescent="0.45">
      <c r="B42" s="2602" t="s">
        <v>1816</v>
      </c>
      <c r="C42" s="2603"/>
      <c r="D42" s="2603"/>
      <c r="E42" s="2604"/>
      <c r="F42" s="1395">
        <v>0</v>
      </c>
      <c r="G42" s="1396" t="s">
        <v>306</v>
      </c>
      <c r="H42" s="1415"/>
      <c r="I42" s="1418"/>
      <c r="J42" s="1439"/>
      <c r="K42" s="1440" t="s">
        <v>306</v>
      </c>
      <c r="L42" s="2605"/>
      <c r="M42" s="2606"/>
      <c r="N42" s="2606"/>
      <c r="O42" s="2607"/>
      <c r="P42" s="1367"/>
      <c r="Q42" s="1367"/>
      <c r="R42" s="1367"/>
      <c r="S42" s="1367"/>
      <c r="T42" s="1367"/>
      <c r="U42" s="1367"/>
    </row>
    <row r="43" spans="2:21" s="1363" customFormat="1" ht="16.149999999999999" thickBot="1" x14ac:dyDescent="0.5">
      <c r="B43" s="2595" t="s">
        <v>1817</v>
      </c>
      <c r="C43" s="2596"/>
      <c r="D43" s="2596"/>
      <c r="E43" s="2597"/>
      <c r="F43" s="1388">
        <f>SUM(II.IPPU!AH22:AH41)</f>
        <v>1825695.847836674</v>
      </c>
      <c r="G43" s="1394" t="s">
        <v>306</v>
      </c>
      <c r="H43" s="1415"/>
      <c r="I43" s="1418"/>
      <c r="J43" s="1429"/>
      <c r="K43" s="1441" t="s">
        <v>306</v>
      </c>
      <c r="L43" s="2608"/>
      <c r="M43" s="2609"/>
      <c r="N43" s="2609"/>
      <c r="O43" s="2610"/>
      <c r="P43" s="1367"/>
      <c r="Q43" s="1367"/>
      <c r="R43" s="1367"/>
      <c r="S43" s="1367"/>
      <c r="T43" s="1367"/>
      <c r="U43" s="1367"/>
    </row>
    <row r="44" spans="2:21" s="1363" customFormat="1" ht="16.149999999999999" thickBot="1" x14ac:dyDescent="0.5">
      <c r="B44" s="2581" t="s">
        <v>1818</v>
      </c>
      <c r="C44" s="2582"/>
      <c r="D44" s="2582"/>
      <c r="E44" s="2583"/>
      <c r="F44" s="1390">
        <f>SUM(F42:F43)</f>
        <v>1825695.847836674</v>
      </c>
      <c r="G44" s="1391"/>
      <c r="H44" s="1412"/>
      <c r="I44" s="1419"/>
      <c r="J44" s="1430">
        <v>0</v>
      </c>
      <c r="K44" s="1442" t="s">
        <v>306</v>
      </c>
      <c r="L44" s="2600"/>
      <c r="M44" s="2600"/>
      <c r="N44" s="2600"/>
      <c r="O44" s="2601"/>
      <c r="P44" s="1367"/>
      <c r="Q44" s="1367"/>
      <c r="R44" s="1367"/>
      <c r="S44" s="1367"/>
      <c r="T44" s="1367"/>
      <c r="U44" s="1367"/>
    </row>
    <row r="45" spans="2:21" s="1363" customFormat="1" ht="15.75" x14ac:dyDescent="0.45">
      <c r="B45" s="2602" t="s">
        <v>1819</v>
      </c>
      <c r="C45" s="2603"/>
      <c r="D45" s="2603"/>
      <c r="E45" s="2604"/>
      <c r="F45" s="1384">
        <f>SUM(III.AFOLU!P12:P22)</f>
        <v>10356.521475130005</v>
      </c>
      <c r="G45" s="1392"/>
      <c r="H45" s="1415"/>
      <c r="I45" s="1418"/>
      <c r="J45" s="1443"/>
      <c r="K45" s="1444" t="s">
        <v>1904</v>
      </c>
      <c r="L45" s="2605"/>
      <c r="M45" s="2606"/>
      <c r="N45" s="2606"/>
      <c r="O45" s="2607"/>
      <c r="P45" s="1367"/>
      <c r="Q45" s="1367"/>
      <c r="R45" s="1367"/>
      <c r="S45" s="1367"/>
      <c r="T45" s="1367"/>
      <c r="U45" s="1367"/>
    </row>
    <row r="46" spans="2:21" s="1363" customFormat="1" ht="15.75" x14ac:dyDescent="0.45">
      <c r="B46" s="2595" t="s">
        <v>1820</v>
      </c>
      <c r="C46" s="2596"/>
      <c r="D46" s="2596"/>
      <c r="E46" s="2597"/>
      <c r="F46" s="1386">
        <f>SUM(III.AFOLU!P29:P44)</f>
        <v>102363.23000000001</v>
      </c>
      <c r="G46" s="1393"/>
      <c r="H46" s="1415"/>
      <c r="I46" s="1418"/>
      <c r="J46" s="1445"/>
      <c r="K46" s="1446" t="s">
        <v>1904</v>
      </c>
      <c r="L46" s="2589"/>
      <c r="M46" s="2590"/>
      <c r="N46" s="2590"/>
      <c r="O46" s="2591"/>
      <c r="P46" s="1367"/>
      <c r="Q46" s="1367"/>
      <c r="R46" s="1367"/>
      <c r="S46" s="1367"/>
      <c r="T46" s="1367"/>
      <c r="U46" s="1367"/>
    </row>
    <row r="47" spans="2:21" s="1363" customFormat="1" ht="16.149999999999999" thickBot="1" x14ac:dyDescent="0.5">
      <c r="B47" s="2595" t="s">
        <v>1821</v>
      </c>
      <c r="C47" s="2596"/>
      <c r="D47" s="2596"/>
      <c r="E47" s="2597"/>
      <c r="F47" s="1388">
        <f>SUM(III.AFOLU!P58:P64)</f>
        <v>6436.2579149011053</v>
      </c>
      <c r="G47" s="1394"/>
      <c r="H47" s="1415"/>
      <c r="I47" s="1418"/>
      <c r="J47" s="1429"/>
      <c r="K47" s="1441" t="s">
        <v>1904</v>
      </c>
      <c r="L47" s="2608"/>
      <c r="M47" s="2609"/>
      <c r="N47" s="2609"/>
      <c r="O47" s="2610"/>
      <c r="P47" s="1367"/>
      <c r="Q47" s="1367"/>
      <c r="R47" s="1367"/>
      <c r="S47" s="1367"/>
      <c r="T47" s="1367"/>
      <c r="U47" s="1367"/>
    </row>
    <row r="48" spans="2:21" s="1363" customFormat="1" ht="16.149999999999999" thickBot="1" x14ac:dyDescent="0.5">
      <c r="B48" s="2581" t="s">
        <v>1822</v>
      </c>
      <c r="C48" s="2582"/>
      <c r="D48" s="2582"/>
      <c r="E48" s="2583"/>
      <c r="F48" s="1390">
        <f>SUM(F45:F47)</f>
        <v>119156.00939003112</v>
      </c>
      <c r="G48" s="1391"/>
      <c r="H48" s="1412"/>
      <c r="I48" s="1419"/>
      <c r="J48" s="1430">
        <v>0</v>
      </c>
      <c r="K48" s="1442" t="s">
        <v>1904</v>
      </c>
      <c r="L48" s="2600"/>
      <c r="M48" s="2600"/>
      <c r="N48" s="2600"/>
      <c r="O48" s="2601"/>
      <c r="P48" s="1367"/>
      <c r="Q48" s="1367"/>
      <c r="R48" s="1367"/>
      <c r="S48" s="1367"/>
      <c r="T48" s="1367"/>
      <c r="U48" s="1367"/>
    </row>
    <row r="49" spans="2:21" s="1363" customFormat="1" ht="15.75" x14ac:dyDescent="0.45">
      <c r="B49" s="2602" t="s">
        <v>1823</v>
      </c>
      <c r="C49" s="2603"/>
      <c r="D49" s="2603"/>
      <c r="E49" s="2604"/>
      <c r="F49" s="1384">
        <v>615409.23953803943</v>
      </c>
      <c r="G49" s="1397" t="s">
        <v>1684</v>
      </c>
      <c r="H49" s="1415"/>
      <c r="I49" s="1418"/>
      <c r="J49" s="1447"/>
      <c r="K49" s="1448" t="s">
        <v>306</v>
      </c>
      <c r="L49" s="2605"/>
      <c r="M49" s="2606"/>
      <c r="N49" s="2606"/>
      <c r="O49" s="2607"/>
      <c r="P49" s="1367"/>
      <c r="Q49" s="1367"/>
      <c r="R49" s="1367"/>
      <c r="S49" s="1367"/>
      <c r="T49" s="1367"/>
      <c r="U49" s="1367"/>
    </row>
    <row r="50" spans="2:21" s="1363" customFormat="1" ht="15.75" x14ac:dyDescent="0.45">
      <c r="B50" s="2595" t="s">
        <v>1824</v>
      </c>
      <c r="C50" s="2596"/>
      <c r="D50" s="2596"/>
      <c r="E50" s="2597"/>
      <c r="F50" s="1384">
        <v>228851.66078294895</v>
      </c>
      <c r="G50" s="1383" t="s">
        <v>1684</v>
      </c>
      <c r="H50" s="1415"/>
      <c r="I50" s="1418"/>
      <c r="J50" s="1449"/>
      <c r="K50" s="1450" t="s">
        <v>306</v>
      </c>
      <c r="L50" s="2589"/>
      <c r="M50" s="2590"/>
      <c r="N50" s="2590"/>
      <c r="O50" s="2591"/>
      <c r="P50" s="1367"/>
      <c r="Q50" s="1367"/>
      <c r="R50" s="1367"/>
      <c r="S50" s="1367"/>
      <c r="T50" s="1367"/>
      <c r="U50" s="1367"/>
    </row>
    <row r="51" spans="2:21" s="1363" customFormat="1" ht="15.75" x14ac:dyDescent="0.45">
      <c r="B51" s="2586" t="s">
        <v>1825</v>
      </c>
      <c r="C51" s="2587"/>
      <c r="D51" s="2587"/>
      <c r="E51" s="2588"/>
      <c r="F51" s="1384">
        <v>248349.93598635375</v>
      </c>
      <c r="G51" s="1398" t="s">
        <v>1684</v>
      </c>
      <c r="H51" s="1415"/>
      <c r="I51" s="1418"/>
      <c r="J51" s="1451"/>
      <c r="K51" s="1452" t="s">
        <v>306</v>
      </c>
      <c r="L51" s="2589"/>
      <c r="M51" s="2590"/>
      <c r="N51" s="2590"/>
      <c r="O51" s="2591"/>
      <c r="P51" s="1367"/>
      <c r="Q51" s="1367"/>
      <c r="R51" s="1367"/>
      <c r="S51" s="1367"/>
      <c r="T51" s="1367"/>
      <c r="U51" s="1367"/>
    </row>
    <row r="52" spans="2:21" s="1363" customFormat="1" ht="16.149999999999999" thickBot="1" x14ac:dyDescent="0.5">
      <c r="B52" s="2586" t="s">
        <v>1826</v>
      </c>
      <c r="C52" s="2587"/>
      <c r="D52" s="2587"/>
      <c r="E52" s="2588"/>
      <c r="F52" s="1399">
        <f>'02 CO2'!M42*1000</f>
        <v>214853.26038940158</v>
      </c>
      <c r="G52" s="1400"/>
      <c r="H52" s="1420"/>
      <c r="I52" s="1421"/>
      <c r="J52" s="1453"/>
      <c r="K52" s="1454" t="s">
        <v>306</v>
      </c>
      <c r="L52" s="2592"/>
      <c r="M52" s="2593"/>
      <c r="N52" s="2593"/>
      <c r="O52" s="2594"/>
      <c r="P52" s="1367"/>
      <c r="Q52" s="1367"/>
      <c r="R52" s="1367"/>
      <c r="S52" s="1367"/>
      <c r="T52" s="1367"/>
      <c r="U52" s="1367"/>
    </row>
    <row r="53" spans="2:21" s="1363" customFormat="1" ht="16.5" thickTop="1" thickBot="1" x14ac:dyDescent="0.5">
      <c r="B53" s="2595" t="s">
        <v>1827</v>
      </c>
      <c r="C53" s="2596"/>
      <c r="D53" s="2596"/>
      <c r="E53" s="2597"/>
      <c r="F53" s="1386">
        <v>1288861.33</v>
      </c>
      <c r="G53" s="1396" t="s">
        <v>1684</v>
      </c>
      <c r="H53" s="1415"/>
      <c r="I53" s="1418"/>
      <c r="J53" s="1455"/>
      <c r="K53" s="1456"/>
      <c r="L53" s="2598"/>
      <c r="M53" s="2598"/>
      <c r="N53" s="2598"/>
      <c r="O53" s="2599"/>
      <c r="P53" s="1367"/>
      <c r="Q53" s="1367"/>
      <c r="R53" s="1367"/>
      <c r="S53" s="1367"/>
      <c r="T53" s="1367"/>
      <c r="U53" s="1367"/>
    </row>
    <row r="54" spans="2:21" s="1363" customFormat="1" ht="16.149999999999999" thickBot="1" x14ac:dyDescent="0.5">
      <c r="B54" s="2581" t="s">
        <v>1828</v>
      </c>
      <c r="C54" s="2582"/>
      <c r="D54" s="2582"/>
      <c r="E54" s="2583"/>
      <c r="F54" s="1390">
        <f>F30+F36+F41+F44+F48</f>
        <v>20838572.747813843</v>
      </c>
      <c r="G54" s="1391" t="s">
        <v>1684</v>
      </c>
      <c r="H54" s="1412">
        <f>H30+H36</f>
        <v>5818884.6709541259</v>
      </c>
      <c r="I54" s="1422" t="s">
        <v>1684</v>
      </c>
      <c r="J54" s="1430">
        <f>J30+J36+J41+J44+J48</f>
        <v>374111.75322056061</v>
      </c>
      <c r="K54" s="1442" t="s">
        <v>1684</v>
      </c>
      <c r="L54" s="2584"/>
      <c r="M54" s="2584"/>
      <c r="N54" s="2584"/>
      <c r="O54" s="2585"/>
      <c r="P54" s="1367"/>
      <c r="Q54" s="1367"/>
      <c r="R54" s="1367"/>
      <c r="S54" s="1367"/>
      <c r="T54" s="1367"/>
      <c r="U54" s="1367"/>
    </row>
    <row r="57" spans="2:21" ht="14.65" thickBot="1" x14ac:dyDescent="0.5">
      <c r="B57" s="1364" t="s">
        <v>2283</v>
      </c>
    </row>
    <row r="58" spans="2:21" ht="14.65" thickTop="1" x14ac:dyDescent="0.45">
      <c r="B58" s="2648" t="s">
        <v>1076</v>
      </c>
      <c r="C58" s="2651" t="s">
        <v>1080</v>
      </c>
      <c r="D58" s="511" t="s">
        <v>1081</v>
      </c>
      <c r="E58" s="2652" t="s">
        <v>1083</v>
      </c>
      <c r="F58" s="2655" t="s">
        <v>1077</v>
      </c>
      <c r="G58" s="2641" t="s">
        <v>1078</v>
      </c>
      <c r="H58" s="2641" t="s">
        <v>1084</v>
      </c>
      <c r="I58" s="2644" t="s">
        <v>1085</v>
      </c>
      <c r="J58" s="2646" t="s">
        <v>1086</v>
      </c>
      <c r="K58" s="2664" t="s">
        <v>365</v>
      </c>
      <c r="L58" s="2658" t="s">
        <v>1067</v>
      </c>
      <c r="M58" s="2659"/>
      <c r="N58" s="2660"/>
      <c r="O58" s="2658" t="s">
        <v>1068</v>
      </c>
      <c r="P58" s="2659"/>
      <c r="Q58" s="2660"/>
    </row>
    <row r="59" spans="2:21" ht="22.5" customHeight="1" thickBot="1" x14ac:dyDescent="0.5">
      <c r="B59" s="2649"/>
      <c r="C59" s="2642"/>
      <c r="D59" s="512" t="s">
        <v>1082</v>
      </c>
      <c r="E59" s="2653"/>
      <c r="F59" s="2656"/>
      <c r="G59" s="2642"/>
      <c r="H59" s="2642"/>
      <c r="I59" s="2645"/>
      <c r="J59" s="2647"/>
      <c r="K59" s="2665"/>
      <c r="L59" s="2661" t="s">
        <v>1069</v>
      </c>
      <c r="M59" s="2662"/>
      <c r="N59" s="2663"/>
      <c r="O59" s="2661" t="s">
        <v>1069</v>
      </c>
      <c r="P59" s="2662"/>
      <c r="Q59" s="2663"/>
    </row>
    <row r="60" spans="2:21" ht="14.65" thickBot="1" x14ac:dyDescent="0.5">
      <c r="B60" s="2650"/>
      <c r="C60" s="2643"/>
      <c r="D60" s="513"/>
      <c r="E60" s="2654"/>
      <c r="F60" s="2657"/>
      <c r="G60" s="2643"/>
      <c r="H60" s="2643"/>
      <c r="I60" s="515" t="s">
        <v>1070</v>
      </c>
      <c r="J60" s="515" t="s">
        <v>575</v>
      </c>
      <c r="K60" s="515" t="s">
        <v>1054</v>
      </c>
      <c r="L60" s="514" t="s">
        <v>1070</v>
      </c>
      <c r="M60" s="515" t="s">
        <v>575</v>
      </c>
      <c r="N60" s="515" t="s">
        <v>1054</v>
      </c>
      <c r="O60" s="514" t="s">
        <v>1070</v>
      </c>
      <c r="P60" s="515" t="s">
        <v>575</v>
      </c>
      <c r="Q60" s="515" t="s">
        <v>1054</v>
      </c>
    </row>
    <row r="61" spans="2:21" ht="63.4" thickBot="1" x14ac:dyDescent="0.5">
      <c r="B61" s="506" t="s">
        <v>1087</v>
      </c>
      <c r="C61" s="520" t="s">
        <v>1088</v>
      </c>
      <c r="D61" s="517" t="s">
        <v>1910</v>
      </c>
      <c r="E61" s="521" t="s">
        <v>1056</v>
      </c>
      <c r="F61" s="516" t="s">
        <v>1056</v>
      </c>
      <c r="G61" s="516" t="s">
        <v>1056</v>
      </c>
      <c r="H61" s="522" t="s">
        <v>1056</v>
      </c>
      <c r="I61" s="516" t="s">
        <v>1056</v>
      </c>
      <c r="J61" s="516" t="s">
        <v>1056</v>
      </c>
      <c r="K61" s="516" t="s">
        <v>1056</v>
      </c>
      <c r="L61" s="516" t="s">
        <v>1056</v>
      </c>
      <c r="M61" s="516" t="s">
        <v>1056</v>
      </c>
      <c r="N61" s="516" t="s">
        <v>1056</v>
      </c>
      <c r="O61" s="503" t="s">
        <v>1056</v>
      </c>
      <c r="P61" s="518" t="s">
        <v>1056</v>
      </c>
      <c r="Q61" s="518" t="s">
        <v>1056</v>
      </c>
    </row>
    <row r="62" spans="2:21" ht="63.4" thickBot="1" x14ac:dyDescent="0.5">
      <c r="B62" s="506" t="s">
        <v>1089</v>
      </c>
      <c r="C62" s="520" t="s">
        <v>1090</v>
      </c>
      <c r="D62" s="517" t="s">
        <v>1910</v>
      </c>
      <c r="E62" s="521" t="s">
        <v>1056</v>
      </c>
      <c r="F62" s="516" t="s">
        <v>1056</v>
      </c>
      <c r="G62" s="516" t="s">
        <v>1056</v>
      </c>
      <c r="H62" s="522" t="s">
        <v>1056</v>
      </c>
      <c r="I62" s="516" t="s">
        <v>1056</v>
      </c>
      <c r="J62" s="516" t="s">
        <v>1056</v>
      </c>
      <c r="K62" s="516" t="s">
        <v>1056</v>
      </c>
      <c r="L62" s="516" t="s">
        <v>1056</v>
      </c>
      <c r="M62" s="516" t="s">
        <v>1056</v>
      </c>
      <c r="N62" s="516" t="s">
        <v>1056</v>
      </c>
      <c r="O62" s="503" t="s">
        <v>1056</v>
      </c>
      <c r="P62" s="518" t="s">
        <v>1056</v>
      </c>
      <c r="Q62" s="518" t="s">
        <v>1056</v>
      </c>
    </row>
    <row r="63" spans="2:21" ht="63.4" thickBot="1" x14ac:dyDescent="0.5">
      <c r="B63" s="507" t="s">
        <v>1091</v>
      </c>
      <c r="C63" s="523" t="s">
        <v>1090</v>
      </c>
      <c r="D63" s="517" t="s">
        <v>1910</v>
      </c>
      <c r="E63" s="524" t="s">
        <v>1056</v>
      </c>
      <c r="F63" s="516" t="s">
        <v>1056</v>
      </c>
      <c r="G63" s="516" t="s">
        <v>1056</v>
      </c>
      <c r="H63" s="522" t="s">
        <v>1056</v>
      </c>
      <c r="I63" s="516" t="s">
        <v>1056</v>
      </c>
      <c r="J63" s="516" t="s">
        <v>1056</v>
      </c>
      <c r="K63" s="516" t="s">
        <v>1056</v>
      </c>
      <c r="L63" s="516" t="s">
        <v>1056</v>
      </c>
      <c r="M63" s="516" t="s">
        <v>1056</v>
      </c>
      <c r="N63" s="516" t="s">
        <v>1056</v>
      </c>
      <c r="O63" s="503" t="s">
        <v>1056</v>
      </c>
      <c r="P63" s="518" t="s">
        <v>1056</v>
      </c>
      <c r="Q63" s="518" t="s">
        <v>1056</v>
      </c>
    </row>
    <row r="64" spans="2:21" ht="14.65" thickTop="1" x14ac:dyDescent="0.45"/>
    <row r="67" spans="2:10" x14ac:dyDescent="0.45">
      <c r="B67" s="1364" t="s">
        <v>2284</v>
      </c>
    </row>
    <row r="68" spans="2:10" ht="52.5" x14ac:dyDescent="0.45">
      <c r="B68" s="1371" t="s">
        <v>1911</v>
      </c>
      <c r="C68" s="1372" t="s">
        <v>1912</v>
      </c>
      <c r="D68" s="1372" t="s">
        <v>1913</v>
      </c>
      <c r="E68" s="1372" t="s">
        <v>1914</v>
      </c>
      <c r="F68" s="1372" t="s">
        <v>1915</v>
      </c>
      <c r="G68" s="1373" t="s">
        <v>1916</v>
      </c>
      <c r="H68" s="1373" t="s">
        <v>1917</v>
      </c>
      <c r="I68" s="1374" t="s">
        <v>1918</v>
      </c>
      <c r="J68" s="1373" t="s">
        <v>2181</v>
      </c>
    </row>
    <row r="69" spans="2:10" ht="25.5" x14ac:dyDescent="0.45">
      <c r="B69" s="1368" t="s">
        <v>1919</v>
      </c>
      <c r="C69" s="1369" t="s">
        <v>1920</v>
      </c>
      <c r="D69" s="1369" t="s">
        <v>1921</v>
      </c>
      <c r="E69" s="1369" t="s">
        <v>1922</v>
      </c>
      <c r="F69" s="1369" t="s">
        <v>1923</v>
      </c>
      <c r="G69" s="1370" t="s">
        <v>1085</v>
      </c>
      <c r="H69" s="1370" t="s">
        <v>307</v>
      </c>
      <c r="I69" s="1370">
        <v>2018</v>
      </c>
      <c r="J69" s="1370">
        <v>25255</v>
      </c>
    </row>
    <row r="70" spans="2:10" ht="38.25" x14ac:dyDescent="0.45">
      <c r="B70" s="1355" t="s">
        <v>1924</v>
      </c>
      <c r="C70" s="1356" t="s">
        <v>1925</v>
      </c>
      <c r="D70" s="1356" t="s">
        <v>1926</v>
      </c>
      <c r="E70" s="1356" t="s">
        <v>1922</v>
      </c>
      <c r="F70" s="1356" t="s">
        <v>1923</v>
      </c>
      <c r="G70" s="1357" t="s">
        <v>1085</v>
      </c>
      <c r="H70" s="1357" t="s">
        <v>307</v>
      </c>
      <c r="I70" s="1357">
        <v>2018</v>
      </c>
      <c r="J70" s="1357">
        <v>4263</v>
      </c>
    </row>
    <row r="71" spans="2:10" ht="25.5" x14ac:dyDescent="0.45">
      <c r="B71" s="1368" t="s">
        <v>1927</v>
      </c>
      <c r="C71" s="1369" t="s">
        <v>1928</v>
      </c>
      <c r="D71" s="1369" t="s">
        <v>1929</v>
      </c>
      <c r="E71" s="1369" t="s">
        <v>1922</v>
      </c>
      <c r="F71" s="1369" t="s">
        <v>1923</v>
      </c>
      <c r="G71" s="1370" t="s">
        <v>1904</v>
      </c>
      <c r="H71" s="1370" t="s">
        <v>1930</v>
      </c>
      <c r="I71" s="1370">
        <v>2018</v>
      </c>
      <c r="J71" s="1370">
        <v>9701</v>
      </c>
    </row>
    <row r="72" spans="2:10" ht="25.5" x14ac:dyDescent="0.45">
      <c r="B72" s="1355" t="s">
        <v>1931</v>
      </c>
      <c r="C72" s="1356" t="s">
        <v>1932</v>
      </c>
      <c r="D72" s="1356" t="s">
        <v>1933</v>
      </c>
      <c r="E72" s="1356" t="s">
        <v>1922</v>
      </c>
      <c r="F72" s="1356" t="s">
        <v>1923</v>
      </c>
      <c r="G72" s="1357" t="s">
        <v>1085</v>
      </c>
      <c r="H72" s="1357" t="s">
        <v>307</v>
      </c>
      <c r="I72" s="1357">
        <v>2018</v>
      </c>
      <c r="J72" s="1357">
        <v>9594</v>
      </c>
    </row>
    <row r="73" spans="2:10" ht="25.5" x14ac:dyDescent="0.45">
      <c r="B73" s="1368" t="s">
        <v>1934</v>
      </c>
      <c r="C73" s="1369" t="s">
        <v>1935</v>
      </c>
      <c r="D73" s="1369" t="s">
        <v>1936</v>
      </c>
      <c r="E73" s="1369" t="s">
        <v>1922</v>
      </c>
      <c r="F73" s="1369" t="s">
        <v>1923</v>
      </c>
      <c r="G73" s="1370" t="s">
        <v>1904</v>
      </c>
      <c r="H73" s="1370" t="s">
        <v>1930</v>
      </c>
      <c r="I73" s="1370">
        <v>2018</v>
      </c>
      <c r="J73" s="1370">
        <v>20378</v>
      </c>
    </row>
    <row r="74" spans="2:10" ht="25.5" x14ac:dyDescent="0.45">
      <c r="B74" s="1355" t="s">
        <v>1937</v>
      </c>
      <c r="C74" s="1356" t="s">
        <v>1938</v>
      </c>
      <c r="D74" s="1356" t="s">
        <v>1939</v>
      </c>
      <c r="E74" s="1356" t="s">
        <v>1922</v>
      </c>
      <c r="F74" s="1356" t="s">
        <v>1923</v>
      </c>
      <c r="G74" s="1357" t="s">
        <v>1904</v>
      </c>
      <c r="H74" s="1357" t="s">
        <v>1940</v>
      </c>
      <c r="I74" s="1357">
        <v>2018</v>
      </c>
      <c r="J74" s="1357">
        <v>7131</v>
      </c>
    </row>
    <row r="75" spans="2:10" ht="25.5" x14ac:dyDescent="0.45">
      <c r="B75" s="1368" t="s">
        <v>1941</v>
      </c>
      <c r="C75" s="1369" t="s">
        <v>1942</v>
      </c>
      <c r="D75" s="1369" t="s">
        <v>1943</v>
      </c>
      <c r="E75" s="1369" t="s">
        <v>1922</v>
      </c>
      <c r="F75" s="1369" t="s">
        <v>1923</v>
      </c>
      <c r="G75" s="1370" t="s">
        <v>1085</v>
      </c>
      <c r="H75" s="1370" t="s">
        <v>307</v>
      </c>
      <c r="I75" s="1370">
        <v>2018</v>
      </c>
      <c r="J75" s="1370">
        <v>6600</v>
      </c>
    </row>
    <row r="76" spans="2:10" ht="25.5" x14ac:dyDescent="0.45">
      <c r="B76" s="1355" t="s">
        <v>1944</v>
      </c>
      <c r="C76" s="1356" t="s">
        <v>1942</v>
      </c>
      <c r="D76" s="1356" t="s">
        <v>1945</v>
      </c>
      <c r="E76" s="1356" t="s">
        <v>1922</v>
      </c>
      <c r="F76" s="1356" t="s">
        <v>1923</v>
      </c>
      <c r="G76" s="1357" t="s">
        <v>1085</v>
      </c>
      <c r="H76" s="1357" t="s">
        <v>307</v>
      </c>
      <c r="I76" s="1357">
        <v>2018</v>
      </c>
      <c r="J76" s="1357">
        <v>334</v>
      </c>
    </row>
    <row r="77" spans="2:10" ht="25.5" x14ac:dyDescent="0.45">
      <c r="B77" s="1368" t="s">
        <v>1946</v>
      </c>
      <c r="C77" s="1369" t="s">
        <v>1947</v>
      </c>
      <c r="D77" s="1369" t="s">
        <v>1948</v>
      </c>
      <c r="E77" s="1369" t="s">
        <v>1922</v>
      </c>
      <c r="F77" s="1369" t="s">
        <v>1923</v>
      </c>
      <c r="G77" s="1370" t="s">
        <v>1085</v>
      </c>
      <c r="H77" s="1370" t="s">
        <v>307</v>
      </c>
      <c r="I77" s="1370">
        <v>2018</v>
      </c>
      <c r="J77" s="1370">
        <v>12378</v>
      </c>
    </row>
    <row r="78" spans="2:10" ht="38.25" x14ac:dyDescent="0.45">
      <c r="B78" s="1355" t="s">
        <v>1949</v>
      </c>
      <c r="C78" s="1356" t="s">
        <v>1950</v>
      </c>
      <c r="D78" s="1356" t="s">
        <v>1951</v>
      </c>
      <c r="E78" s="1356" t="s">
        <v>1922</v>
      </c>
      <c r="F78" s="1356" t="s">
        <v>1923</v>
      </c>
      <c r="G78" s="1357" t="s">
        <v>1904</v>
      </c>
      <c r="H78" s="1357" t="s">
        <v>1930</v>
      </c>
      <c r="I78" s="1357">
        <v>2018</v>
      </c>
      <c r="J78" s="1357">
        <v>8905</v>
      </c>
    </row>
    <row r="79" spans="2:10" ht="25.5" x14ac:dyDescent="0.45">
      <c r="B79" s="1368" t="s">
        <v>1952</v>
      </c>
      <c r="C79" s="1369" t="s">
        <v>1953</v>
      </c>
      <c r="D79" s="1369" t="s">
        <v>1954</v>
      </c>
      <c r="E79" s="1369" t="s">
        <v>1922</v>
      </c>
      <c r="F79" s="1369" t="s">
        <v>1923</v>
      </c>
      <c r="G79" s="1370" t="s">
        <v>1085</v>
      </c>
      <c r="H79" s="1370" t="s">
        <v>307</v>
      </c>
      <c r="I79" s="1370">
        <v>2018</v>
      </c>
      <c r="J79" s="1370">
        <v>7416</v>
      </c>
    </row>
    <row r="80" spans="2:10" ht="25.5" x14ac:dyDescent="0.45">
      <c r="B80" s="1355" t="s">
        <v>1955</v>
      </c>
      <c r="C80" s="1356" t="s">
        <v>1956</v>
      </c>
      <c r="D80" s="1356" t="s">
        <v>1957</v>
      </c>
      <c r="E80" s="1356" t="s">
        <v>1922</v>
      </c>
      <c r="F80" s="1356" t="s">
        <v>1923</v>
      </c>
      <c r="G80" s="1357" t="s">
        <v>1904</v>
      </c>
      <c r="H80" s="1357" t="s">
        <v>1930</v>
      </c>
      <c r="I80" s="1357">
        <v>2018</v>
      </c>
      <c r="J80" s="1357">
        <v>9567</v>
      </c>
    </row>
    <row r="81" spans="2:10" ht="25.5" x14ac:dyDescent="0.45">
      <c r="B81" s="1368" t="s">
        <v>1958</v>
      </c>
      <c r="C81" s="1369" t="s">
        <v>1959</v>
      </c>
      <c r="D81" s="1369" t="s">
        <v>1960</v>
      </c>
      <c r="E81" s="1369" t="s">
        <v>1922</v>
      </c>
      <c r="F81" s="1369" t="s">
        <v>1923</v>
      </c>
      <c r="G81" s="1370" t="s">
        <v>1085</v>
      </c>
      <c r="H81" s="1370" t="s">
        <v>307</v>
      </c>
      <c r="I81" s="1370">
        <v>2018</v>
      </c>
      <c r="J81" s="1370">
        <v>74</v>
      </c>
    </row>
    <row r="82" spans="2:10" ht="25.5" x14ac:dyDescent="0.45">
      <c r="B82" s="1355" t="s">
        <v>1961</v>
      </c>
      <c r="C82" s="1356" t="s">
        <v>1962</v>
      </c>
      <c r="D82" s="1356" t="s">
        <v>1963</v>
      </c>
      <c r="E82" s="1356" t="s">
        <v>1922</v>
      </c>
      <c r="F82" s="1356" t="s">
        <v>1923</v>
      </c>
      <c r="G82" s="1357" t="s">
        <v>1085</v>
      </c>
      <c r="H82" s="1357" t="s">
        <v>307</v>
      </c>
      <c r="I82" s="1357">
        <v>2018</v>
      </c>
      <c r="J82" s="1357">
        <v>6603</v>
      </c>
    </row>
    <row r="83" spans="2:10" ht="25.5" x14ac:dyDescent="0.45">
      <c r="B83" s="1368" t="s">
        <v>1964</v>
      </c>
      <c r="C83" s="1369" t="s">
        <v>1956</v>
      </c>
      <c r="D83" s="1369" t="s">
        <v>1965</v>
      </c>
      <c r="E83" s="1369" t="s">
        <v>1922</v>
      </c>
      <c r="F83" s="1369" t="s">
        <v>1923</v>
      </c>
      <c r="G83" s="1370" t="s">
        <v>1904</v>
      </c>
      <c r="H83" s="1370" t="s">
        <v>1930</v>
      </c>
      <c r="I83" s="1370">
        <v>2018</v>
      </c>
      <c r="J83" s="1370">
        <v>9019</v>
      </c>
    </row>
    <row r="84" spans="2:10" ht="25.5" x14ac:dyDescent="0.45">
      <c r="B84" s="1355" t="s">
        <v>1966</v>
      </c>
      <c r="C84" s="1356" t="s">
        <v>1967</v>
      </c>
      <c r="D84" s="1356" t="s">
        <v>1968</v>
      </c>
      <c r="E84" s="1356" t="s">
        <v>1922</v>
      </c>
      <c r="F84" s="1356" t="s">
        <v>1969</v>
      </c>
      <c r="G84" s="1357" t="s">
        <v>1904</v>
      </c>
      <c r="H84" s="1357" t="s">
        <v>1940</v>
      </c>
      <c r="I84" s="1357">
        <v>2018</v>
      </c>
      <c r="J84" s="1357">
        <v>14284</v>
      </c>
    </row>
    <row r="85" spans="2:10" ht="25.5" x14ac:dyDescent="0.45">
      <c r="B85" s="1368" t="s">
        <v>1970</v>
      </c>
      <c r="C85" s="1369" t="s">
        <v>1971</v>
      </c>
      <c r="D85" s="1369" t="s">
        <v>1972</v>
      </c>
      <c r="E85" s="1369" t="s">
        <v>1922</v>
      </c>
      <c r="F85" s="1369" t="s">
        <v>1923</v>
      </c>
      <c r="G85" s="1370" t="s">
        <v>1904</v>
      </c>
      <c r="H85" s="1370" t="s">
        <v>1930</v>
      </c>
      <c r="I85" s="1370">
        <v>2018</v>
      </c>
      <c r="J85" s="1370">
        <v>18182</v>
      </c>
    </row>
    <row r="86" spans="2:10" ht="25.5" x14ac:dyDescent="0.45">
      <c r="B86" s="1355" t="s">
        <v>1973</v>
      </c>
      <c r="C86" s="1356" t="s">
        <v>1959</v>
      </c>
      <c r="D86" s="1356" t="s">
        <v>1974</v>
      </c>
      <c r="E86" s="1356" t="s">
        <v>1922</v>
      </c>
      <c r="F86" s="1356" t="s">
        <v>1923</v>
      </c>
      <c r="G86" s="1357" t="s">
        <v>1904</v>
      </c>
      <c r="H86" s="1357" t="s">
        <v>1940</v>
      </c>
      <c r="I86" s="1357">
        <v>2018</v>
      </c>
      <c r="J86" s="1357">
        <v>52</v>
      </c>
    </row>
    <row r="87" spans="2:10" ht="25.5" x14ac:dyDescent="0.45">
      <c r="B87" s="1368" t="s">
        <v>1975</v>
      </c>
      <c r="C87" s="1369" t="s">
        <v>1942</v>
      </c>
      <c r="D87" s="1369" t="s">
        <v>1976</v>
      </c>
      <c r="E87" s="1369" t="s">
        <v>1922</v>
      </c>
      <c r="F87" s="1369" t="s">
        <v>1923</v>
      </c>
      <c r="G87" s="1370" t="s">
        <v>1085</v>
      </c>
      <c r="H87" s="1370" t="s">
        <v>307</v>
      </c>
      <c r="I87" s="1370">
        <v>2018</v>
      </c>
      <c r="J87" s="1370">
        <v>225</v>
      </c>
    </row>
    <row r="88" spans="2:10" ht="38.25" x14ac:dyDescent="0.45">
      <c r="B88" s="1355" t="s">
        <v>1977</v>
      </c>
      <c r="C88" s="1356" t="s">
        <v>1978</v>
      </c>
      <c r="D88" s="1356" t="s">
        <v>1979</v>
      </c>
      <c r="E88" s="1356" t="s">
        <v>1922</v>
      </c>
      <c r="F88" s="1356" t="s">
        <v>1980</v>
      </c>
      <c r="G88" s="1357" t="s">
        <v>1904</v>
      </c>
      <c r="H88" s="1357" t="s">
        <v>1930</v>
      </c>
      <c r="I88" s="1357">
        <v>2018</v>
      </c>
      <c r="J88" s="1357">
        <v>3325</v>
      </c>
    </row>
    <row r="89" spans="2:10" ht="25.5" x14ac:dyDescent="0.45">
      <c r="B89" s="1368" t="s">
        <v>1981</v>
      </c>
      <c r="C89" s="1369" t="s">
        <v>1982</v>
      </c>
      <c r="D89" s="1369" t="s">
        <v>1983</v>
      </c>
      <c r="E89" s="1369" t="s">
        <v>1922</v>
      </c>
      <c r="F89" s="1369" t="s">
        <v>1923</v>
      </c>
      <c r="G89" s="1370" t="s">
        <v>1085</v>
      </c>
      <c r="H89" s="1370" t="s">
        <v>307</v>
      </c>
      <c r="I89" s="1370">
        <v>2018</v>
      </c>
      <c r="J89" s="1370">
        <v>807</v>
      </c>
    </row>
    <row r="90" spans="2:10" ht="25.5" x14ac:dyDescent="0.45">
      <c r="B90" s="1355" t="s">
        <v>1984</v>
      </c>
      <c r="C90" s="1356" t="s">
        <v>1985</v>
      </c>
      <c r="D90" s="1356" t="s">
        <v>1985</v>
      </c>
      <c r="E90" s="1356" t="s">
        <v>1922</v>
      </c>
      <c r="F90" s="1356" t="s">
        <v>1923</v>
      </c>
      <c r="G90" s="1357" t="s">
        <v>1986</v>
      </c>
      <c r="H90" s="1357" t="s">
        <v>307</v>
      </c>
      <c r="I90" s="1357">
        <v>2018</v>
      </c>
      <c r="J90" s="1357">
        <v>76030</v>
      </c>
    </row>
    <row r="91" spans="2:10" ht="38.25" x14ac:dyDescent="0.45">
      <c r="B91" s="1368" t="s">
        <v>1987</v>
      </c>
      <c r="C91" s="1369" t="s">
        <v>1988</v>
      </c>
      <c r="D91" s="1369" t="s">
        <v>1989</v>
      </c>
      <c r="E91" s="1369" t="s">
        <v>1922</v>
      </c>
      <c r="F91" s="1369" t="s">
        <v>1923</v>
      </c>
      <c r="G91" s="1370" t="s">
        <v>1085</v>
      </c>
      <c r="H91" s="1370" t="s">
        <v>307</v>
      </c>
      <c r="I91" s="1370">
        <v>2018</v>
      </c>
      <c r="J91" s="1370">
        <v>275</v>
      </c>
    </row>
    <row r="92" spans="2:10" ht="25.5" x14ac:dyDescent="0.45">
      <c r="B92" s="1355" t="s">
        <v>1990</v>
      </c>
      <c r="C92" s="1356" t="s">
        <v>1991</v>
      </c>
      <c r="D92" s="1356" t="s">
        <v>1992</v>
      </c>
      <c r="E92" s="1356" t="s">
        <v>1922</v>
      </c>
      <c r="F92" s="1356" t="s">
        <v>1923</v>
      </c>
      <c r="G92" s="1357" t="s">
        <v>1085</v>
      </c>
      <c r="H92" s="1357" t="s">
        <v>307</v>
      </c>
      <c r="I92" s="1357">
        <v>2018</v>
      </c>
      <c r="J92" s="1357">
        <v>90</v>
      </c>
    </row>
    <row r="93" spans="2:10" ht="38.25" x14ac:dyDescent="0.45">
      <c r="B93" s="1368" t="s">
        <v>1993</v>
      </c>
      <c r="C93" s="1369" t="s">
        <v>1925</v>
      </c>
      <c r="D93" s="1369" t="s">
        <v>1994</v>
      </c>
      <c r="E93" s="1369" t="s">
        <v>1922</v>
      </c>
      <c r="F93" s="1369" t="s">
        <v>1995</v>
      </c>
      <c r="G93" s="1370" t="s">
        <v>1904</v>
      </c>
      <c r="H93" s="1370" t="s">
        <v>1930</v>
      </c>
      <c r="I93" s="1370">
        <v>2018</v>
      </c>
      <c r="J93" s="1370">
        <v>2166</v>
      </c>
    </row>
    <row r="94" spans="2:10" ht="25.5" x14ac:dyDescent="0.45">
      <c r="B94" s="1355" t="s">
        <v>1996</v>
      </c>
      <c r="C94" s="1356" t="s">
        <v>1947</v>
      </c>
      <c r="D94" s="1356" t="s">
        <v>1997</v>
      </c>
      <c r="E94" s="1356" t="s">
        <v>1922</v>
      </c>
      <c r="F94" s="1356" t="s">
        <v>1923</v>
      </c>
      <c r="G94" s="1357" t="s">
        <v>1085</v>
      </c>
      <c r="H94" s="1357" t="s">
        <v>307</v>
      </c>
      <c r="I94" s="1357">
        <v>2018</v>
      </c>
      <c r="J94" s="1357">
        <v>20065</v>
      </c>
    </row>
    <row r="95" spans="2:10" ht="25.5" x14ac:dyDescent="0.45">
      <c r="B95" s="1368" t="s">
        <v>1998</v>
      </c>
      <c r="C95" s="1369" t="s">
        <v>1971</v>
      </c>
      <c r="D95" s="1369" t="s">
        <v>1999</v>
      </c>
      <c r="E95" s="1369" t="s">
        <v>1922</v>
      </c>
      <c r="F95" s="1369" t="s">
        <v>1923</v>
      </c>
      <c r="G95" s="1370" t="s">
        <v>1904</v>
      </c>
      <c r="H95" s="1370" t="s">
        <v>1930</v>
      </c>
      <c r="I95" s="1370">
        <v>2018</v>
      </c>
      <c r="J95" s="1370">
        <v>19842</v>
      </c>
    </row>
    <row r="96" spans="2:10" ht="25.5" x14ac:dyDescent="0.45">
      <c r="B96" s="1355" t="s">
        <v>2000</v>
      </c>
      <c r="C96" s="1356" t="s">
        <v>1942</v>
      </c>
      <c r="D96" s="1356" t="s">
        <v>2001</v>
      </c>
      <c r="E96" s="1356" t="s">
        <v>1922</v>
      </c>
      <c r="F96" s="1356" t="s">
        <v>1923</v>
      </c>
      <c r="G96" s="1357" t="s">
        <v>1085</v>
      </c>
      <c r="H96" s="1357" t="s">
        <v>307</v>
      </c>
      <c r="I96" s="1357">
        <v>2018</v>
      </c>
      <c r="J96" s="1357">
        <v>8979</v>
      </c>
    </row>
    <row r="97" spans="2:10" ht="25.5" x14ac:dyDescent="0.45">
      <c r="B97" s="1368" t="s">
        <v>2002</v>
      </c>
      <c r="C97" s="1369" t="s">
        <v>2003</v>
      </c>
      <c r="D97" s="1369" t="s">
        <v>2004</v>
      </c>
      <c r="E97" s="1369" t="s">
        <v>1922</v>
      </c>
      <c r="F97" s="1369" t="s">
        <v>1923</v>
      </c>
      <c r="G97" s="1370" t="s">
        <v>1085</v>
      </c>
      <c r="H97" s="1370" t="s">
        <v>307</v>
      </c>
      <c r="I97" s="1370">
        <v>2018</v>
      </c>
      <c r="J97" s="1370">
        <v>2655</v>
      </c>
    </row>
    <row r="98" spans="2:10" ht="38.25" x14ac:dyDescent="0.45">
      <c r="B98" s="1355" t="s">
        <v>2005</v>
      </c>
      <c r="C98" s="1356" t="s">
        <v>2006</v>
      </c>
      <c r="D98" s="1356" t="s">
        <v>2006</v>
      </c>
      <c r="E98" s="1356" t="s">
        <v>1922</v>
      </c>
      <c r="F98" s="1356" t="s">
        <v>1923</v>
      </c>
      <c r="G98" s="1357" t="s">
        <v>1904</v>
      </c>
      <c r="H98" s="1357" t="s">
        <v>1930</v>
      </c>
      <c r="I98" s="1357">
        <v>2018</v>
      </c>
      <c r="J98" s="1357">
        <v>8569</v>
      </c>
    </row>
    <row r="99" spans="2:10" ht="25.5" x14ac:dyDescent="0.45">
      <c r="B99" s="1368" t="s">
        <v>2007</v>
      </c>
      <c r="C99" s="1369" t="s">
        <v>2008</v>
      </c>
      <c r="D99" s="1369" t="s">
        <v>2009</v>
      </c>
      <c r="E99" s="1369" t="s">
        <v>1922</v>
      </c>
      <c r="F99" s="1369" t="s">
        <v>1923</v>
      </c>
      <c r="G99" s="1370" t="s">
        <v>1986</v>
      </c>
      <c r="H99" s="1370" t="s">
        <v>307</v>
      </c>
      <c r="I99" s="1370">
        <v>2018</v>
      </c>
      <c r="J99" s="1370">
        <v>89937</v>
      </c>
    </row>
    <row r="100" spans="2:10" ht="25.5" x14ac:dyDescent="0.45">
      <c r="B100" s="1355" t="s">
        <v>2010</v>
      </c>
      <c r="C100" s="1356" t="s">
        <v>2011</v>
      </c>
      <c r="D100" s="1356" t="s">
        <v>2012</v>
      </c>
      <c r="E100" s="1356" t="s">
        <v>1922</v>
      </c>
      <c r="F100" s="1356" t="s">
        <v>1923</v>
      </c>
      <c r="G100" s="1357" t="s">
        <v>1904</v>
      </c>
      <c r="H100" s="1357" t="s">
        <v>1940</v>
      </c>
      <c r="I100" s="1357">
        <v>2018</v>
      </c>
      <c r="J100" s="1357">
        <v>9411</v>
      </c>
    </row>
    <row r="101" spans="2:10" ht="25.5" x14ac:dyDescent="0.45">
      <c r="B101" s="1368" t="s">
        <v>2013</v>
      </c>
      <c r="C101" s="1369" t="s">
        <v>2014</v>
      </c>
      <c r="D101" s="1369" t="s">
        <v>2015</v>
      </c>
      <c r="E101" s="1369" t="s">
        <v>1922</v>
      </c>
      <c r="F101" s="1369" t="s">
        <v>1923</v>
      </c>
      <c r="G101" s="1370" t="s">
        <v>1085</v>
      </c>
      <c r="H101" s="1370" t="s">
        <v>307</v>
      </c>
      <c r="I101" s="1370">
        <v>2018</v>
      </c>
      <c r="J101" s="1370">
        <v>10867</v>
      </c>
    </row>
    <row r="102" spans="2:10" ht="25.5" x14ac:dyDescent="0.45">
      <c r="B102" s="1355" t="s">
        <v>2016</v>
      </c>
      <c r="C102" s="1356" t="s">
        <v>2017</v>
      </c>
      <c r="D102" s="1356" t="s">
        <v>2017</v>
      </c>
      <c r="E102" s="1356" t="s">
        <v>1922</v>
      </c>
      <c r="F102" s="1356" t="s">
        <v>1923</v>
      </c>
      <c r="G102" s="1357" t="s">
        <v>1085</v>
      </c>
      <c r="H102" s="1357" t="s">
        <v>307</v>
      </c>
      <c r="I102" s="1357">
        <v>2018</v>
      </c>
      <c r="J102" s="1357">
        <v>1889</v>
      </c>
    </row>
    <row r="103" spans="2:10" ht="25.5" x14ac:dyDescent="0.45">
      <c r="B103" s="1368" t="s">
        <v>2018</v>
      </c>
      <c r="C103" s="1369" t="s">
        <v>2019</v>
      </c>
      <c r="D103" s="1369" t="s">
        <v>2020</v>
      </c>
      <c r="E103" s="1369" t="s">
        <v>1922</v>
      </c>
      <c r="F103" s="1369" t="s">
        <v>1980</v>
      </c>
      <c r="G103" s="1370" t="s">
        <v>1085</v>
      </c>
      <c r="H103" s="1370" t="s">
        <v>307</v>
      </c>
      <c r="I103" s="1370">
        <v>2018</v>
      </c>
      <c r="J103" s="1370">
        <v>11542</v>
      </c>
    </row>
    <row r="104" spans="2:10" ht="38.25" x14ac:dyDescent="0.45">
      <c r="B104" s="1355" t="s">
        <v>2021</v>
      </c>
      <c r="C104" s="1356" t="s">
        <v>2022</v>
      </c>
      <c r="D104" s="1356" t="s">
        <v>2023</v>
      </c>
      <c r="E104" s="1356" t="s">
        <v>1922</v>
      </c>
      <c r="F104" s="1356" t="s">
        <v>1923</v>
      </c>
      <c r="G104" s="1357" t="s">
        <v>1904</v>
      </c>
      <c r="H104" s="1357" t="s">
        <v>1930</v>
      </c>
      <c r="I104" s="1357">
        <v>2018</v>
      </c>
      <c r="J104" s="1357">
        <v>24879</v>
      </c>
    </row>
    <row r="105" spans="2:10" ht="38.25" x14ac:dyDescent="0.45">
      <c r="B105" s="1368" t="s">
        <v>2024</v>
      </c>
      <c r="C105" s="1369" t="s">
        <v>2025</v>
      </c>
      <c r="D105" s="1369" t="s">
        <v>2026</v>
      </c>
      <c r="E105" s="1369" t="s">
        <v>1922</v>
      </c>
      <c r="F105" s="1369" t="s">
        <v>1923</v>
      </c>
      <c r="G105" s="1370" t="s">
        <v>1904</v>
      </c>
      <c r="H105" s="1370" t="s">
        <v>2027</v>
      </c>
      <c r="I105" s="1370">
        <v>2018</v>
      </c>
      <c r="J105" s="1370">
        <v>17156</v>
      </c>
    </row>
    <row r="106" spans="2:10" ht="38.25" x14ac:dyDescent="0.45">
      <c r="B106" s="1355" t="s">
        <v>2028</v>
      </c>
      <c r="C106" s="1356" t="s">
        <v>1988</v>
      </c>
      <c r="D106" s="1356" t="s">
        <v>2029</v>
      </c>
      <c r="E106" s="1356" t="s">
        <v>1922</v>
      </c>
      <c r="F106" s="1356" t="s">
        <v>1923</v>
      </c>
      <c r="G106" s="1357" t="s">
        <v>1085</v>
      </c>
      <c r="H106" s="1357" t="s">
        <v>307</v>
      </c>
      <c r="I106" s="1357">
        <v>2018</v>
      </c>
      <c r="J106" s="1357">
        <v>71</v>
      </c>
    </row>
    <row r="107" spans="2:10" ht="25.5" x14ac:dyDescent="0.45">
      <c r="B107" s="1368" t="s">
        <v>2030</v>
      </c>
      <c r="C107" s="1369" t="s">
        <v>1942</v>
      </c>
      <c r="D107" s="1369" t="s">
        <v>2031</v>
      </c>
      <c r="E107" s="1369" t="s">
        <v>1922</v>
      </c>
      <c r="F107" s="1369" t="s">
        <v>1923</v>
      </c>
      <c r="G107" s="1370" t="s">
        <v>1085</v>
      </c>
      <c r="H107" s="1370" t="s">
        <v>307</v>
      </c>
      <c r="I107" s="1370">
        <v>2018</v>
      </c>
      <c r="J107" s="1370">
        <v>5000</v>
      </c>
    </row>
    <row r="108" spans="2:10" ht="25.5" x14ac:dyDescent="0.45">
      <c r="B108" s="1355" t="s">
        <v>2032</v>
      </c>
      <c r="C108" s="1356" t="s">
        <v>1959</v>
      </c>
      <c r="D108" s="1356" t="s">
        <v>2033</v>
      </c>
      <c r="E108" s="1356" t="s">
        <v>1922</v>
      </c>
      <c r="F108" s="1356" t="s">
        <v>1995</v>
      </c>
      <c r="G108" s="1357" t="s">
        <v>1085</v>
      </c>
      <c r="H108" s="1357" t="s">
        <v>307</v>
      </c>
      <c r="I108" s="1357">
        <v>2018</v>
      </c>
      <c r="J108" s="1357" t="s">
        <v>2034</v>
      </c>
    </row>
    <row r="109" spans="2:10" ht="25.5" x14ac:dyDescent="0.45">
      <c r="B109" s="1368" t="s">
        <v>2035</v>
      </c>
      <c r="C109" s="1369" t="s">
        <v>1928</v>
      </c>
      <c r="D109" s="1369" t="s">
        <v>2036</v>
      </c>
      <c r="E109" s="1369" t="s">
        <v>1922</v>
      </c>
      <c r="F109" s="1369" t="s">
        <v>1923</v>
      </c>
      <c r="G109" s="1370" t="s">
        <v>1904</v>
      </c>
      <c r="H109" s="1370" t="s">
        <v>1930</v>
      </c>
      <c r="I109" s="1370">
        <v>2018</v>
      </c>
      <c r="J109" s="1370">
        <v>7794</v>
      </c>
    </row>
    <row r="110" spans="2:10" ht="25.5" x14ac:dyDescent="0.45">
      <c r="B110" s="1355" t="s">
        <v>2037</v>
      </c>
      <c r="C110" s="1356" t="s">
        <v>2038</v>
      </c>
      <c r="D110" s="1356" t="s">
        <v>2039</v>
      </c>
      <c r="E110" s="1356" t="s">
        <v>1922</v>
      </c>
      <c r="F110" s="1356" t="s">
        <v>1923</v>
      </c>
      <c r="G110" s="1357" t="s">
        <v>1085</v>
      </c>
      <c r="H110" s="1357" t="s">
        <v>307</v>
      </c>
      <c r="I110" s="1357">
        <v>2018</v>
      </c>
      <c r="J110" s="1357">
        <v>9366</v>
      </c>
    </row>
    <row r="111" spans="2:10" ht="25.5" x14ac:dyDescent="0.45">
      <c r="B111" s="1368" t="s">
        <v>2040</v>
      </c>
      <c r="C111" s="1369" t="s">
        <v>2041</v>
      </c>
      <c r="D111" s="1369" t="s">
        <v>2042</v>
      </c>
      <c r="E111" s="1369" t="s">
        <v>1922</v>
      </c>
      <c r="F111" s="1369" t="s">
        <v>1923</v>
      </c>
      <c r="G111" s="1370" t="s">
        <v>1085</v>
      </c>
      <c r="H111" s="1370" t="s">
        <v>307</v>
      </c>
      <c r="I111" s="1370">
        <v>2018</v>
      </c>
      <c r="J111" s="1370">
        <v>3687</v>
      </c>
    </row>
    <row r="112" spans="2:10" ht="25.5" x14ac:dyDescent="0.45">
      <c r="B112" s="1355" t="s">
        <v>2043</v>
      </c>
      <c r="C112" s="1356" t="s">
        <v>2041</v>
      </c>
      <c r="D112" s="1356" t="s">
        <v>2044</v>
      </c>
      <c r="E112" s="1356" t="s">
        <v>1922</v>
      </c>
      <c r="F112" s="1356" t="s">
        <v>1923</v>
      </c>
      <c r="G112" s="1357" t="s">
        <v>1085</v>
      </c>
      <c r="H112" s="1357" t="s">
        <v>307</v>
      </c>
      <c r="I112" s="1357">
        <v>2018</v>
      </c>
      <c r="J112" s="1357">
        <v>7744</v>
      </c>
    </row>
    <row r="113" spans="2:10" ht="25.5" x14ac:dyDescent="0.45">
      <c r="B113" s="1368" t="s">
        <v>2045</v>
      </c>
      <c r="C113" s="1369" t="s">
        <v>2046</v>
      </c>
      <c r="D113" s="1369" t="s">
        <v>2047</v>
      </c>
      <c r="E113" s="1369" t="s">
        <v>1922</v>
      </c>
      <c r="F113" s="1369" t="s">
        <v>1923</v>
      </c>
      <c r="G113" s="1370" t="s">
        <v>1085</v>
      </c>
      <c r="H113" s="1370" t="s">
        <v>307</v>
      </c>
      <c r="I113" s="1370">
        <v>2018</v>
      </c>
      <c r="J113" s="1370">
        <v>4708</v>
      </c>
    </row>
    <row r="114" spans="2:10" ht="25.5" x14ac:dyDescent="0.45">
      <c r="B114" s="1355" t="s">
        <v>2048</v>
      </c>
      <c r="C114" s="1356" t="s">
        <v>2049</v>
      </c>
      <c r="D114" s="1356" t="s">
        <v>538</v>
      </c>
      <c r="E114" s="1356" t="s">
        <v>1922</v>
      </c>
      <c r="F114" s="1356" t="s">
        <v>1923</v>
      </c>
      <c r="G114" s="1357" t="s">
        <v>1904</v>
      </c>
      <c r="H114" s="1357" t="s">
        <v>1940</v>
      </c>
      <c r="I114" s="1357">
        <v>2018</v>
      </c>
      <c r="J114" s="1357">
        <v>3606</v>
      </c>
    </row>
    <row r="115" spans="2:10" ht="25.5" x14ac:dyDescent="0.45">
      <c r="B115" s="1368" t="s">
        <v>2050</v>
      </c>
      <c r="C115" s="1369" t="s">
        <v>2051</v>
      </c>
      <c r="D115" s="1369" t="s">
        <v>2052</v>
      </c>
      <c r="E115" s="1369" t="s">
        <v>1922</v>
      </c>
      <c r="F115" s="1369" t="s">
        <v>1923</v>
      </c>
      <c r="G115" s="1370" t="s">
        <v>1085</v>
      </c>
      <c r="H115" s="1370" t="s">
        <v>307</v>
      </c>
      <c r="I115" s="1370">
        <v>2018</v>
      </c>
      <c r="J115" s="1370">
        <v>2196</v>
      </c>
    </row>
    <row r="116" spans="2:10" ht="25.5" x14ac:dyDescent="0.45">
      <c r="B116" s="1355" t="s">
        <v>2053</v>
      </c>
      <c r="C116" s="1356" t="s">
        <v>2054</v>
      </c>
      <c r="D116" s="1356" t="s">
        <v>2055</v>
      </c>
      <c r="E116" s="1356" t="s">
        <v>1922</v>
      </c>
      <c r="F116" s="1356" t="s">
        <v>1923</v>
      </c>
      <c r="G116" s="1357" t="s">
        <v>1085</v>
      </c>
      <c r="H116" s="1357" t="s">
        <v>307</v>
      </c>
      <c r="I116" s="1357">
        <v>2018</v>
      </c>
      <c r="J116" s="1357">
        <v>227</v>
      </c>
    </row>
    <row r="117" spans="2:10" ht="25.5" x14ac:dyDescent="0.45">
      <c r="B117" s="1368" t="s">
        <v>2056</v>
      </c>
      <c r="C117" s="1369" t="s">
        <v>2057</v>
      </c>
      <c r="D117" s="1369" t="s">
        <v>2058</v>
      </c>
      <c r="E117" s="1369" t="s">
        <v>1922</v>
      </c>
      <c r="F117" s="1369" t="s">
        <v>1923</v>
      </c>
      <c r="G117" s="1370" t="s">
        <v>1085</v>
      </c>
      <c r="H117" s="1370" t="s">
        <v>307</v>
      </c>
      <c r="I117" s="1370">
        <v>2018</v>
      </c>
      <c r="J117" s="1370">
        <v>564</v>
      </c>
    </row>
    <row r="118" spans="2:10" ht="25.5" x14ac:dyDescent="0.45">
      <c r="B118" s="1355" t="s">
        <v>2059</v>
      </c>
      <c r="C118" s="1356" t="s">
        <v>2060</v>
      </c>
      <c r="D118" s="1356" t="s">
        <v>2061</v>
      </c>
      <c r="E118" s="1356" t="s">
        <v>1922</v>
      </c>
      <c r="F118" s="1356" t="s">
        <v>1923</v>
      </c>
      <c r="G118" s="1357" t="s">
        <v>1085</v>
      </c>
      <c r="H118" s="1357" t="s">
        <v>307</v>
      </c>
      <c r="I118" s="1357">
        <v>2018</v>
      </c>
      <c r="J118" s="1357">
        <v>106</v>
      </c>
    </row>
    <row r="119" spans="2:10" ht="25.5" x14ac:dyDescent="0.45">
      <c r="B119" s="1368" t="s">
        <v>2062</v>
      </c>
      <c r="C119" s="1369" t="s">
        <v>2063</v>
      </c>
      <c r="D119" s="1369" t="s">
        <v>2064</v>
      </c>
      <c r="E119" s="1369" t="s">
        <v>1922</v>
      </c>
      <c r="F119" s="1369" t="s">
        <v>1980</v>
      </c>
      <c r="G119" s="1370" t="s">
        <v>1085</v>
      </c>
      <c r="H119" s="1370" t="s">
        <v>307</v>
      </c>
      <c r="I119" s="1370">
        <v>2018</v>
      </c>
      <c r="J119" s="1370">
        <v>4919</v>
      </c>
    </row>
    <row r="120" spans="2:10" ht="25.5" x14ac:dyDescent="0.45">
      <c r="B120" s="1355" t="s">
        <v>2065</v>
      </c>
      <c r="C120" s="1356" t="s">
        <v>2066</v>
      </c>
      <c r="D120" s="1356" t="s">
        <v>2067</v>
      </c>
      <c r="E120" s="1356" t="s">
        <v>1922</v>
      </c>
      <c r="F120" s="1356" t="s">
        <v>1923</v>
      </c>
      <c r="G120" s="1357" t="s">
        <v>1085</v>
      </c>
      <c r="H120" s="1357" t="s">
        <v>307</v>
      </c>
      <c r="I120" s="1357">
        <v>2018</v>
      </c>
      <c r="J120" s="1357">
        <v>5661</v>
      </c>
    </row>
    <row r="121" spans="2:10" ht="25.5" x14ac:dyDescent="0.45">
      <c r="B121" s="1368" t="s">
        <v>2068</v>
      </c>
      <c r="C121" s="1369" t="s">
        <v>2069</v>
      </c>
      <c r="D121" s="1369" t="s">
        <v>2070</v>
      </c>
      <c r="E121" s="1369" t="s">
        <v>1922</v>
      </c>
      <c r="F121" s="1369" t="s">
        <v>1923</v>
      </c>
      <c r="G121" s="1370" t="s">
        <v>1085</v>
      </c>
      <c r="H121" s="1370" t="s">
        <v>307</v>
      </c>
      <c r="I121" s="1370">
        <v>2018</v>
      </c>
      <c r="J121" s="1370">
        <v>2714</v>
      </c>
    </row>
    <row r="122" spans="2:10" ht="25.5" x14ac:dyDescent="0.45">
      <c r="B122" s="1355" t="s">
        <v>2071</v>
      </c>
      <c r="C122" s="1356" t="s">
        <v>2072</v>
      </c>
      <c r="D122" s="1356" t="s">
        <v>2073</v>
      </c>
      <c r="E122" s="1356" t="s">
        <v>1922</v>
      </c>
      <c r="F122" s="1356" t="s">
        <v>1923</v>
      </c>
      <c r="G122" s="1357" t="s">
        <v>1085</v>
      </c>
      <c r="H122" s="1357" t="s">
        <v>307</v>
      </c>
      <c r="I122" s="1357">
        <v>2018</v>
      </c>
      <c r="J122" s="1357">
        <v>26</v>
      </c>
    </row>
    <row r="123" spans="2:10" ht="25.5" x14ac:dyDescent="0.45">
      <c r="B123" s="1368" t="s">
        <v>2074</v>
      </c>
      <c r="C123" s="1369" t="s">
        <v>2075</v>
      </c>
      <c r="D123" s="1369" t="s">
        <v>2076</v>
      </c>
      <c r="E123" s="1369" t="s">
        <v>1922</v>
      </c>
      <c r="F123" s="1369" t="s">
        <v>1923</v>
      </c>
      <c r="G123" s="1370" t="s">
        <v>1085</v>
      </c>
      <c r="H123" s="1370" t="s">
        <v>307</v>
      </c>
      <c r="I123" s="1370">
        <v>2018</v>
      </c>
      <c r="J123" s="1370">
        <v>58</v>
      </c>
    </row>
    <row r="124" spans="2:10" ht="25.5" x14ac:dyDescent="0.45">
      <c r="B124" s="1355" t="s">
        <v>2077</v>
      </c>
      <c r="C124" s="1356" t="s">
        <v>2078</v>
      </c>
      <c r="D124" s="1356" t="s">
        <v>2079</v>
      </c>
      <c r="E124" s="1356" t="s">
        <v>1922</v>
      </c>
      <c r="F124" s="1356" t="s">
        <v>1923</v>
      </c>
      <c r="G124" s="1357" t="s">
        <v>1085</v>
      </c>
      <c r="H124" s="1357" t="s">
        <v>307</v>
      </c>
      <c r="I124" s="1357">
        <v>2018</v>
      </c>
      <c r="J124" s="1357">
        <v>1086</v>
      </c>
    </row>
    <row r="125" spans="2:10" ht="25.5" x14ac:dyDescent="0.45">
      <c r="B125" s="1368" t="s">
        <v>2080</v>
      </c>
      <c r="C125" s="1369" t="s">
        <v>2081</v>
      </c>
      <c r="D125" s="1369" t="s">
        <v>2081</v>
      </c>
      <c r="E125" s="1369" t="s">
        <v>1922</v>
      </c>
      <c r="F125" s="1369" t="s">
        <v>1923</v>
      </c>
      <c r="G125" s="1370" t="s">
        <v>1085</v>
      </c>
      <c r="H125" s="1370" t="s">
        <v>307</v>
      </c>
      <c r="I125" s="1370">
        <v>2018</v>
      </c>
      <c r="J125" s="1370">
        <v>4580</v>
      </c>
    </row>
    <row r="126" spans="2:10" ht="25.5" x14ac:dyDescent="0.45">
      <c r="B126" s="1355" t="s">
        <v>2082</v>
      </c>
      <c r="C126" s="1356" t="s">
        <v>2083</v>
      </c>
      <c r="D126" s="1356" t="s">
        <v>2084</v>
      </c>
      <c r="E126" s="1356" t="s">
        <v>1922</v>
      </c>
      <c r="F126" s="1356" t="s">
        <v>1923</v>
      </c>
      <c r="G126" s="1357" t="s">
        <v>1085</v>
      </c>
      <c r="H126" s="1357" t="s">
        <v>307</v>
      </c>
      <c r="I126" s="1357">
        <v>2018</v>
      </c>
      <c r="J126" s="1357">
        <v>576</v>
      </c>
    </row>
    <row r="127" spans="2:10" ht="25.5" x14ac:dyDescent="0.45">
      <c r="B127" s="1368" t="s">
        <v>2085</v>
      </c>
      <c r="C127" s="1369" t="s">
        <v>2086</v>
      </c>
      <c r="D127" s="1369" t="s">
        <v>2087</v>
      </c>
      <c r="E127" s="1369" t="s">
        <v>1922</v>
      </c>
      <c r="F127" s="1369" t="s">
        <v>1923</v>
      </c>
      <c r="G127" s="1370" t="s">
        <v>1085</v>
      </c>
      <c r="H127" s="1370" t="s">
        <v>307</v>
      </c>
      <c r="I127" s="1370">
        <v>2018</v>
      </c>
      <c r="J127" s="1370">
        <v>1419</v>
      </c>
    </row>
    <row r="128" spans="2:10" ht="25.5" x14ac:dyDescent="0.45">
      <c r="B128" s="1355" t="s">
        <v>2088</v>
      </c>
      <c r="C128" s="1356" t="s">
        <v>2086</v>
      </c>
      <c r="D128" s="1356" t="s">
        <v>2089</v>
      </c>
      <c r="E128" s="1356" t="s">
        <v>1922</v>
      </c>
      <c r="F128" s="1356" t="s">
        <v>1923</v>
      </c>
      <c r="G128" s="1357" t="s">
        <v>1085</v>
      </c>
      <c r="H128" s="1357" t="s">
        <v>307</v>
      </c>
      <c r="I128" s="1357">
        <v>2018</v>
      </c>
      <c r="J128" s="1357">
        <v>1740</v>
      </c>
    </row>
    <row r="129" spans="2:10" ht="25.5" x14ac:dyDescent="0.45">
      <c r="B129" s="1368" t="s">
        <v>2090</v>
      </c>
      <c r="C129" s="1369" t="s">
        <v>2091</v>
      </c>
      <c r="D129" s="1369" t="s">
        <v>2092</v>
      </c>
      <c r="E129" s="1369" t="s">
        <v>1922</v>
      </c>
      <c r="F129" s="1369" t="s">
        <v>1923</v>
      </c>
      <c r="G129" s="1370" t="s">
        <v>1085</v>
      </c>
      <c r="H129" s="1370" t="s">
        <v>307</v>
      </c>
      <c r="I129" s="1370">
        <v>2018</v>
      </c>
      <c r="J129" s="1370">
        <v>220</v>
      </c>
    </row>
    <row r="130" spans="2:10" ht="25.5" x14ac:dyDescent="0.45">
      <c r="B130" s="1355" t="s">
        <v>2093</v>
      </c>
      <c r="C130" s="1356" t="s">
        <v>2094</v>
      </c>
      <c r="D130" s="1356" t="s">
        <v>2095</v>
      </c>
      <c r="E130" s="1356" t="s">
        <v>1922</v>
      </c>
      <c r="F130" s="1356" t="s">
        <v>1923</v>
      </c>
      <c r="G130" s="1357" t="s">
        <v>1085</v>
      </c>
      <c r="H130" s="1357" t="s">
        <v>307</v>
      </c>
      <c r="I130" s="1357">
        <v>2018</v>
      </c>
      <c r="J130" s="1357">
        <v>33</v>
      </c>
    </row>
    <row r="131" spans="2:10" ht="25.5" x14ac:dyDescent="0.45">
      <c r="B131" s="1368" t="s">
        <v>2096</v>
      </c>
      <c r="C131" s="1369" t="s">
        <v>2097</v>
      </c>
      <c r="D131" s="1369" t="s">
        <v>2098</v>
      </c>
      <c r="E131" s="1369" t="s">
        <v>1922</v>
      </c>
      <c r="F131" s="1369" t="s">
        <v>1969</v>
      </c>
      <c r="G131" s="1370" t="s">
        <v>1085</v>
      </c>
      <c r="H131" s="1370" t="s">
        <v>307</v>
      </c>
      <c r="I131" s="1370">
        <v>2018</v>
      </c>
      <c r="J131" s="1370">
        <v>1295</v>
      </c>
    </row>
    <row r="132" spans="2:10" ht="25.5" x14ac:dyDescent="0.45">
      <c r="B132" s="1355" t="s">
        <v>2099</v>
      </c>
      <c r="C132" s="1356" t="s">
        <v>2100</v>
      </c>
      <c r="D132" s="1356" t="s">
        <v>2101</v>
      </c>
      <c r="E132" s="1356" t="s">
        <v>1922</v>
      </c>
      <c r="F132" s="1356" t="s">
        <v>1923</v>
      </c>
      <c r="G132" s="1357" t="s">
        <v>1085</v>
      </c>
      <c r="H132" s="1357" t="s">
        <v>307</v>
      </c>
      <c r="I132" s="1357">
        <v>2018</v>
      </c>
      <c r="J132" s="1357">
        <v>15366</v>
      </c>
    </row>
    <row r="133" spans="2:10" ht="38.25" x14ac:dyDescent="0.45">
      <c r="B133" s="1368" t="s">
        <v>2102</v>
      </c>
      <c r="C133" s="1369" t="s">
        <v>2103</v>
      </c>
      <c r="D133" s="1369" t="s">
        <v>2104</v>
      </c>
      <c r="E133" s="1369" t="s">
        <v>1922</v>
      </c>
      <c r="F133" s="1369" t="s">
        <v>1923</v>
      </c>
      <c r="G133" s="1370" t="s">
        <v>1904</v>
      </c>
      <c r="H133" s="1370" t="s">
        <v>1930</v>
      </c>
      <c r="I133" s="1370">
        <v>2018</v>
      </c>
      <c r="J133" s="1370">
        <v>5723</v>
      </c>
    </row>
    <row r="134" spans="2:10" ht="38.25" x14ac:dyDescent="0.45">
      <c r="B134" s="1355" t="s">
        <v>2105</v>
      </c>
      <c r="C134" s="1356" t="s">
        <v>2106</v>
      </c>
      <c r="D134" s="1356" t="s">
        <v>2107</v>
      </c>
      <c r="E134" s="1356" t="s">
        <v>1922</v>
      </c>
      <c r="F134" s="1356" t="s">
        <v>1923</v>
      </c>
      <c r="G134" s="1357" t="s">
        <v>1904</v>
      </c>
      <c r="H134" s="1357" t="s">
        <v>1930</v>
      </c>
      <c r="I134" s="1357">
        <v>2018</v>
      </c>
      <c r="J134" s="1357">
        <v>2435</v>
      </c>
    </row>
    <row r="135" spans="2:10" ht="38.25" x14ac:dyDescent="0.45">
      <c r="B135" s="1368" t="s">
        <v>2108</v>
      </c>
      <c r="C135" s="1369" t="s">
        <v>2109</v>
      </c>
      <c r="D135" s="1369" t="s">
        <v>2110</v>
      </c>
      <c r="E135" s="1369" t="s">
        <v>1922</v>
      </c>
      <c r="F135" s="1369" t="s">
        <v>1923</v>
      </c>
      <c r="G135" s="1370" t="s">
        <v>1085</v>
      </c>
      <c r="H135" s="1370" t="s">
        <v>307</v>
      </c>
      <c r="I135" s="1370">
        <v>2018</v>
      </c>
      <c r="J135" s="1370">
        <v>37417</v>
      </c>
    </row>
    <row r="136" spans="2:10" ht="25.5" x14ac:dyDescent="0.45">
      <c r="B136" s="1355" t="s">
        <v>2111</v>
      </c>
      <c r="C136" s="1356" t="s">
        <v>2112</v>
      </c>
      <c r="D136" s="1356" t="s">
        <v>2113</v>
      </c>
      <c r="E136" s="1356" t="s">
        <v>1922</v>
      </c>
      <c r="F136" s="1356" t="s">
        <v>1923</v>
      </c>
      <c r="G136" s="1357" t="s">
        <v>1085</v>
      </c>
      <c r="H136" s="1357" t="s">
        <v>307</v>
      </c>
      <c r="I136" s="1357">
        <v>2018</v>
      </c>
      <c r="J136" s="1357">
        <v>1113</v>
      </c>
    </row>
    <row r="137" spans="2:10" ht="25.5" x14ac:dyDescent="0.45">
      <c r="B137" s="1368" t="s">
        <v>2114</v>
      </c>
      <c r="C137" s="1369" t="s">
        <v>2115</v>
      </c>
      <c r="D137" s="1369" t="s">
        <v>2116</v>
      </c>
      <c r="E137" s="1369" t="s">
        <v>1922</v>
      </c>
      <c r="F137" s="1369" t="s">
        <v>1923</v>
      </c>
      <c r="G137" s="1370" t="s">
        <v>257</v>
      </c>
      <c r="H137" s="1370" t="s">
        <v>307</v>
      </c>
      <c r="I137" s="1370">
        <v>2018</v>
      </c>
      <c r="J137" s="1370">
        <v>414215</v>
      </c>
    </row>
    <row r="138" spans="2:10" ht="25.5" x14ac:dyDescent="0.45">
      <c r="B138" s="1355" t="s">
        <v>2117</v>
      </c>
      <c r="C138" s="1356" t="s">
        <v>2115</v>
      </c>
      <c r="D138" s="1356" t="s">
        <v>2118</v>
      </c>
      <c r="E138" s="1356" t="s">
        <v>1922</v>
      </c>
      <c r="F138" s="1356" t="s">
        <v>1923</v>
      </c>
      <c r="G138" s="1357" t="s">
        <v>1085</v>
      </c>
      <c r="H138" s="1357" t="s">
        <v>307</v>
      </c>
      <c r="I138" s="1357">
        <v>2018</v>
      </c>
      <c r="J138" s="1357">
        <v>8209</v>
      </c>
    </row>
    <row r="139" spans="2:10" ht="25.5" x14ac:dyDescent="0.45">
      <c r="B139" s="1368" t="s">
        <v>2119</v>
      </c>
      <c r="C139" s="1369" t="s">
        <v>2091</v>
      </c>
      <c r="D139" s="1369" t="s">
        <v>2120</v>
      </c>
      <c r="E139" s="1369" t="s">
        <v>1922</v>
      </c>
      <c r="F139" s="1369" t="s">
        <v>1923</v>
      </c>
      <c r="G139" s="1370" t="s">
        <v>1085</v>
      </c>
      <c r="H139" s="1370" t="s">
        <v>307</v>
      </c>
      <c r="I139" s="1370">
        <v>2018</v>
      </c>
      <c r="J139" s="1370">
        <v>80</v>
      </c>
    </row>
    <row r="140" spans="2:10" ht="25.5" x14ac:dyDescent="0.45">
      <c r="B140" s="1355" t="s">
        <v>2121</v>
      </c>
      <c r="C140" s="1356" t="s">
        <v>2122</v>
      </c>
      <c r="D140" s="1356" t="s">
        <v>2123</v>
      </c>
      <c r="E140" s="1356" t="s">
        <v>1922</v>
      </c>
      <c r="F140" s="1356" t="s">
        <v>1923</v>
      </c>
      <c r="G140" s="1357" t="s">
        <v>1085</v>
      </c>
      <c r="H140" s="1357" t="s">
        <v>307</v>
      </c>
      <c r="I140" s="1357">
        <v>2018</v>
      </c>
      <c r="J140" s="1357">
        <v>3110</v>
      </c>
    </row>
    <row r="141" spans="2:10" ht="38.25" x14ac:dyDescent="0.45">
      <c r="B141" s="1368" t="s">
        <v>2124</v>
      </c>
      <c r="C141" s="1369" t="s">
        <v>2125</v>
      </c>
      <c r="D141" s="1369" t="s">
        <v>2126</v>
      </c>
      <c r="E141" s="1369" t="s">
        <v>1922</v>
      </c>
      <c r="F141" s="1369" t="s">
        <v>1923</v>
      </c>
      <c r="G141" s="1370" t="s">
        <v>1085</v>
      </c>
      <c r="H141" s="1370" t="s">
        <v>307</v>
      </c>
      <c r="I141" s="1370">
        <v>2018</v>
      </c>
      <c r="J141" s="1370">
        <v>201</v>
      </c>
    </row>
    <row r="142" spans="2:10" ht="25.5" x14ac:dyDescent="0.45">
      <c r="B142" s="1355" t="s">
        <v>2127</v>
      </c>
      <c r="C142" s="1356" t="s">
        <v>2128</v>
      </c>
      <c r="D142" s="1356" t="s">
        <v>2128</v>
      </c>
      <c r="E142" s="1356" t="s">
        <v>1922</v>
      </c>
      <c r="F142" s="1356" t="s">
        <v>1923</v>
      </c>
      <c r="G142" s="1357" t="s">
        <v>1085</v>
      </c>
      <c r="H142" s="1357" t="s">
        <v>307</v>
      </c>
      <c r="I142" s="1357">
        <v>2018</v>
      </c>
      <c r="J142" s="1357">
        <v>31</v>
      </c>
    </row>
    <row r="143" spans="2:10" ht="25.5" x14ac:dyDescent="0.45">
      <c r="B143" s="1368" t="s">
        <v>2129</v>
      </c>
      <c r="C143" s="1369" t="s">
        <v>2130</v>
      </c>
      <c r="D143" s="1369" t="s">
        <v>2130</v>
      </c>
      <c r="E143" s="1369" t="s">
        <v>1922</v>
      </c>
      <c r="F143" s="1369" t="s">
        <v>1923</v>
      </c>
      <c r="G143" s="1370" t="s">
        <v>1085</v>
      </c>
      <c r="H143" s="1370" t="s">
        <v>307</v>
      </c>
      <c r="I143" s="1370">
        <v>2018</v>
      </c>
      <c r="J143" s="1370">
        <v>305</v>
      </c>
    </row>
    <row r="144" spans="2:10" ht="25.5" x14ac:dyDescent="0.45">
      <c r="B144" s="1355" t="s">
        <v>2131</v>
      </c>
      <c r="C144" s="1356" t="s">
        <v>2132</v>
      </c>
      <c r="D144" s="1356" t="s">
        <v>2133</v>
      </c>
      <c r="E144" s="1356" t="s">
        <v>1922</v>
      </c>
      <c r="F144" s="1356" t="s">
        <v>1969</v>
      </c>
      <c r="G144" s="1357" t="s">
        <v>1085</v>
      </c>
      <c r="H144" s="1357" t="s">
        <v>307</v>
      </c>
      <c r="I144" s="1357">
        <v>2018</v>
      </c>
      <c r="J144" s="1357">
        <v>378</v>
      </c>
    </row>
    <row r="145" spans="2:10" ht="25.5" x14ac:dyDescent="0.45">
      <c r="B145" s="1368" t="s">
        <v>2134</v>
      </c>
      <c r="C145" s="1369" t="s">
        <v>2135</v>
      </c>
      <c r="D145" s="1369" t="s">
        <v>2136</v>
      </c>
      <c r="E145" s="1369" t="s">
        <v>1922</v>
      </c>
      <c r="F145" s="1369" t="s">
        <v>1923</v>
      </c>
      <c r="G145" s="1370" t="s">
        <v>1085</v>
      </c>
      <c r="H145" s="1370" t="s">
        <v>307</v>
      </c>
      <c r="I145" s="1370">
        <v>2018</v>
      </c>
      <c r="J145" s="1370">
        <v>29</v>
      </c>
    </row>
    <row r="146" spans="2:10" ht="25.5" x14ac:dyDescent="0.45">
      <c r="B146" s="1355" t="s">
        <v>2137</v>
      </c>
      <c r="C146" s="1356" t="s">
        <v>2135</v>
      </c>
      <c r="D146" s="1356" t="s">
        <v>2138</v>
      </c>
      <c r="E146" s="1356" t="s">
        <v>1922</v>
      </c>
      <c r="F146" s="1356" t="s">
        <v>1923</v>
      </c>
      <c r="G146" s="1357" t="s">
        <v>1085</v>
      </c>
      <c r="H146" s="1357" t="s">
        <v>307</v>
      </c>
      <c r="I146" s="1357">
        <v>2018</v>
      </c>
      <c r="J146" s="1357">
        <v>79</v>
      </c>
    </row>
    <row r="147" spans="2:10" ht="25.5" x14ac:dyDescent="0.45">
      <c r="B147" s="1368" t="s">
        <v>2139</v>
      </c>
      <c r="C147" s="1369" t="s">
        <v>2140</v>
      </c>
      <c r="D147" s="1369" t="s">
        <v>2141</v>
      </c>
      <c r="E147" s="1369" t="s">
        <v>1922</v>
      </c>
      <c r="F147" s="1369" t="s">
        <v>1923</v>
      </c>
      <c r="G147" s="1370" t="s">
        <v>1085</v>
      </c>
      <c r="H147" s="1370" t="s">
        <v>307</v>
      </c>
      <c r="I147" s="1370">
        <v>2018</v>
      </c>
      <c r="J147" s="1370">
        <v>6624</v>
      </c>
    </row>
    <row r="148" spans="2:10" ht="25.5" x14ac:dyDescent="0.45">
      <c r="B148" s="1355" t="s">
        <v>2142</v>
      </c>
      <c r="C148" s="1356" t="s">
        <v>2143</v>
      </c>
      <c r="D148" s="1356" t="s">
        <v>2144</v>
      </c>
      <c r="E148" s="1356" t="s">
        <v>1922</v>
      </c>
      <c r="F148" s="1356" t="s">
        <v>1923</v>
      </c>
      <c r="G148" s="1357" t="s">
        <v>1085</v>
      </c>
      <c r="H148" s="1357" t="s">
        <v>307</v>
      </c>
      <c r="I148" s="1357">
        <v>2018</v>
      </c>
      <c r="J148" s="1357">
        <v>213</v>
      </c>
    </row>
    <row r="149" spans="2:10" ht="25.5" x14ac:dyDescent="0.45">
      <c r="B149" s="1368" t="s">
        <v>2145</v>
      </c>
      <c r="C149" s="1369" t="s">
        <v>2146</v>
      </c>
      <c r="D149" s="1369" t="s">
        <v>2147</v>
      </c>
      <c r="E149" s="1369" t="s">
        <v>1922</v>
      </c>
      <c r="F149" s="1369" t="s">
        <v>1923</v>
      </c>
      <c r="G149" s="1370" t="s">
        <v>1085</v>
      </c>
      <c r="H149" s="1370" t="s">
        <v>307</v>
      </c>
      <c r="I149" s="1370">
        <v>2018</v>
      </c>
      <c r="J149" s="1370">
        <v>253</v>
      </c>
    </row>
    <row r="150" spans="2:10" ht="25.5" x14ac:dyDescent="0.45">
      <c r="B150" s="1355" t="s">
        <v>2148</v>
      </c>
      <c r="C150" s="1356" t="s">
        <v>2146</v>
      </c>
      <c r="D150" s="1356" t="s">
        <v>2149</v>
      </c>
      <c r="E150" s="1356" t="s">
        <v>1922</v>
      </c>
      <c r="F150" s="1356" t="s">
        <v>1923</v>
      </c>
      <c r="G150" s="1357" t="s">
        <v>1085</v>
      </c>
      <c r="H150" s="1357" t="s">
        <v>307</v>
      </c>
      <c r="I150" s="1357">
        <v>2018</v>
      </c>
      <c r="J150" s="1357">
        <v>10944</v>
      </c>
    </row>
    <row r="151" spans="2:10" ht="25.5" x14ac:dyDescent="0.45">
      <c r="B151" s="1368" t="s">
        <v>2150</v>
      </c>
      <c r="C151" s="1369" t="s">
        <v>2151</v>
      </c>
      <c r="D151" s="1369" t="s">
        <v>2152</v>
      </c>
      <c r="E151" s="1369" t="s">
        <v>1922</v>
      </c>
      <c r="F151" s="1369" t="s">
        <v>1923</v>
      </c>
      <c r="G151" s="1370" t="s">
        <v>1085</v>
      </c>
      <c r="H151" s="1370" t="s">
        <v>307</v>
      </c>
      <c r="I151" s="1370">
        <v>2018</v>
      </c>
      <c r="J151" s="1370">
        <v>11091</v>
      </c>
    </row>
    <row r="152" spans="2:10" ht="38.25" x14ac:dyDescent="0.45">
      <c r="B152" s="1355" t="s">
        <v>2153</v>
      </c>
      <c r="C152" s="1356" t="s">
        <v>2154</v>
      </c>
      <c r="D152" s="1356" t="s">
        <v>2155</v>
      </c>
      <c r="E152" s="1356" t="s">
        <v>1922</v>
      </c>
      <c r="F152" s="1356" t="s">
        <v>1923</v>
      </c>
      <c r="G152" s="1357" t="s">
        <v>1085</v>
      </c>
      <c r="H152" s="1357" t="s">
        <v>307</v>
      </c>
      <c r="I152" s="1357">
        <v>2018</v>
      </c>
      <c r="J152" s="1357">
        <v>428</v>
      </c>
    </row>
    <row r="153" spans="2:10" ht="51" x14ac:dyDescent="0.45">
      <c r="B153" s="1368" t="s">
        <v>2156</v>
      </c>
      <c r="C153" s="1369" t="s">
        <v>2157</v>
      </c>
      <c r="D153" s="1369" t="s">
        <v>2158</v>
      </c>
      <c r="E153" s="1369" t="s">
        <v>1922</v>
      </c>
      <c r="F153" s="1369" t="s">
        <v>1923</v>
      </c>
      <c r="G153" s="1370" t="s">
        <v>1085</v>
      </c>
      <c r="H153" s="1370" t="s">
        <v>307</v>
      </c>
      <c r="I153" s="1370">
        <v>2018</v>
      </c>
      <c r="J153" s="1370">
        <v>93</v>
      </c>
    </row>
    <row r="154" spans="2:10" ht="38.25" x14ac:dyDescent="0.45">
      <c r="B154" s="1355" t="s">
        <v>2159</v>
      </c>
      <c r="C154" s="1356" t="s">
        <v>2160</v>
      </c>
      <c r="D154" s="1356" t="s">
        <v>2161</v>
      </c>
      <c r="E154" s="1356" t="s">
        <v>1922</v>
      </c>
      <c r="F154" s="1356" t="s">
        <v>1923</v>
      </c>
      <c r="G154" s="1357" t="s">
        <v>1085</v>
      </c>
      <c r="H154" s="1357" t="s">
        <v>307</v>
      </c>
      <c r="I154" s="1357">
        <v>2018</v>
      </c>
      <c r="J154" s="1357">
        <v>25</v>
      </c>
    </row>
    <row r="155" spans="2:10" ht="25.5" x14ac:dyDescent="0.45">
      <c r="B155" s="1368" t="s">
        <v>2162</v>
      </c>
      <c r="C155" s="1369" t="s">
        <v>2163</v>
      </c>
      <c r="D155" s="1369" t="s">
        <v>2164</v>
      </c>
      <c r="E155" s="1369" t="s">
        <v>1922</v>
      </c>
      <c r="F155" s="1369" t="s">
        <v>1923</v>
      </c>
      <c r="G155" s="1370" t="s">
        <v>1085</v>
      </c>
      <c r="H155" s="1370" t="s">
        <v>307</v>
      </c>
      <c r="I155" s="1370">
        <v>2018</v>
      </c>
      <c r="J155" s="1370">
        <v>123</v>
      </c>
    </row>
    <row r="156" spans="2:10" ht="25.5" x14ac:dyDescent="0.45">
      <c r="B156" s="1355" t="s">
        <v>2165</v>
      </c>
      <c r="C156" s="1356" t="s">
        <v>2166</v>
      </c>
      <c r="D156" s="1356" t="s">
        <v>2167</v>
      </c>
      <c r="E156" s="1356" t="s">
        <v>1922</v>
      </c>
      <c r="F156" s="1356" t="s">
        <v>1923</v>
      </c>
      <c r="G156" s="1357" t="s">
        <v>1085</v>
      </c>
      <c r="H156" s="1357" t="s">
        <v>307</v>
      </c>
      <c r="I156" s="1357">
        <v>2018</v>
      </c>
      <c r="J156" s="1357">
        <v>484</v>
      </c>
    </row>
    <row r="157" spans="2:10" ht="25.5" x14ac:dyDescent="0.45">
      <c r="B157" s="1368" t="s">
        <v>2168</v>
      </c>
      <c r="C157" s="1369" t="s">
        <v>2166</v>
      </c>
      <c r="D157" s="1369" t="s">
        <v>2169</v>
      </c>
      <c r="E157" s="1369" t="s">
        <v>1922</v>
      </c>
      <c r="F157" s="1369" t="s">
        <v>1923</v>
      </c>
      <c r="G157" s="1370" t="s">
        <v>1085</v>
      </c>
      <c r="H157" s="1370" t="s">
        <v>307</v>
      </c>
      <c r="I157" s="1370">
        <v>2018</v>
      </c>
      <c r="J157" s="1370">
        <v>228</v>
      </c>
    </row>
    <row r="158" spans="2:10" ht="25.5" x14ac:dyDescent="0.45">
      <c r="B158" s="1355" t="s">
        <v>2170</v>
      </c>
      <c r="C158" s="1356" t="s">
        <v>2166</v>
      </c>
      <c r="D158" s="1356" t="s">
        <v>2171</v>
      </c>
      <c r="E158" s="1356" t="s">
        <v>1922</v>
      </c>
      <c r="F158" s="1356" t="s">
        <v>1923</v>
      </c>
      <c r="G158" s="1357" t="s">
        <v>1085</v>
      </c>
      <c r="H158" s="1357" t="s">
        <v>307</v>
      </c>
      <c r="I158" s="1357">
        <v>2018</v>
      </c>
      <c r="J158" s="1357">
        <v>190</v>
      </c>
    </row>
    <row r="159" spans="2:10" ht="25.5" x14ac:dyDescent="0.45">
      <c r="B159" s="1368" t="s">
        <v>2172</v>
      </c>
      <c r="C159" s="1369" t="s">
        <v>2173</v>
      </c>
      <c r="D159" s="1369" t="s">
        <v>2174</v>
      </c>
      <c r="E159" s="1369" t="s">
        <v>1922</v>
      </c>
      <c r="F159" s="1369" t="s">
        <v>1969</v>
      </c>
      <c r="G159" s="1370" t="s">
        <v>1085</v>
      </c>
      <c r="H159" s="1370" t="s">
        <v>307</v>
      </c>
      <c r="I159" s="1370">
        <v>2018</v>
      </c>
      <c r="J159" s="1370">
        <v>166</v>
      </c>
    </row>
    <row r="160" spans="2:10" ht="25.5" x14ac:dyDescent="0.45">
      <c r="B160" s="1355" t="s">
        <v>2175</v>
      </c>
      <c r="C160" s="1356" t="s">
        <v>2066</v>
      </c>
      <c r="D160" s="1356" t="s">
        <v>2176</v>
      </c>
      <c r="E160" s="1356" t="s">
        <v>1922</v>
      </c>
      <c r="F160" s="1356" t="s">
        <v>1923</v>
      </c>
      <c r="G160" s="1357" t="s">
        <v>1085</v>
      </c>
      <c r="H160" s="1357" t="s">
        <v>307</v>
      </c>
      <c r="I160" s="1357">
        <v>2018</v>
      </c>
      <c r="J160" s="1357">
        <v>68</v>
      </c>
    </row>
    <row r="161" spans="2:10" ht="25.5" x14ac:dyDescent="0.45">
      <c r="B161" s="1368" t="s">
        <v>2177</v>
      </c>
      <c r="C161" s="1369" t="s">
        <v>2178</v>
      </c>
      <c r="D161" s="1369" t="s">
        <v>2178</v>
      </c>
      <c r="E161" s="1369" t="s">
        <v>1922</v>
      </c>
      <c r="F161" s="1369" t="s">
        <v>1923</v>
      </c>
      <c r="G161" s="1370" t="s">
        <v>1085</v>
      </c>
      <c r="H161" s="1370" t="s">
        <v>307</v>
      </c>
      <c r="I161" s="1370">
        <v>2018</v>
      </c>
      <c r="J161" s="1370">
        <v>11</v>
      </c>
    </row>
    <row r="162" spans="2:10" ht="25.5" x14ac:dyDescent="0.45">
      <c r="B162" s="1355" t="s">
        <v>2179</v>
      </c>
      <c r="C162" s="1356" t="s">
        <v>2140</v>
      </c>
      <c r="D162" s="1356" t="s">
        <v>2180</v>
      </c>
      <c r="E162" s="1356" t="s">
        <v>1922</v>
      </c>
      <c r="F162" s="1356" t="s">
        <v>1923</v>
      </c>
      <c r="G162" s="1357" t="s">
        <v>1085</v>
      </c>
      <c r="H162" s="1357" t="s">
        <v>307</v>
      </c>
      <c r="I162" s="1357">
        <v>2018</v>
      </c>
      <c r="J162" s="1357">
        <v>297</v>
      </c>
    </row>
  </sheetData>
  <sheetProtection algorithmName="SHA-512" hashValue="wDQsm/aDy6nkwGRo+rhv/4z4FDCAHo97MDgDr+8gvRpVod6DlerX/2HuFCJM1kbrA75hFd0iLnVOAhb9hG+OZw==" saltValue="NNmbieBxyetRiA+gdlidIQ==" spinCount="100000" sheet="1" objects="1" scenarios="1"/>
  <mergeCells count="81">
    <mergeCell ref="O58:Q58"/>
    <mergeCell ref="O59:Q59"/>
    <mergeCell ref="K58:K59"/>
    <mergeCell ref="L58:N58"/>
    <mergeCell ref="L59:N59"/>
    <mergeCell ref="H58:H60"/>
    <mergeCell ref="I58:I59"/>
    <mergeCell ref="J58:J59"/>
    <mergeCell ref="B58:B60"/>
    <mergeCell ref="C58:C60"/>
    <mergeCell ref="E58:E60"/>
    <mergeCell ref="F58:F60"/>
    <mergeCell ref="G58:G60"/>
    <mergeCell ref="B22:E23"/>
    <mergeCell ref="F22:G22"/>
    <mergeCell ref="H22:I22"/>
    <mergeCell ref="J22:K22"/>
    <mergeCell ref="L22:O23"/>
    <mergeCell ref="B24:E24"/>
    <mergeCell ref="L24:O24"/>
    <mergeCell ref="B25:E25"/>
    <mergeCell ref="L25:O25"/>
    <mergeCell ref="B26:E26"/>
    <mergeCell ref="L26:O26"/>
    <mergeCell ref="B27:E27"/>
    <mergeCell ref="L27:O27"/>
    <mergeCell ref="B28:E28"/>
    <mergeCell ref="L28:O28"/>
    <mergeCell ref="B29:E29"/>
    <mergeCell ref="L29:O29"/>
    <mergeCell ref="B30:E30"/>
    <mergeCell ref="L30:O30"/>
    <mergeCell ref="B31:E31"/>
    <mergeCell ref="L31:O31"/>
    <mergeCell ref="B32:E32"/>
    <mergeCell ref="L32:O32"/>
    <mergeCell ref="B33:E33"/>
    <mergeCell ref="L33:O33"/>
    <mergeCell ref="B34:E34"/>
    <mergeCell ref="L34:O34"/>
    <mergeCell ref="B35:E35"/>
    <mergeCell ref="L35:O35"/>
    <mergeCell ref="B36:E36"/>
    <mergeCell ref="L36:O36"/>
    <mergeCell ref="B37:E37"/>
    <mergeCell ref="L37:O37"/>
    <mergeCell ref="B38:E38"/>
    <mergeCell ref="L38:O38"/>
    <mergeCell ref="B39:E39"/>
    <mergeCell ref="L39:O39"/>
    <mergeCell ref="B40:E40"/>
    <mergeCell ref="L40:O40"/>
    <mergeCell ref="B41:E41"/>
    <mergeCell ref="L41:O41"/>
    <mergeCell ref="B42:E42"/>
    <mergeCell ref="L42:O42"/>
    <mergeCell ref="B43:E43"/>
    <mergeCell ref="L43:O43"/>
    <mergeCell ref="B44:E44"/>
    <mergeCell ref="L44:O44"/>
    <mergeCell ref="L45:O45"/>
    <mergeCell ref="B46:E46"/>
    <mergeCell ref="L46:O46"/>
    <mergeCell ref="B47:E47"/>
    <mergeCell ref="L47:O47"/>
    <mergeCell ref="B4:F4"/>
    <mergeCell ref="B54:E54"/>
    <mergeCell ref="L54:O54"/>
    <mergeCell ref="B51:E51"/>
    <mergeCell ref="L51:O51"/>
    <mergeCell ref="B52:E52"/>
    <mergeCell ref="L52:O52"/>
    <mergeCell ref="B53:E53"/>
    <mergeCell ref="L53:O53"/>
    <mergeCell ref="B48:E48"/>
    <mergeCell ref="L48:O48"/>
    <mergeCell ref="B49:E49"/>
    <mergeCell ref="L49:O49"/>
    <mergeCell ref="B50:E50"/>
    <mergeCell ref="L50:O50"/>
    <mergeCell ref="B45:E45"/>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99FF"/>
  </sheetPr>
  <dimension ref="A1:I58"/>
  <sheetViews>
    <sheetView zoomScale="90" zoomScaleNormal="90" workbookViewId="0">
      <selection activeCell="J39" sqref="J39"/>
    </sheetView>
  </sheetViews>
  <sheetFormatPr defaultColWidth="9.1328125" defaultRowHeight="14.25" x14ac:dyDescent="0.45"/>
  <cols>
    <col min="1" max="1" width="9.1328125" style="888"/>
    <col min="2" max="2" width="31.265625" style="888" customWidth="1"/>
    <col min="3" max="3" width="35.1328125" style="888" customWidth="1"/>
    <col min="4" max="4" width="23.73046875" style="888" customWidth="1"/>
    <col min="5" max="5" width="34.3984375" style="888" customWidth="1"/>
    <col min="6" max="6" width="27.73046875" style="888" customWidth="1"/>
    <col min="7" max="7" width="19" style="888" customWidth="1"/>
    <col min="8" max="16384" width="9.1328125" style="888"/>
  </cols>
  <sheetData>
    <row r="1" spans="1:9" ht="14.65" thickTop="1" x14ac:dyDescent="0.45">
      <c r="A1" s="2209" t="s">
        <v>2315</v>
      </c>
      <c r="B1" s="2210"/>
      <c r="C1" s="2210"/>
      <c r="D1" s="2211"/>
    </row>
    <row r="2" spans="1:9" x14ac:dyDescent="0.45">
      <c r="A2" s="2212"/>
      <c r="B2" s="2213"/>
      <c r="C2" s="2213"/>
      <c r="D2" s="2214"/>
    </row>
    <row r="3" spans="1:9" x14ac:dyDescent="0.45">
      <c r="A3" s="2212"/>
      <c r="B3" s="2213"/>
      <c r="C3" s="2213"/>
      <c r="D3" s="2214"/>
    </row>
    <row r="4" spans="1:9" x14ac:dyDescent="0.45">
      <c r="A4" s="2212"/>
      <c r="B4" s="2213"/>
      <c r="C4" s="2213"/>
      <c r="D4" s="2214"/>
    </row>
    <row r="5" spans="1:9" x14ac:dyDescent="0.45">
      <c r="A5" s="2212"/>
      <c r="B5" s="2213"/>
      <c r="C5" s="2213"/>
      <c r="D5" s="2214"/>
      <c r="I5" s="1740"/>
    </row>
    <row r="6" spans="1:9" ht="14.65" thickBot="1" x14ac:dyDescent="0.5">
      <c r="A6" s="2215"/>
      <c r="B6" s="2216"/>
      <c r="C6" s="2216"/>
      <c r="D6" s="2217"/>
    </row>
    <row r="7" spans="1:9" ht="14.65" thickTop="1" x14ac:dyDescent="0.45"/>
    <row r="9" spans="1:9" ht="14.65" thickBot="1" x14ac:dyDescent="0.5"/>
    <row r="10" spans="1:9" ht="16.149999999999999" thickBot="1" x14ac:dyDescent="0.5">
      <c r="B10" s="1628" t="s">
        <v>2185</v>
      </c>
      <c r="C10" s="1629" t="s">
        <v>2186</v>
      </c>
      <c r="D10" s="1629" t="s">
        <v>2246</v>
      </c>
      <c r="E10" s="2025" t="s">
        <v>2222</v>
      </c>
      <c r="F10" s="1629" t="s">
        <v>1665</v>
      </c>
      <c r="G10" s="1630" t="s">
        <v>588</v>
      </c>
    </row>
    <row r="11" spans="1:9" ht="47.65" thickBot="1" x14ac:dyDescent="0.5">
      <c r="B11" s="1501" t="s">
        <v>2187</v>
      </c>
      <c r="C11" s="1502" t="s">
        <v>2214</v>
      </c>
      <c r="D11" s="1503"/>
      <c r="E11" s="1503"/>
      <c r="F11" s="1503"/>
      <c r="G11" s="1504"/>
    </row>
    <row r="12" spans="1:9" ht="74.25" customHeight="1" x14ac:dyDescent="0.45">
      <c r="B12" s="1523" t="s">
        <v>520</v>
      </c>
      <c r="C12" s="1506" t="s">
        <v>2215</v>
      </c>
      <c r="D12" s="1506" t="s">
        <v>16</v>
      </c>
      <c r="E12" s="1499" t="s">
        <v>2285</v>
      </c>
      <c r="F12" s="1500" t="s">
        <v>1664</v>
      </c>
      <c r="G12" s="1524">
        <v>2018</v>
      </c>
    </row>
    <row r="13" spans="1:9" ht="91.9" x14ac:dyDescent="0.45">
      <c r="B13" s="1495"/>
      <c r="C13" s="1508"/>
      <c r="D13" s="1505" t="s">
        <v>592</v>
      </c>
      <c r="E13" s="1470" t="s">
        <v>2286</v>
      </c>
      <c r="F13" s="1471" t="s">
        <v>1666</v>
      </c>
      <c r="G13" s="1472">
        <v>2018</v>
      </c>
    </row>
    <row r="14" spans="1:9" ht="78.75" x14ac:dyDescent="0.45">
      <c r="B14" s="1495"/>
      <c r="C14" s="1508"/>
      <c r="D14" s="1505" t="s">
        <v>593</v>
      </c>
      <c r="E14" s="1470" t="s">
        <v>2287</v>
      </c>
      <c r="F14" s="1473" t="s">
        <v>1831</v>
      </c>
      <c r="G14" s="1474">
        <v>2018</v>
      </c>
    </row>
    <row r="15" spans="1:9" ht="66" thickBot="1" x14ac:dyDescent="0.5">
      <c r="B15" s="1497"/>
      <c r="C15" s="1509"/>
      <c r="D15" s="1507" t="s">
        <v>598</v>
      </c>
      <c r="E15" s="1475" t="s">
        <v>2288</v>
      </c>
      <c r="F15" s="1476" t="s">
        <v>1667</v>
      </c>
      <c r="G15" s="1477">
        <v>2017</v>
      </c>
    </row>
    <row r="16" spans="1:9" ht="52.5" x14ac:dyDescent="0.45">
      <c r="B16" s="1510" t="s">
        <v>2188</v>
      </c>
      <c r="C16" s="1513" t="s">
        <v>2216</v>
      </c>
      <c r="D16" s="1514" t="s">
        <v>16</v>
      </c>
      <c r="E16" s="1478" t="s">
        <v>2289</v>
      </c>
      <c r="F16" s="1468" t="s">
        <v>1664</v>
      </c>
      <c r="G16" s="1469">
        <v>2018</v>
      </c>
    </row>
    <row r="17" spans="2:7" ht="52.5" x14ac:dyDescent="0.45">
      <c r="B17" s="1511"/>
      <c r="C17" s="1496"/>
      <c r="D17" s="1505" t="s">
        <v>592</v>
      </c>
      <c r="E17" s="1479" t="s">
        <v>2290</v>
      </c>
      <c r="F17" s="1471" t="s">
        <v>1666</v>
      </c>
      <c r="G17" s="1472">
        <v>2018</v>
      </c>
    </row>
    <row r="18" spans="2:7" ht="159" customHeight="1" thickBot="1" x14ac:dyDescent="0.5">
      <c r="B18" s="1512"/>
      <c r="C18" s="1498"/>
      <c r="D18" s="1507" t="s">
        <v>598</v>
      </c>
      <c r="E18" s="1480" t="s">
        <v>2291</v>
      </c>
      <c r="F18" s="1481" t="s">
        <v>1667</v>
      </c>
      <c r="G18" s="1477">
        <v>2017</v>
      </c>
    </row>
    <row r="19" spans="2:7" ht="63" x14ac:dyDescent="0.45">
      <c r="B19" s="1510" t="s">
        <v>2189</v>
      </c>
      <c r="C19" s="1513" t="s">
        <v>2224</v>
      </c>
      <c r="D19" s="1514" t="s">
        <v>16</v>
      </c>
      <c r="E19" s="2029" t="s">
        <v>2292</v>
      </c>
      <c r="F19" s="1468" t="s">
        <v>1664</v>
      </c>
      <c r="G19" s="1469">
        <v>2018</v>
      </c>
    </row>
    <row r="20" spans="2:7" ht="52.9" thickBot="1" x14ac:dyDescent="0.5">
      <c r="B20" s="1512"/>
      <c r="C20" s="1498"/>
      <c r="D20" s="1507" t="s">
        <v>592</v>
      </c>
      <c r="E20" s="1480" t="s">
        <v>2293</v>
      </c>
      <c r="F20" s="1482" t="s">
        <v>1666</v>
      </c>
      <c r="G20" s="1483">
        <v>2018</v>
      </c>
    </row>
    <row r="21" spans="2:7" ht="52.5" x14ac:dyDescent="0.45">
      <c r="B21" s="1510" t="s">
        <v>2217</v>
      </c>
      <c r="C21" s="1515" t="s">
        <v>2223</v>
      </c>
      <c r="D21" s="1514" t="s">
        <v>16</v>
      </c>
      <c r="E21" s="1478" t="s">
        <v>2294</v>
      </c>
      <c r="F21" s="1468" t="s">
        <v>1664</v>
      </c>
      <c r="G21" s="1469">
        <v>2018</v>
      </c>
    </row>
    <row r="22" spans="2:7" ht="39.75" thickBot="1" x14ac:dyDescent="0.5">
      <c r="B22" s="1511"/>
      <c r="C22" s="1496"/>
      <c r="D22" s="1505" t="s">
        <v>592</v>
      </c>
      <c r="E22" s="1480" t="s">
        <v>2295</v>
      </c>
      <c r="F22" s="1482" t="s">
        <v>1666</v>
      </c>
      <c r="G22" s="1483">
        <v>2018</v>
      </c>
    </row>
    <row r="23" spans="2:7" ht="105.4" thickBot="1" x14ac:dyDescent="0.5">
      <c r="B23" s="1512"/>
      <c r="C23" s="1498"/>
      <c r="D23" s="1507" t="s">
        <v>598</v>
      </c>
      <c r="E23" s="1480" t="s">
        <v>2296</v>
      </c>
      <c r="F23" s="1481" t="s">
        <v>1667</v>
      </c>
      <c r="G23" s="1477">
        <v>2017</v>
      </c>
    </row>
    <row r="24" spans="2:7" ht="110.25" x14ac:dyDescent="0.45">
      <c r="B24" s="1510" t="s">
        <v>525</v>
      </c>
      <c r="C24" s="1515" t="s">
        <v>2218</v>
      </c>
      <c r="D24" s="1514" t="s">
        <v>16</v>
      </c>
      <c r="E24" s="1478" t="s">
        <v>2297</v>
      </c>
      <c r="F24" s="1468" t="s">
        <v>1664</v>
      </c>
      <c r="G24" s="1469">
        <v>2018</v>
      </c>
    </row>
    <row r="25" spans="2:7" ht="52.5" x14ac:dyDescent="0.45">
      <c r="B25" s="1511"/>
      <c r="C25" s="1496"/>
      <c r="D25" s="1506" t="s">
        <v>592</v>
      </c>
      <c r="E25" s="1479" t="s">
        <v>2298</v>
      </c>
      <c r="F25" s="1471" t="s">
        <v>1666</v>
      </c>
      <c r="G25" s="1472">
        <v>2018</v>
      </c>
    </row>
    <row r="26" spans="2:7" ht="52.5" x14ac:dyDescent="0.45">
      <c r="B26" s="1511"/>
      <c r="C26" s="1496"/>
      <c r="D26" s="1505" t="s">
        <v>593</v>
      </c>
      <c r="E26" s="1479" t="s">
        <v>2299</v>
      </c>
      <c r="F26" s="1484" t="s">
        <v>1831</v>
      </c>
      <c r="G26" s="1474">
        <v>2017</v>
      </c>
    </row>
    <row r="27" spans="2:7" ht="101.25" customHeight="1" thickBot="1" x14ac:dyDescent="0.5">
      <c r="B27" s="1512"/>
      <c r="C27" s="1498"/>
      <c r="D27" s="1507" t="s">
        <v>598</v>
      </c>
      <c r="E27" s="1480" t="s">
        <v>2300</v>
      </c>
      <c r="F27" s="1484" t="s">
        <v>1831</v>
      </c>
      <c r="G27" s="1477">
        <v>2017</v>
      </c>
    </row>
    <row r="28" spans="2:7" ht="52.5" x14ac:dyDescent="0.45">
      <c r="B28" s="1510" t="s">
        <v>563</v>
      </c>
      <c r="C28" s="1517" t="s">
        <v>2219</v>
      </c>
      <c r="D28" s="2030" t="s">
        <v>592</v>
      </c>
      <c r="E28" s="1479" t="s">
        <v>2225</v>
      </c>
      <c r="F28" s="1471" t="s">
        <v>2226</v>
      </c>
      <c r="G28" s="1472">
        <v>2017</v>
      </c>
    </row>
    <row r="29" spans="2:7" ht="52.5" x14ac:dyDescent="0.45">
      <c r="B29" s="1511"/>
      <c r="C29" s="1496"/>
      <c r="D29" s="1518" t="s">
        <v>2229</v>
      </c>
      <c r="E29" s="1479" t="s">
        <v>2301</v>
      </c>
      <c r="F29" s="1484" t="s">
        <v>2227</v>
      </c>
      <c r="G29" s="1474">
        <v>2018</v>
      </c>
    </row>
    <row r="30" spans="2:7" ht="26.65" thickBot="1" x14ac:dyDescent="0.5">
      <c r="B30" s="1511"/>
      <c r="C30" s="1496"/>
      <c r="D30" s="1520" t="s">
        <v>2231</v>
      </c>
      <c r="E30" s="1480" t="s">
        <v>2232</v>
      </c>
      <c r="F30" s="1481" t="s">
        <v>2228</v>
      </c>
      <c r="G30" s="1477">
        <v>2018</v>
      </c>
    </row>
    <row r="31" spans="2:7" ht="39.75" thickBot="1" x14ac:dyDescent="0.5">
      <c r="B31" s="1512"/>
      <c r="C31" s="1498"/>
      <c r="D31" s="1519" t="s">
        <v>2230</v>
      </c>
      <c r="E31" s="1480" t="s">
        <v>2233</v>
      </c>
      <c r="F31" s="1481" t="s">
        <v>2228</v>
      </c>
      <c r="G31" s="1477">
        <v>2018</v>
      </c>
    </row>
    <row r="32" spans="2:7" ht="52.5" x14ac:dyDescent="0.45">
      <c r="B32" s="1510" t="s">
        <v>2190</v>
      </c>
      <c r="C32" s="1513" t="s">
        <v>2220</v>
      </c>
      <c r="D32" s="1514" t="s">
        <v>16</v>
      </c>
      <c r="E32" s="1478" t="s">
        <v>2302</v>
      </c>
      <c r="F32" s="1468" t="s">
        <v>1664</v>
      </c>
      <c r="G32" s="1469">
        <v>2018</v>
      </c>
    </row>
    <row r="33" spans="2:7" ht="52.5" x14ac:dyDescent="0.45">
      <c r="B33" s="1511"/>
      <c r="C33" s="1496"/>
      <c r="D33" s="1505" t="s">
        <v>592</v>
      </c>
      <c r="E33" s="1479" t="s">
        <v>2303</v>
      </c>
      <c r="F33" s="1471" t="s">
        <v>1666</v>
      </c>
      <c r="G33" s="1472">
        <v>2018</v>
      </c>
    </row>
    <row r="34" spans="2:7" ht="66" thickBot="1" x14ac:dyDescent="0.5">
      <c r="B34" s="1512"/>
      <c r="C34" s="1498"/>
      <c r="D34" s="1507" t="s">
        <v>598</v>
      </c>
      <c r="E34" s="1480" t="s">
        <v>2304</v>
      </c>
      <c r="F34" s="1481" t="s">
        <v>1666</v>
      </c>
      <c r="G34" s="1477">
        <v>2017</v>
      </c>
    </row>
    <row r="35" spans="2:7" ht="63.4" thickBot="1" x14ac:dyDescent="0.5">
      <c r="B35" s="1485" t="s">
        <v>1124</v>
      </c>
      <c r="C35" s="1486" t="s">
        <v>2191</v>
      </c>
      <c r="D35" s="2031"/>
      <c r="E35" s="2032" t="s">
        <v>1842</v>
      </c>
      <c r="F35" s="1521"/>
      <c r="G35" s="1522"/>
    </row>
    <row r="36" spans="2:7" ht="110.65" thickBot="1" x14ac:dyDescent="0.5">
      <c r="B36" s="1485" t="s">
        <v>1126</v>
      </c>
      <c r="C36" s="1486" t="s">
        <v>2192</v>
      </c>
      <c r="D36" s="1632" t="s">
        <v>592</v>
      </c>
      <c r="E36" s="1631" t="s">
        <v>2305</v>
      </c>
      <c r="F36" s="1634" t="s">
        <v>1666</v>
      </c>
      <c r="G36" s="1633">
        <v>2018</v>
      </c>
    </row>
    <row r="37" spans="2:7" ht="126.4" thickBot="1" x14ac:dyDescent="0.5">
      <c r="B37" s="1501" t="s">
        <v>273</v>
      </c>
      <c r="C37" s="1502" t="s">
        <v>2193</v>
      </c>
      <c r="D37" s="1503"/>
      <c r="E37" s="1503"/>
      <c r="F37" s="1503"/>
      <c r="G37" s="1504"/>
    </row>
    <row r="38" spans="2:7" ht="79.150000000000006" thickBot="1" x14ac:dyDescent="0.5">
      <c r="B38" s="1527" t="s">
        <v>2194</v>
      </c>
      <c r="C38" s="1516" t="s">
        <v>2234</v>
      </c>
      <c r="D38" s="1514" t="s">
        <v>1833</v>
      </c>
      <c r="E38" s="1525" t="s">
        <v>2306</v>
      </c>
      <c r="F38" s="1526" t="s">
        <v>2235</v>
      </c>
      <c r="G38" s="1487">
        <v>2018</v>
      </c>
    </row>
    <row r="39" spans="2:7" ht="76.5" customHeight="1" thickBot="1" x14ac:dyDescent="0.5">
      <c r="B39" s="1497"/>
      <c r="C39" s="1509"/>
      <c r="D39" s="1507" t="s">
        <v>629</v>
      </c>
      <c r="E39" s="1467" t="s">
        <v>2307</v>
      </c>
      <c r="F39" s="1530" t="s">
        <v>2235</v>
      </c>
      <c r="G39" s="1529">
        <v>2018</v>
      </c>
    </row>
    <row r="40" spans="2:7" ht="126" x14ac:dyDescent="0.45">
      <c r="B40" s="1510" t="s">
        <v>1133</v>
      </c>
      <c r="C40" s="1516" t="s">
        <v>2195</v>
      </c>
      <c r="D40" s="1514" t="s">
        <v>1833</v>
      </c>
      <c r="E40" s="1467" t="s">
        <v>2308</v>
      </c>
      <c r="F40" s="1531" t="s">
        <v>2235</v>
      </c>
      <c r="G40" s="1532">
        <v>2018</v>
      </c>
    </row>
    <row r="41" spans="2:7" ht="104.25" customHeight="1" thickBot="1" x14ac:dyDescent="0.5">
      <c r="B41" s="1512"/>
      <c r="C41" s="1498"/>
      <c r="D41" s="1507" t="s">
        <v>629</v>
      </c>
      <c r="E41" s="1540" t="s">
        <v>2309</v>
      </c>
      <c r="F41" s="1530" t="s">
        <v>2235</v>
      </c>
      <c r="G41" s="1529">
        <v>2018</v>
      </c>
    </row>
    <row r="42" spans="2:7" ht="184.15" thickBot="1" x14ac:dyDescent="0.5">
      <c r="B42" s="1485" t="s">
        <v>623</v>
      </c>
      <c r="C42" s="1486" t="s">
        <v>2197</v>
      </c>
      <c r="D42" s="1488" t="s">
        <v>1833</v>
      </c>
      <c r="E42" s="1489" t="s">
        <v>2236</v>
      </c>
      <c r="F42" s="1490" t="s">
        <v>1832</v>
      </c>
      <c r="G42" s="1491" t="s">
        <v>1702</v>
      </c>
    </row>
    <row r="43" spans="2:7" ht="110.65" thickBot="1" x14ac:dyDescent="0.5">
      <c r="B43" s="1485" t="s">
        <v>1135</v>
      </c>
      <c r="C43" s="1486" t="s">
        <v>2196</v>
      </c>
      <c r="D43" s="1488" t="s">
        <v>1833</v>
      </c>
      <c r="E43" s="1492" t="s">
        <v>2237</v>
      </c>
      <c r="F43" s="1490" t="s">
        <v>2238</v>
      </c>
      <c r="G43" s="1491">
        <v>2018</v>
      </c>
    </row>
    <row r="44" spans="2:7" ht="110.65" thickBot="1" x14ac:dyDescent="0.5">
      <c r="B44" s="1485" t="s">
        <v>2198</v>
      </c>
      <c r="C44" s="1486" t="s">
        <v>2199</v>
      </c>
      <c r="D44" s="1488" t="s">
        <v>1833</v>
      </c>
      <c r="E44" s="1533" t="s">
        <v>2239</v>
      </c>
      <c r="F44" s="1493" t="s">
        <v>2235</v>
      </c>
      <c r="G44" s="1494" t="s">
        <v>2240</v>
      </c>
    </row>
    <row r="45" spans="2:7" ht="110.65" thickBot="1" x14ac:dyDescent="0.5">
      <c r="B45" s="1501" t="s">
        <v>2204</v>
      </c>
      <c r="C45" s="1502" t="s">
        <v>2205</v>
      </c>
      <c r="D45" s="1503"/>
      <c r="E45" s="1503"/>
      <c r="F45" s="1503"/>
      <c r="G45" s="1504"/>
    </row>
    <row r="46" spans="2:7" ht="71.25" x14ac:dyDescent="0.45">
      <c r="B46" s="1535" t="s">
        <v>441</v>
      </c>
      <c r="C46" s="1534" t="s">
        <v>2241</v>
      </c>
      <c r="D46" s="1537"/>
      <c r="E46" s="2033" t="s">
        <v>2242</v>
      </c>
      <c r="F46" s="1538"/>
      <c r="G46" s="1539"/>
    </row>
    <row r="47" spans="2:7" ht="114.4" thickBot="1" x14ac:dyDescent="0.5">
      <c r="B47" s="1536" t="s">
        <v>447</v>
      </c>
      <c r="C47" s="1540" t="s">
        <v>2206</v>
      </c>
      <c r="D47" s="1542" t="s">
        <v>307</v>
      </c>
      <c r="E47" s="1541" t="s">
        <v>2312</v>
      </c>
      <c r="F47" s="1528" t="s">
        <v>2243</v>
      </c>
      <c r="G47" s="1543">
        <v>2018</v>
      </c>
    </row>
    <row r="48" spans="2:7" ht="110.65" thickBot="1" x14ac:dyDescent="0.5">
      <c r="B48" s="1553" t="s">
        <v>2190</v>
      </c>
      <c r="C48" s="1502" t="s">
        <v>2207</v>
      </c>
      <c r="D48" s="1503"/>
      <c r="E48" s="1503"/>
      <c r="F48" s="1503"/>
      <c r="G48" s="1504"/>
    </row>
    <row r="49" spans="2:7" ht="256.5" x14ac:dyDescent="0.45">
      <c r="B49" s="1544" t="s">
        <v>1047</v>
      </c>
      <c r="C49" s="1548" t="s">
        <v>2208</v>
      </c>
      <c r="D49" s="1531"/>
      <c r="E49" s="1568" t="s">
        <v>2256</v>
      </c>
      <c r="F49" s="1534" t="s">
        <v>2245</v>
      </c>
      <c r="G49" s="1567">
        <v>2018</v>
      </c>
    </row>
    <row r="50" spans="2:7" ht="409.5" x14ac:dyDescent="0.45">
      <c r="B50" s="1545" t="s">
        <v>381</v>
      </c>
      <c r="C50" s="1549" t="s">
        <v>2209</v>
      </c>
      <c r="D50" s="1550"/>
      <c r="E50" s="1552" t="s">
        <v>1891</v>
      </c>
      <c r="F50" s="1550"/>
      <c r="G50" s="1551"/>
    </row>
    <row r="51" spans="2:7" ht="28.5" x14ac:dyDescent="0.45">
      <c r="B51" s="1495" t="s">
        <v>2221</v>
      </c>
      <c r="C51" s="1496"/>
      <c r="D51" s="1550"/>
      <c r="E51" s="1552" t="s">
        <v>1845</v>
      </c>
      <c r="F51" s="1550"/>
      <c r="G51" s="1551"/>
    </row>
    <row r="52" spans="2:7" ht="256.89999999999998" thickBot="1" x14ac:dyDescent="0.5">
      <c r="B52" s="1546" t="s">
        <v>2210</v>
      </c>
      <c r="C52" s="1547" t="s">
        <v>2211</v>
      </c>
      <c r="D52" s="1530"/>
      <c r="E52" s="1541" t="s">
        <v>2244</v>
      </c>
      <c r="F52" s="1541" t="s">
        <v>2245</v>
      </c>
      <c r="G52" s="1529">
        <v>2018</v>
      </c>
    </row>
    <row r="53" spans="2:7" ht="63.4" thickBot="1" x14ac:dyDescent="0.5">
      <c r="B53" s="1501" t="s">
        <v>227</v>
      </c>
      <c r="C53" s="1502" t="s">
        <v>2200</v>
      </c>
      <c r="D53" s="1503"/>
      <c r="E53" s="1503"/>
      <c r="F53" s="1503"/>
      <c r="G53" s="1504"/>
    </row>
    <row r="54" spans="2:7" ht="141.75" x14ac:dyDescent="0.45">
      <c r="B54" s="1544" t="s">
        <v>1142</v>
      </c>
      <c r="C54" s="1554" t="s">
        <v>2247</v>
      </c>
      <c r="D54" s="1565" t="s">
        <v>2252</v>
      </c>
      <c r="E54" s="1566" t="s">
        <v>2253</v>
      </c>
      <c r="F54" s="1568" t="s">
        <v>2249</v>
      </c>
      <c r="G54" s="1567">
        <v>2018</v>
      </c>
    </row>
    <row r="55" spans="2:7" ht="94.5" x14ac:dyDescent="0.45">
      <c r="B55" s="1545" t="s">
        <v>1144</v>
      </c>
      <c r="C55" s="1555" t="s">
        <v>2201</v>
      </c>
      <c r="D55" s="1550" t="s">
        <v>2251</v>
      </c>
      <c r="E55" s="1559" t="s">
        <v>2254</v>
      </c>
      <c r="F55" s="1564" t="s">
        <v>2249</v>
      </c>
      <c r="G55" s="1561">
        <v>2018</v>
      </c>
    </row>
    <row r="56" spans="2:7" ht="141.75" x14ac:dyDescent="0.45">
      <c r="B56" s="1545" t="s">
        <v>1146</v>
      </c>
      <c r="C56" s="1555" t="s">
        <v>2202</v>
      </c>
      <c r="D56" s="1563" t="s">
        <v>2255</v>
      </c>
      <c r="E56" s="1552" t="s">
        <v>2248</v>
      </c>
      <c r="F56" s="1564" t="s">
        <v>2249</v>
      </c>
      <c r="G56" s="1561">
        <v>2018</v>
      </c>
    </row>
    <row r="57" spans="2:7" ht="110.65" thickBot="1" x14ac:dyDescent="0.5">
      <c r="B57" s="1556" t="s">
        <v>1148</v>
      </c>
      <c r="C57" s="1557" t="s">
        <v>2203</v>
      </c>
      <c r="D57" s="1569" t="s">
        <v>793</v>
      </c>
      <c r="E57" s="1558" t="s">
        <v>1890</v>
      </c>
      <c r="F57" s="1562" t="s">
        <v>2250</v>
      </c>
      <c r="G57" s="1560">
        <v>2018</v>
      </c>
    </row>
    <row r="58" spans="2:7" ht="16.149999999999999" thickBot="1" x14ac:dyDescent="0.5">
      <c r="B58" s="1649" t="s">
        <v>1834</v>
      </c>
      <c r="C58" s="1650"/>
      <c r="D58" s="1650"/>
      <c r="E58" s="1650"/>
      <c r="F58" s="1650"/>
      <c r="G58" s="1651"/>
    </row>
  </sheetData>
  <sheetProtection algorithmName="SHA-512" hashValue="+xRrNtXipUBJopkTIDgIoqf2knkc+GvztpoeJ2a+Dvh1u7/pBm4AuNOmIS0DodtNghJ6/v1rFtQy561vplkiuw==" saltValue="1AhP7a0sbJbbjJaBmoLynw==" spinCount="100000" sheet="1" objects="1" scenarios="1"/>
  <mergeCells count="1">
    <mergeCell ref="A1:D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99FF"/>
    <pageSetUpPr fitToPage="1"/>
  </sheetPr>
  <dimension ref="A1:AM404"/>
  <sheetViews>
    <sheetView zoomScale="106" zoomScaleNormal="106" zoomScaleSheetLayoutView="90" workbookViewId="0">
      <selection activeCell="H6" sqref="H6"/>
    </sheetView>
  </sheetViews>
  <sheetFormatPr defaultRowHeight="13.15" x14ac:dyDescent="0.4"/>
  <cols>
    <col min="1" max="3" width="9.1328125" style="766"/>
    <col min="4" max="4" width="10.73046875" style="766" bestFit="1" customWidth="1"/>
    <col min="5" max="12" width="9.1328125" style="766"/>
    <col min="13" max="13" width="1.1328125" style="983" customWidth="1"/>
    <col min="14" max="14" width="52.265625" style="911" bestFit="1" customWidth="1"/>
    <col min="15" max="15" width="15.265625" style="911" customWidth="1"/>
    <col min="16" max="32" width="9.73046875" style="911" customWidth="1"/>
    <col min="33" max="34" width="12.1328125" style="911" customWidth="1"/>
    <col min="35" max="35" width="8.73046875" style="911" customWidth="1"/>
    <col min="36" max="36" width="9" style="911" customWidth="1"/>
    <col min="37" max="37" width="6.1328125" style="911" customWidth="1"/>
    <col min="38" max="38" width="7.59765625" style="766" customWidth="1"/>
    <col min="39" max="39" width="10.265625" style="766" customWidth="1"/>
    <col min="40" max="268" width="9.1328125" style="766"/>
    <col min="269" max="269" width="2" style="766" customWidth="1"/>
    <col min="270" max="270" width="25.73046875" style="766" customWidth="1"/>
    <col min="271" max="288" width="9.73046875" style="766" customWidth="1"/>
    <col min="289" max="290" width="12.1328125" style="766" customWidth="1"/>
    <col min="291" max="291" width="8.73046875" style="766" customWidth="1"/>
    <col min="292" max="292" width="9" style="766" customWidth="1"/>
    <col min="293" max="293" width="6.1328125" style="766" customWidth="1"/>
    <col min="294" max="294" width="7.59765625" style="766" customWidth="1"/>
    <col min="295" max="295" width="10.265625" style="766" customWidth="1"/>
    <col min="296" max="524" width="9.1328125" style="766"/>
    <col min="525" max="525" width="2" style="766" customWidth="1"/>
    <col min="526" max="526" width="25.73046875" style="766" customWidth="1"/>
    <col min="527" max="544" width="9.73046875" style="766" customWidth="1"/>
    <col min="545" max="546" width="12.1328125" style="766" customWidth="1"/>
    <col min="547" max="547" width="8.73046875" style="766" customWidth="1"/>
    <col min="548" max="548" width="9" style="766" customWidth="1"/>
    <col min="549" max="549" width="6.1328125" style="766" customWidth="1"/>
    <col min="550" max="550" width="7.59765625" style="766" customWidth="1"/>
    <col min="551" max="551" width="10.265625" style="766" customWidth="1"/>
    <col min="552" max="780" width="9.1328125" style="766"/>
    <col min="781" max="781" width="2" style="766" customWidth="1"/>
    <col min="782" max="782" width="25.73046875" style="766" customWidth="1"/>
    <col min="783" max="800" width="9.73046875" style="766" customWidth="1"/>
    <col min="801" max="802" width="12.1328125" style="766" customWidth="1"/>
    <col min="803" max="803" width="8.73046875" style="766" customWidth="1"/>
    <col min="804" max="804" width="9" style="766" customWidth="1"/>
    <col min="805" max="805" width="6.1328125" style="766" customWidth="1"/>
    <col min="806" max="806" width="7.59765625" style="766" customWidth="1"/>
    <col min="807" max="807" width="10.265625" style="766" customWidth="1"/>
    <col min="808" max="1036" width="9.1328125" style="766"/>
    <col min="1037" max="1037" width="2" style="766" customWidth="1"/>
    <col min="1038" max="1038" width="25.73046875" style="766" customWidth="1"/>
    <col min="1039" max="1056" width="9.73046875" style="766" customWidth="1"/>
    <col min="1057" max="1058" width="12.1328125" style="766" customWidth="1"/>
    <col min="1059" max="1059" width="8.73046875" style="766" customWidth="1"/>
    <col min="1060" max="1060" width="9" style="766" customWidth="1"/>
    <col min="1061" max="1061" width="6.1328125" style="766" customWidth="1"/>
    <col min="1062" max="1062" width="7.59765625" style="766" customWidth="1"/>
    <col min="1063" max="1063" width="10.265625" style="766" customWidth="1"/>
    <col min="1064" max="1292" width="9.1328125" style="766"/>
    <col min="1293" max="1293" width="2" style="766" customWidth="1"/>
    <col min="1294" max="1294" width="25.73046875" style="766" customWidth="1"/>
    <col min="1295" max="1312" width="9.73046875" style="766" customWidth="1"/>
    <col min="1313" max="1314" width="12.1328125" style="766" customWidth="1"/>
    <col min="1315" max="1315" width="8.73046875" style="766" customWidth="1"/>
    <col min="1316" max="1316" width="9" style="766" customWidth="1"/>
    <col min="1317" max="1317" width="6.1328125" style="766" customWidth="1"/>
    <col min="1318" max="1318" width="7.59765625" style="766" customWidth="1"/>
    <col min="1319" max="1319" width="10.265625" style="766" customWidth="1"/>
    <col min="1320" max="1548" width="9.1328125" style="766"/>
    <col min="1549" max="1549" width="2" style="766" customWidth="1"/>
    <col min="1550" max="1550" width="25.73046875" style="766" customWidth="1"/>
    <col min="1551" max="1568" width="9.73046875" style="766" customWidth="1"/>
    <col min="1569" max="1570" width="12.1328125" style="766" customWidth="1"/>
    <col min="1571" max="1571" width="8.73046875" style="766" customWidth="1"/>
    <col min="1572" max="1572" width="9" style="766" customWidth="1"/>
    <col min="1573" max="1573" width="6.1328125" style="766" customWidth="1"/>
    <col min="1574" max="1574" width="7.59765625" style="766" customWidth="1"/>
    <col min="1575" max="1575" width="10.265625" style="766" customWidth="1"/>
    <col min="1576" max="1804" width="9.1328125" style="766"/>
    <col min="1805" max="1805" width="2" style="766" customWidth="1"/>
    <col min="1806" max="1806" width="25.73046875" style="766" customWidth="1"/>
    <col min="1807" max="1824" width="9.73046875" style="766" customWidth="1"/>
    <col min="1825" max="1826" width="12.1328125" style="766" customWidth="1"/>
    <col min="1827" max="1827" width="8.73046875" style="766" customWidth="1"/>
    <col min="1828" max="1828" width="9" style="766" customWidth="1"/>
    <col min="1829" max="1829" width="6.1328125" style="766" customWidth="1"/>
    <col min="1830" max="1830" width="7.59765625" style="766" customWidth="1"/>
    <col min="1831" max="1831" width="10.265625" style="766" customWidth="1"/>
    <col min="1832" max="2060" width="9.1328125" style="766"/>
    <col min="2061" max="2061" width="2" style="766" customWidth="1"/>
    <col min="2062" max="2062" width="25.73046875" style="766" customWidth="1"/>
    <col min="2063" max="2080" width="9.73046875" style="766" customWidth="1"/>
    <col min="2081" max="2082" width="12.1328125" style="766" customWidth="1"/>
    <col min="2083" max="2083" width="8.73046875" style="766" customWidth="1"/>
    <col min="2084" max="2084" width="9" style="766" customWidth="1"/>
    <col min="2085" max="2085" width="6.1328125" style="766" customWidth="1"/>
    <col min="2086" max="2086" width="7.59765625" style="766" customWidth="1"/>
    <col min="2087" max="2087" width="10.265625" style="766" customWidth="1"/>
    <col min="2088" max="2316" width="9.1328125" style="766"/>
    <col min="2317" max="2317" width="2" style="766" customWidth="1"/>
    <col min="2318" max="2318" width="25.73046875" style="766" customWidth="1"/>
    <col min="2319" max="2336" width="9.73046875" style="766" customWidth="1"/>
    <col min="2337" max="2338" width="12.1328125" style="766" customWidth="1"/>
    <col min="2339" max="2339" width="8.73046875" style="766" customWidth="1"/>
    <col min="2340" max="2340" width="9" style="766" customWidth="1"/>
    <col min="2341" max="2341" width="6.1328125" style="766" customWidth="1"/>
    <col min="2342" max="2342" width="7.59765625" style="766" customWidth="1"/>
    <col min="2343" max="2343" width="10.265625" style="766" customWidth="1"/>
    <col min="2344" max="2572" width="9.1328125" style="766"/>
    <col min="2573" max="2573" width="2" style="766" customWidth="1"/>
    <col min="2574" max="2574" width="25.73046875" style="766" customWidth="1"/>
    <col min="2575" max="2592" width="9.73046875" style="766" customWidth="1"/>
    <col min="2593" max="2594" width="12.1328125" style="766" customWidth="1"/>
    <col min="2595" max="2595" width="8.73046875" style="766" customWidth="1"/>
    <col min="2596" max="2596" width="9" style="766" customWidth="1"/>
    <col min="2597" max="2597" width="6.1328125" style="766" customWidth="1"/>
    <col min="2598" max="2598" width="7.59765625" style="766" customWidth="1"/>
    <col min="2599" max="2599" width="10.265625" style="766" customWidth="1"/>
    <col min="2600" max="2828" width="9.1328125" style="766"/>
    <col min="2829" max="2829" width="2" style="766" customWidth="1"/>
    <col min="2830" max="2830" width="25.73046875" style="766" customWidth="1"/>
    <col min="2831" max="2848" width="9.73046875" style="766" customWidth="1"/>
    <col min="2849" max="2850" width="12.1328125" style="766" customWidth="1"/>
    <col min="2851" max="2851" width="8.73046875" style="766" customWidth="1"/>
    <col min="2852" max="2852" width="9" style="766" customWidth="1"/>
    <col min="2853" max="2853" width="6.1328125" style="766" customWidth="1"/>
    <col min="2854" max="2854" width="7.59765625" style="766" customWidth="1"/>
    <col min="2855" max="2855" width="10.265625" style="766" customWidth="1"/>
    <col min="2856" max="3084" width="9.1328125" style="766"/>
    <col min="3085" max="3085" width="2" style="766" customWidth="1"/>
    <col min="3086" max="3086" width="25.73046875" style="766" customWidth="1"/>
    <col min="3087" max="3104" width="9.73046875" style="766" customWidth="1"/>
    <col min="3105" max="3106" width="12.1328125" style="766" customWidth="1"/>
    <col min="3107" max="3107" width="8.73046875" style="766" customWidth="1"/>
    <col min="3108" max="3108" width="9" style="766" customWidth="1"/>
    <col min="3109" max="3109" width="6.1328125" style="766" customWidth="1"/>
    <col min="3110" max="3110" width="7.59765625" style="766" customWidth="1"/>
    <col min="3111" max="3111" width="10.265625" style="766" customWidth="1"/>
    <col min="3112" max="3340" width="9.1328125" style="766"/>
    <col min="3341" max="3341" width="2" style="766" customWidth="1"/>
    <col min="3342" max="3342" width="25.73046875" style="766" customWidth="1"/>
    <col min="3343" max="3360" width="9.73046875" style="766" customWidth="1"/>
    <col min="3361" max="3362" width="12.1328125" style="766" customWidth="1"/>
    <col min="3363" max="3363" width="8.73046875" style="766" customWidth="1"/>
    <col min="3364" max="3364" width="9" style="766" customWidth="1"/>
    <col min="3365" max="3365" width="6.1328125" style="766" customWidth="1"/>
    <col min="3366" max="3366" width="7.59765625" style="766" customWidth="1"/>
    <col min="3367" max="3367" width="10.265625" style="766" customWidth="1"/>
    <col min="3368" max="3596" width="9.1328125" style="766"/>
    <col min="3597" max="3597" width="2" style="766" customWidth="1"/>
    <col min="3598" max="3598" width="25.73046875" style="766" customWidth="1"/>
    <col min="3599" max="3616" width="9.73046875" style="766" customWidth="1"/>
    <col min="3617" max="3618" width="12.1328125" style="766" customWidth="1"/>
    <col min="3619" max="3619" width="8.73046875" style="766" customWidth="1"/>
    <col min="3620" max="3620" width="9" style="766" customWidth="1"/>
    <col min="3621" max="3621" width="6.1328125" style="766" customWidth="1"/>
    <col min="3622" max="3622" width="7.59765625" style="766" customWidth="1"/>
    <col min="3623" max="3623" width="10.265625" style="766" customWidth="1"/>
    <col min="3624" max="3852" width="9.1328125" style="766"/>
    <col min="3853" max="3853" width="2" style="766" customWidth="1"/>
    <col min="3854" max="3854" width="25.73046875" style="766" customWidth="1"/>
    <col min="3855" max="3872" width="9.73046875" style="766" customWidth="1"/>
    <col min="3873" max="3874" width="12.1328125" style="766" customWidth="1"/>
    <col min="3875" max="3875" width="8.73046875" style="766" customWidth="1"/>
    <col min="3876" max="3876" width="9" style="766" customWidth="1"/>
    <col min="3877" max="3877" width="6.1328125" style="766" customWidth="1"/>
    <col min="3878" max="3878" width="7.59765625" style="766" customWidth="1"/>
    <col min="3879" max="3879" width="10.265625" style="766" customWidth="1"/>
    <col min="3880" max="4108" width="9.1328125" style="766"/>
    <col min="4109" max="4109" width="2" style="766" customWidth="1"/>
    <col min="4110" max="4110" width="25.73046875" style="766" customWidth="1"/>
    <col min="4111" max="4128" width="9.73046875" style="766" customWidth="1"/>
    <col min="4129" max="4130" width="12.1328125" style="766" customWidth="1"/>
    <col min="4131" max="4131" width="8.73046875" style="766" customWidth="1"/>
    <col min="4132" max="4132" width="9" style="766" customWidth="1"/>
    <col min="4133" max="4133" width="6.1328125" style="766" customWidth="1"/>
    <col min="4134" max="4134" width="7.59765625" style="766" customWidth="1"/>
    <col min="4135" max="4135" width="10.265625" style="766" customWidth="1"/>
    <col min="4136" max="4364" width="9.1328125" style="766"/>
    <col min="4365" max="4365" width="2" style="766" customWidth="1"/>
    <col min="4366" max="4366" width="25.73046875" style="766" customWidth="1"/>
    <col min="4367" max="4384" width="9.73046875" style="766" customWidth="1"/>
    <col min="4385" max="4386" width="12.1328125" style="766" customWidth="1"/>
    <col min="4387" max="4387" width="8.73046875" style="766" customWidth="1"/>
    <col min="4388" max="4388" width="9" style="766" customWidth="1"/>
    <col min="4389" max="4389" width="6.1328125" style="766" customWidth="1"/>
    <col min="4390" max="4390" width="7.59765625" style="766" customWidth="1"/>
    <col min="4391" max="4391" width="10.265625" style="766" customWidth="1"/>
    <col min="4392" max="4620" width="9.1328125" style="766"/>
    <col min="4621" max="4621" width="2" style="766" customWidth="1"/>
    <col min="4622" max="4622" width="25.73046875" style="766" customWidth="1"/>
    <col min="4623" max="4640" width="9.73046875" style="766" customWidth="1"/>
    <col min="4641" max="4642" width="12.1328125" style="766" customWidth="1"/>
    <col min="4643" max="4643" width="8.73046875" style="766" customWidth="1"/>
    <col min="4644" max="4644" width="9" style="766" customWidth="1"/>
    <col min="4645" max="4645" width="6.1328125" style="766" customWidth="1"/>
    <col min="4646" max="4646" width="7.59765625" style="766" customWidth="1"/>
    <col min="4647" max="4647" width="10.265625" style="766" customWidth="1"/>
    <col min="4648" max="4876" width="9.1328125" style="766"/>
    <col min="4877" max="4877" width="2" style="766" customWidth="1"/>
    <col min="4878" max="4878" width="25.73046875" style="766" customWidth="1"/>
    <col min="4879" max="4896" width="9.73046875" style="766" customWidth="1"/>
    <col min="4897" max="4898" width="12.1328125" style="766" customWidth="1"/>
    <col min="4899" max="4899" width="8.73046875" style="766" customWidth="1"/>
    <col min="4900" max="4900" width="9" style="766" customWidth="1"/>
    <col min="4901" max="4901" width="6.1328125" style="766" customWidth="1"/>
    <col min="4902" max="4902" width="7.59765625" style="766" customWidth="1"/>
    <col min="4903" max="4903" width="10.265625" style="766" customWidth="1"/>
    <col min="4904" max="5132" width="9.1328125" style="766"/>
    <col min="5133" max="5133" width="2" style="766" customWidth="1"/>
    <col min="5134" max="5134" width="25.73046875" style="766" customWidth="1"/>
    <col min="5135" max="5152" width="9.73046875" style="766" customWidth="1"/>
    <col min="5153" max="5154" width="12.1328125" style="766" customWidth="1"/>
    <col min="5155" max="5155" width="8.73046875" style="766" customWidth="1"/>
    <col min="5156" max="5156" width="9" style="766" customWidth="1"/>
    <col min="5157" max="5157" width="6.1328125" style="766" customWidth="1"/>
    <col min="5158" max="5158" width="7.59765625" style="766" customWidth="1"/>
    <col min="5159" max="5159" width="10.265625" style="766" customWidth="1"/>
    <col min="5160" max="5388" width="9.1328125" style="766"/>
    <col min="5389" max="5389" width="2" style="766" customWidth="1"/>
    <col min="5390" max="5390" width="25.73046875" style="766" customWidth="1"/>
    <col min="5391" max="5408" width="9.73046875" style="766" customWidth="1"/>
    <col min="5409" max="5410" width="12.1328125" style="766" customWidth="1"/>
    <col min="5411" max="5411" width="8.73046875" style="766" customWidth="1"/>
    <col min="5412" max="5412" width="9" style="766" customWidth="1"/>
    <col min="5413" max="5413" width="6.1328125" style="766" customWidth="1"/>
    <col min="5414" max="5414" width="7.59765625" style="766" customWidth="1"/>
    <col min="5415" max="5415" width="10.265625" style="766" customWidth="1"/>
    <col min="5416" max="5644" width="9.1328125" style="766"/>
    <col min="5645" max="5645" width="2" style="766" customWidth="1"/>
    <col min="5646" max="5646" width="25.73046875" style="766" customWidth="1"/>
    <col min="5647" max="5664" width="9.73046875" style="766" customWidth="1"/>
    <col min="5665" max="5666" width="12.1328125" style="766" customWidth="1"/>
    <col min="5667" max="5667" width="8.73046875" style="766" customWidth="1"/>
    <col min="5668" max="5668" width="9" style="766" customWidth="1"/>
    <col min="5669" max="5669" width="6.1328125" style="766" customWidth="1"/>
    <col min="5670" max="5670" width="7.59765625" style="766" customWidth="1"/>
    <col min="5671" max="5671" width="10.265625" style="766" customWidth="1"/>
    <col min="5672" max="5900" width="9.1328125" style="766"/>
    <col min="5901" max="5901" width="2" style="766" customWidth="1"/>
    <col min="5902" max="5902" width="25.73046875" style="766" customWidth="1"/>
    <col min="5903" max="5920" width="9.73046875" style="766" customWidth="1"/>
    <col min="5921" max="5922" width="12.1328125" style="766" customWidth="1"/>
    <col min="5923" max="5923" width="8.73046875" style="766" customWidth="1"/>
    <col min="5924" max="5924" width="9" style="766" customWidth="1"/>
    <col min="5925" max="5925" width="6.1328125" style="766" customWidth="1"/>
    <col min="5926" max="5926" width="7.59765625" style="766" customWidth="1"/>
    <col min="5927" max="5927" width="10.265625" style="766" customWidth="1"/>
    <col min="5928" max="6156" width="9.1328125" style="766"/>
    <col min="6157" max="6157" width="2" style="766" customWidth="1"/>
    <col min="6158" max="6158" width="25.73046875" style="766" customWidth="1"/>
    <col min="6159" max="6176" width="9.73046875" style="766" customWidth="1"/>
    <col min="6177" max="6178" width="12.1328125" style="766" customWidth="1"/>
    <col min="6179" max="6179" width="8.73046875" style="766" customWidth="1"/>
    <col min="6180" max="6180" width="9" style="766" customWidth="1"/>
    <col min="6181" max="6181" width="6.1328125" style="766" customWidth="1"/>
    <col min="6182" max="6182" width="7.59765625" style="766" customWidth="1"/>
    <col min="6183" max="6183" width="10.265625" style="766" customWidth="1"/>
    <col min="6184" max="6412" width="9.1328125" style="766"/>
    <col min="6413" max="6413" width="2" style="766" customWidth="1"/>
    <col min="6414" max="6414" width="25.73046875" style="766" customWidth="1"/>
    <col min="6415" max="6432" width="9.73046875" style="766" customWidth="1"/>
    <col min="6433" max="6434" width="12.1328125" style="766" customWidth="1"/>
    <col min="6435" max="6435" width="8.73046875" style="766" customWidth="1"/>
    <col min="6436" max="6436" width="9" style="766" customWidth="1"/>
    <col min="6437" max="6437" width="6.1328125" style="766" customWidth="1"/>
    <col min="6438" max="6438" width="7.59765625" style="766" customWidth="1"/>
    <col min="6439" max="6439" width="10.265625" style="766" customWidth="1"/>
    <col min="6440" max="6668" width="9.1328125" style="766"/>
    <col min="6669" max="6669" width="2" style="766" customWidth="1"/>
    <col min="6670" max="6670" width="25.73046875" style="766" customWidth="1"/>
    <col min="6671" max="6688" width="9.73046875" style="766" customWidth="1"/>
    <col min="6689" max="6690" width="12.1328125" style="766" customWidth="1"/>
    <col min="6691" max="6691" width="8.73046875" style="766" customWidth="1"/>
    <col min="6692" max="6692" width="9" style="766" customWidth="1"/>
    <col min="6693" max="6693" width="6.1328125" style="766" customWidth="1"/>
    <col min="6694" max="6694" width="7.59765625" style="766" customWidth="1"/>
    <col min="6695" max="6695" width="10.265625" style="766" customWidth="1"/>
    <col min="6696" max="6924" width="9.1328125" style="766"/>
    <col min="6925" max="6925" width="2" style="766" customWidth="1"/>
    <col min="6926" max="6926" width="25.73046875" style="766" customWidth="1"/>
    <col min="6927" max="6944" width="9.73046875" style="766" customWidth="1"/>
    <col min="6945" max="6946" width="12.1328125" style="766" customWidth="1"/>
    <col min="6947" max="6947" width="8.73046875" style="766" customWidth="1"/>
    <col min="6948" max="6948" width="9" style="766" customWidth="1"/>
    <col min="6949" max="6949" width="6.1328125" style="766" customWidth="1"/>
    <col min="6950" max="6950" width="7.59765625" style="766" customWidth="1"/>
    <col min="6951" max="6951" width="10.265625" style="766" customWidth="1"/>
    <col min="6952" max="7180" width="9.1328125" style="766"/>
    <col min="7181" max="7181" width="2" style="766" customWidth="1"/>
    <col min="7182" max="7182" width="25.73046875" style="766" customWidth="1"/>
    <col min="7183" max="7200" width="9.73046875" style="766" customWidth="1"/>
    <col min="7201" max="7202" width="12.1328125" style="766" customWidth="1"/>
    <col min="7203" max="7203" width="8.73046875" style="766" customWidth="1"/>
    <col min="7204" max="7204" width="9" style="766" customWidth="1"/>
    <col min="7205" max="7205" width="6.1328125" style="766" customWidth="1"/>
    <col min="7206" max="7206" width="7.59765625" style="766" customWidth="1"/>
    <col min="7207" max="7207" width="10.265625" style="766" customWidth="1"/>
    <col min="7208" max="7436" width="9.1328125" style="766"/>
    <col min="7437" max="7437" width="2" style="766" customWidth="1"/>
    <col min="7438" max="7438" width="25.73046875" style="766" customWidth="1"/>
    <col min="7439" max="7456" width="9.73046875" style="766" customWidth="1"/>
    <col min="7457" max="7458" width="12.1328125" style="766" customWidth="1"/>
    <col min="7459" max="7459" width="8.73046875" style="766" customWidth="1"/>
    <col min="7460" max="7460" width="9" style="766" customWidth="1"/>
    <col min="7461" max="7461" width="6.1328125" style="766" customWidth="1"/>
    <col min="7462" max="7462" width="7.59765625" style="766" customWidth="1"/>
    <col min="7463" max="7463" width="10.265625" style="766" customWidth="1"/>
    <col min="7464" max="7692" width="9.1328125" style="766"/>
    <col min="7693" max="7693" width="2" style="766" customWidth="1"/>
    <col min="7694" max="7694" width="25.73046875" style="766" customWidth="1"/>
    <col min="7695" max="7712" width="9.73046875" style="766" customWidth="1"/>
    <col min="7713" max="7714" width="12.1328125" style="766" customWidth="1"/>
    <col min="7715" max="7715" width="8.73046875" style="766" customWidth="1"/>
    <col min="7716" max="7716" width="9" style="766" customWidth="1"/>
    <col min="7717" max="7717" width="6.1328125" style="766" customWidth="1"/>
    <col min="7718" max="7718" width="7.59765625" style="766" customWidth="1"/>
    <col min="7719" max="7719" width="10.265625" style="766" customWidth="1"/>
    <col min="7720" max="7948" width="9.1328125" style="766"/>
    <col min="7949" max="7949" width="2" style="766" customWidth="1"/>
    <col min="7950" max="7950" width="25.73046875" style="766" customWidth="1"/>
    <col min="7951" max="7968" width="9.73046875" style="766" customWidth="1"/>
    <col min="7969" max="7970" width="12.1328125" style="766" customWidth="1"/>
    <col min="7971" max="7971" width="8.73046875" style="766" customWidth="1"/>
    <col min="7972" max="7972" width="9" style="766" customWidth="1"/>
    <col min="7973" max="7973" width="6.1328125" style="766" customWidth="1"/>
    <col min="7974" max="7974" width="7.59765625" style="766" customWidth="1"/>
    <col min="7975" max="7975" width="10.265625" style="766" customWidth="1"/>
    <col min="7976" max="8204" width="9.1328125" style="766"/>
    <col min="8205" max="8205" width="2" style="766" customWidth="1"/>
    <col min="8206" max="8206" width="25.73046875" style="766" customWidth="1"/>
    <col min="8207" max="8224" width="9.73046875" style="766" customWidth="1"/>
    <col min="8225" max="8226" width="12.1328125" style="766" customWidth="1"/>
    <col min="8227" max="8227" width="8.73046875" style="766" customWidth="1"/>
    <col min="8228" max="8228" width="9" style="766" customWidth="1"/>
    <col min="8229" max="8229" width="6.1328125" style="766" customWidth="1"/>
    <col min="8230" max="8230" width="7.59765625" style="766" customWidth="1"/>
    <col min="8231" max="8231" width="10.265625" style="766" customWidth="1"/>
    <col min="8232" max="8460" width="9.1328125" style="766"/>
    <col min="8461" max="8461" width="2" style="766" customWidth="1"/>
    <col min="8462" max="8462" width="25.73046875" style="766" customWidth="1"/>
    <col min="8463" max="8480" width="9.73046875" style="766" customWidth="1"/>
    <col min="8481" max="8482" width="12.1328125" style="766" customWidth="1"/>
    <col min="8483" max="8483" width="8.73046875" style="766" customWidth="1"/>
    <col min="8484" max="8484" width="9" style="766" customWidth="1"/>
    <col min="8485" max="8485" width="6.1328125" style="766" customWidth="1"/>
    <col min="8486" max="8486" width="7.59765625" style="766" customWidth="1"/>
    <col min="8487" max="8487" width="10.265625" style="766" customWidth="1"/>
    <col min="8488" max="8716" width="9.1328125" style="766"/>
    <col min="8717" max="8717" width="2" style="766" customWidth="1"/>
    <col min="8718" max="8718" width="25.73046875" style="766" customWidth="1"/>
    <col min="8719" max="8736" width="9.73046875" style="766" customWidth="1"/>
    <col min="8737" max="8738" width="12.1328125" style="766" customWidth="1"/>
    <col min="8739" max="8739" width="8.73046875" style="766" customWidth="1"/>
    <col min="8740" max="8740" width="9" style="766" customWidth="1"/>
    <col min="8741" max="8741" width="6.1328125" style="766" customWidth="1"/>
    <col min="8742" max="8742" width="7.59765625" style="766" customWidth="1"/>
    <col min="8743" max="8743" width="10.265625" style="766" customWidth="1"/>
    <col min="8744" max="8972" width="9.1328125" style="766"/>
    <col min="8973" max="8973" width="2" style="766" customWidth="1"/>
    <col min="8974" max="8974" width="25.73046875" style="766" customWidth="1"/>
    <col min="8975" max="8992" width="9.73046875" style="766" customWidth="1"/>
    <col min="8993" max="8994" width="12.1328125" style="766" customWidth="1"/>
    <col min="8995" max="8995" width="8.73046875" style="766" customWidth="1"/>
    <col min="8996" max="8996" width="9" style="766" customWidth="1"/>
    <col min="8997" max="8997" width="6.1328125" style="766" customWidth="1"/>
    <col min="8998" max="8998" width="7.59765625" style="766" customWidth="1"/>
    <col min="8999" max="8999" width="10.265625" style="766" customWidth="1"/>
    <col min="9000" max="9228" width="9.1328125" style="766"/>
    <col min="9229" max="9229" width="2" style="766" customWidth="1"/>
    <col min="9230" max="9230" width="25.73046875" style="766" customWidth="1"/>
    <col min="9231" max="9248" width="9.73046875" style="766" customWidth="1"/>
    <col min="9249" max="9250" width="12.1328125" style="766" customWidth="1"/>
    <col min="9251" max="9251" width="8.73046875" style="766" customWidth="1"/>
    <col min="9252" max="9252" width="9" style="766" customWidth="1"/>
    <col min="9253" max="9253" width="6.1328125" style="766" customWidth="1"/>
    <col min="9254" max="9254" width="7.59765625" style="766" customWidth="1"/>
    <col min="9255" max="9255" width="10.265625" style="766" customWidth="1"/>
    <col min="9256" max="9484" width="9.1328125" style="766"/>
    <col min="9485" max="9485" width="2" style="766" customWidth="1"/>
    <col min="9486" max="9486" width="25.73046875" style="766" customWidth="1"/>
    <col min="9487" max="9504" width="9.73046875" style="766" customWidth="1"/>
    <col min="9505" max="9506" width="12.1328125" style="766" customWidth="1"/>
    <col min="9507" max="9507" width="8.73046875" style="766" customWidth="1"/>
    <col min="9508" max="9508" width="9" style="766" customWidth="1"/>
    <col min="9509" max="9509" width="6.1328125" style="766" customWidth="1"/>
    <col min="9510" max="9510" width="7.59765625" style="766" customWidth="1"/>
    <col min="9511" max="9511" width="10.265625" style="766" customWidth="1"/>
    <col min="9512" max="9740" width="9.1328125" style="766"/>
    <col min="9741" max="9741" width="2" style="766" customWidth="1"/>
    <col min="9742" max="9742" width="25.73046875" style="766" customWidth="1"/>
    <col min="9743" max="9760" width="9.73046875" style="766" customWidth="1"/>
    <col min="9761" max="9762" width="12.1328125" style="766" customWidth="1"/>
    <col min="9763" max="9763" width="8.73046875" style="766" customWidth="1"/>
    <col min="9764" max="9764" width="9" style="766" customWidth="1"/>
    <col min="9765" max="9765" width="6.1328125" style="766" customWidth="1"/>
    <col min="9766" max="9766" width="7.59765625" style="766" customWidth="1"/>
    <col min="9767" max="9767" width="10.265625" style="766" customWidth="1"/>
    <col min="9768" max="9996" width="9.1328125" style="766"/>
    <col min="9997" max="9997" width="2" style="766" customWidth="1"/>
    <col min="9998" max="9998" width="25.73046875" style="766" customWidth="1"/>
    <col min="9999" max="10016" width="9.73046875" style="766" customWidth="1"/>
    <col min="10017" max="10018" width="12.1328125" style="766" customWidth="1"/>
    <col min="10019" max="10019" width="8.73046875" style="766" customWidth="1"/>
    <col min="10020" max="10020" width="9" style="766" customWidth="1"/>
    <col min="10021" max="10021" width="6.1328125" style="766" customWidth="1"/>
    <col min="10022" max="10022" width="7.59765625" style="766" customWidth="1"/>
    <col min="10023" max="10023" width="10.265625" style="766" customWidth="1"/>
    <col min="10024" max="10252" width="9.1328125" style="766"/>
    <col min="10253" max="10253" width="2" style="766" customWidth="1"/>
    <col min="10254" max="10254" width="25.73046875" style="766" customWidth="1"/>
    <col min="10255" max="10272" width="9.73046875" style="766" customWidth="1"/>
    <col min="10273" max="10274" width="12.1328125" style="766" customWidth="1"/>
    <col min="10275" max="10275" width="8.73046875" style="766" customWidth="1"/>
    <col min="10276" max="10276" width="9" style="766" customWidth="1"/>
    <col min="10277" max="10277" width="6.1328125" style="766" customWidth="1"/>
    <col min="10278" max="10278" width="7.59765625" style="766" customWidth="1"/>
    <col min="10279" max="10279" width="10.265625" style="766" customWidth="1"/>
    <col min="10280" max="10508" width="9.1328125" style="766"/>
    <col min="10509" max="10509" width="2" style="766" customWidth="1"/>
    <col min="10510" max="10510" width="25.73046875" style="766" customWidth="1"/>
    <col min="10511" max="10528" width="9.73046875" style="766" customWidth="1"/>
    <col min="10529" max="10530" width="12.1328125" style="766" customWidth="1"/>
    <col min="10531" max="10531" width="8.73046875" style="766" customWidth="1"/>
    <col min="10532" max="10532" width="9" style="766" customWidth="1"/>
    <col min="10533" max="10533" width="6.1328125" style="766" customWidth="1"/>
    <col min="10534" max="10534" width="7.59765625" style="766" customWidth="1"/>
    <col min="10535" max="10535" width="10.265625" style="766" customWidth="1"/>
    <col min="10536" max="10764" width="9.1328125" style="766"/>
    <col min="10765" max="10765" width="2" style="766" customWidth="1"/>
    <col min="10766" max="10766" width="25.73046875" style="766" customWidth="1"/>
    <col min="10767" max="10784" width="9.73046875" style="766" customWidth="1"/>
    <col min="10785" max="10786" width="12.1328125" style="766" customWidth="1"/>
    <col min="10787" max="10787" width="8.73046875" style="766" customWidth="1"/>
    <col min="10788" max="10788" width="9" style="766" customWidth="1"/>
    <col min="10789" max="10789" width="6.1328125" style="766" customWidth="1"/>
    <col min="10790" max="10790" width="7.59765625" style="766" customWidth="1"/>
    <col min="10791" max="10791" width="10.265625" style="766" customWidth="1"/>
    <col min="10792" max="11020" width="9.1328125" style="766"/>
    <col min="11021" max="11021" width="2" style="766" customWidth="1"/>
    <col min="11022" max="11022" width="25.73046875" style="766" customWidth="1"/>
    <col min="11023" max="11040" width="9.73046875" style="766" customWidth="1"/>
    <col min="11041" max="11042" width="12.1328125" style="766" customWidth="1"/>
    <col min="11043" max="11043" width="8.73046875" style="766" customWidth="1"/>
    <col min="11044" max="11044" width="9" style="766" customWidth="1"/>
    <col min="11045" max="11045" width="6.1328125" style="766" customWidth="1"/>
    <col min="11046" max="11046" width="7.59765625" style="766" customWidth="1"/>
    <col min="11047" max="11047" width="10.265625" style="766" customWidth="1"/>
    <col min="11048" max="11276" width="9.1328125" style="766"/>
    <col min="11277" max="11277" width="2" style="766" customWidth="1"/>
    <col min="11278" max="11278" width="25.73046875" style="766" customWidth="1"/>
    <col min="11279" max="11296" width="9.73046875" style="766" customWidth="1"/>
    <col min="11297" max="11298" width="12.1328125" style="766" customWidth="1"/>
    <col min="11299" max="11299" width="8.73046875" style="766" customWidth="1"/>
    <col min="11300" max="11300" width="9" style="766" customWidth="1"/>
    <col min="11301" max="11301" width="6.1328125" style="766" customWidth="1"/>
    <col min="11302" max="11302" width="7.59765625" style="766" customWidth="1"/>
    <col min="11303" max="11303" width="10.265625" style="766" customWidth="1"/>
    <col min="11304" max="11532" width="9.1328125" style="766"/>
    <col min="11533" max="11533" width="2" style="766" customWidth="1"/>
    <col min="11534" max="11534" width="25.73046875" style="766" customWidth="1"/>
    <col min="11535" max="11552" width="9.73046875" style="766" customWidth="1"/>
    <col min="11553" max="11554" width="12.1328125" style="766" customWidth="1"/>
    <col min="11555" max="11555" width="8.73046875" style="766" customWidth="1"/>
    <col min="11556" max="11556" width="9" style="766" customWidth="1"/>
    <col min="11557" max="11557" width="6.1328125" style="766" customWidth="1"/>
    <col min="11558" max="11558" width="7.59765625" style="766" customWidth="1"/>
    <col min="11559" max="11559" width="10.265625" style="766" customWidth="1"/>
    <col min="11560" max="11788" width="9.1328125" style="766"/>
    <col min="11789" max="11789" width="2" style="766" customWidth="1"/>
    <col min="11790" max="11790" width="25.73046875" style="766" customWidth="1"/>
    <col min="11791" max="11808" width="9.73046875" style="766" customWidth="1"/>
    <col min="11809" max="11810" width="12.1328125" style="766" customWidth="1"/>
    <col min="11811" max="11811" width="8.73046875" style="766" customWidth="1"/>
    <col min="11812" max="11812" width="9" style="766" customWidth="1"/>
    <col min="11813" max="11813" width="6.1328125" style="766" customWidth="1"/>
    <col min="11814" max="11814" width="7.59765625" style="766" customWidth="1"/>
    <col min="11815" max="11815" width="10.265625" style="766" customWidth="1"/>
    <col min="11816" max="12044" width="9.1328125" style="766"/>
    <col min="12045" max="12045" width="2" style="766" customWidth="1"/>
    <col min="12046" max="12046" width="25.73046875" style="766" customWidth="1"/>
    <col min="12047" max="12064" width="9.73046875" style="766" customWidth="1"/>
    <col min="12065" max="12066" width="12.1328125" style="766" customWidth="1"/>
    <col min="12067" max="12067" width="8.73046875" style="766" customWidth="1"/>
    <col min="12068" max="12068" width="9" style="766" customWidth="1"/>
    <col min="12069" max="12069" width="6.1328125" style="766" customWidth="1"/>
    <col min="12070" max="12070" width="7.59765625" style="766" customWidth="1"/>
    <col min="12071" max="12071" width="10.265625" style="766" customWidth="1"/>
    <col min="12072" max="12300" width="9.1328125" style="766"/>
    <col min="12301" max="12301" width="2" style="766" customWidth="1"/>
    <col min="12302" max="12302" width="25.73046875" style="766" customWidth="1"/>
    <col min="12303" max="12320" width="9.73046875" style="766" customWidth="1"/>
    <col min="12321" max="12322" width="12.1328125" style="766" customWidth="1"/>
    <col min="12323" max="12323" width="8.73046875" style="766" customWidth="1"/>
    <col min="12324" max="12324" width="9" style="766" customWidth="1"/>
    <col min="12325" max="12325" width="6.1328125" style="766" customWidth="1"/>
    <col min="12326" max="12326" width="7.59765625" style="766" customWidth="1"/>
    <col min="12327" max="12327" width="10.265625" style="766" customWidth="1"/>
    <col min="12328" max="12556" width="9.1328125" style="766"/>
    <col min="12557" max="12557" width="2" style="766" customWidth="1"/>
    <col min="12558" max="12558" width="25.73046875" style="766" customWidth="1"/>
    <col min="12559" max="12576" width="9.73046875" style="766" customWidth="1"/>
    <col min="12577" max="12578" width="12.1328125" style="766" customWidth="1"/>
    <col min="12579" max="12579" width="8.73046875" style="766" customWidth="1"/>
    <col min="12580" max="12580" width="9" style="766" customWidth="1"/>
    <col min="12581" max="12581" width="6.1328125" style="766" customWidth="1"/>
    <col min="12582" max="12582" width="7.59765625" style="766" customWidth="1"/>
    <col min="12583" max="12583" width="10.265625" style="766" customWidth="1"/>
    <col min="12584" max="12812" width="9.1328125" style="766"/>
    <col min="12813" max="12813" width="2" style="766" customWidth="1"/>
    <col min="12814" max="12814" width="25.73046875" style="766" customWidth="1"/>
    <col min="12815" max="12832" width="9.73046875" style="766" customWidth="1"/>
    <col min="12833" max="12834" width="12.1328125" style="766" customWidth="1"/>
    <col min="12835" max="12835" width="8.73046875" style="766" customWidth="1"/>
    <col min="12836" max="12836" width="9" style="766" customWidth="1"/>
    <col min="12837" max="12837" width="6.1328125" style="766" customWidth="1"/>
    <col min="12838" max="12838" width="7.59765625" style="766" customWidth="1"/>
    <col min="12839" max="12839" width="10.265625" style="766" customWidth="1"/>
    <col min="12840" max="13068" width="9.1328125" style="766"/>
    <col min="13069" max="13069" width="2" style="766" customWidth="1"/>
    <col min="13070" max="13070" width="25.73046875" style="766" customWidth="1"/>
    <col min="13071" max="13088" width="9.73046875" style="766" customWidth="1"/>
    <col min="13089" max="13090" width="12.1328125" style="766" customWidth="1"/>
    <col min="13091" max="13091" width="8.73046875" style="766" customWidth="1"/>
    <col min="13092" max="13092" width="9" style="766" customWidth="1"/>
    <col min="13093" max="13093" width="6.1328125" style="766" customWidth="1"/>
    <col min="13094" max="13094" width="7.59765625" style="766" customWidth="1"/>
    <col min="13095" max="13095" width="10.265625" style="766" customWidth="1"/>
    <col min="13096" max="13324" width="9.1328125" style="766"/>
    <col min="13325" max="13325" width="2" style="766" customWidth="1"/>
    <col min="13326" max="13326" width="25.73046875" style="766" customWidth="1"/>
    <col min="13327" max="13344" width="9.73046875" style="766" customWidth="1"/>
    <col min="13345" max="13346" width="12.1328125" style="766" customWidth="1"/>
    <col min="13347" max="13347" width="8.73046875" style="766" customWidth="1"/>
    <col min="13348" max="13348" width="9" style="766" customWidth="1"/>
    <col min="13349" max="13349" width="6.1328125" style="766" customWidth="1"/>
    <col min="13350" max="13350" width="7.59765625" style="766" customWidth="1"/>
    <col min="13351" max="13351" width="10.265625" style="766" customWidth="1"/>
    <col min="13352" max="13580" width="9.1328125" style="766"/>
    <col min="13581" max="13581" width="2" style="766" customWidth="1"/>
    <col min="13582" max="13582" width="25.73046875" style="766" customWidth="1"/>
    <col min="13583" max="13600" width="9.73046875" style="766" customWidth="1"/>
    <col min="13601" max="13602" width="12.1328125" style="766" customWidth="1"/>
    <col min="13603" max="13603" width="8.73046875" style="766" customWidth="1"/>
    <col min="13604" max="13604" width="9" style="766" customWidth="1"/>
    <col min="13605" max="13605" width="6.1328125" style="766" customWidth="1"/>
    <col min="13606" max="13606" width="7.59765625" style="766" customWidth="1"/>
    <col min="13607" max="13607" width="10.265625" style="766" customWidth="1"/>
    <col min="13608" max="13836" width="9.1328125" style="766"/>
    <col min="13837" max="13837" width="2" style="766" customWidth="1"/>
    <col min="13838" max="13838" width="25.73046875" style="766" customWidth="1"/>
    <col min="13839" max="13856" width="9.73046875" style="766" customWidth="1"/>
    <col min="13857" max="13858" width="12.1328125" style="766" customWidth="1"/>
    <col min="13859" max="13859" width="8.73046875" style="766" customWidth="1"/>
    <col min="13860" max="13860" width="9" style="766" customWidth="1"/>
    <col min="13861" max="13861" width="6.1328125" style="766" customWidth="1"/>
    <col min="13862" max="13862" width="7.59765625" style="766" customWidth="1"/>
    <col min="13863" max="13863" width="10.265625" style="766" customWidth="1"/>
    <col min="13864" max="14092" width="9.1328125" style="766"/>
    <col min="14093" max="14093" width="2" style="766" customWidth="1"/>
    <col min="14094" max="14094" width="25.73046875" style="766" customWidth="1"/>
    <col min="14095" max="14112" width="9.73046875" style="766" customWidth="1"/>
    <col min="14113" max="14114" width="12.1328125" style="766" customWidth="1"/>
    <col min="14115" max="14115" width="8.73046875" style="766" customWidth="1"/>
    <col min="14116" max="14116" width="9" style="766" customWidth="1"/>
    <col min="14117" max="14117" width="6.1328125" style="766" customWidth="1"/>
    <col min="14118" max="14118" width="7.59765625" style="766" customWidth="1"/>
    <col min="14119" max="14119" width="10.265625" style="766" customWidth="1"/>
    <col min="14120" max="14348" width="9.1328125" style="766"/>
    <col min="14349" max="14349" width="2" style="766" customWidth="1"/>
    <col min="14350" max="14350" width="25.73046875" style="766" customWidth="1"/>
    <col min="14351" max="14368" width="9.73046875" style="766" customWidth="1"/>
    <col min="14369" max="14370" width="12.1328125" style="766" customWidth="1"/>
    <col min="14371" max="14371" width="8.73046875" style="766" customWidth="1"/>
    <col min="14372" max="14372" width="9" style="766" customWidth="1"/>
    <col min="14373" max="14373" width="6.1328125" style="766" customWidth="1"/>
    <col min="14374" max="14374" width="7.59765625" style="766" customWidth="1"/>
    <col min="14375" max="14375" width="10.265625" style="766" customWidth="1"/>
    <col min="14376" max="14604" width="9.1328125" style="766"/>
    <col min="14605" max="14605" width="2" style="766" customWidth="1"/>
    <col min="14606" max="14606" width="25.73046875" style="766" customWidth="1"/>
    <col min="14607" max="14624" width="9.73046875" style="766" customWidth="1"/>
    <col min="14625" max="14626" width="12.1328125" style="766" customWidth="1"/>
    <col min="14627" max="14627" width="8.73046875" style="766" customWidth="1"/>
    <col min="14628" max="14628" width="9" style="766" customWidth="1"/>
    <col min="14629" max="14629" width="6.1328125" style="766" customWidth="1"/>
    <col min="14630" max="14630" width="7.59765625" style="766" customWidth="1"/>
    <col min="14631" max="14631" width="10.265625" style="766" customWidth="1"/>
    <col min="14632" max="14860" width="9.1328125" style="766"/>
    <col min="14861" max="14861" width="2" style="766" customWidth="1"/>
    <col min="14862" max="14862" width="25.73046875" style="766" customWidth="1"/>
    <col min="14863" max="14880" width="9.73046875" style="766" customWidth="1"/>
    <col min="14881" max="14882" width="12.1328125" style="766" customWidth="1"/>
    <col min="14883" max="14883" width="8.73046875" style="766" customWidth="1"/>
    <col min="14884" max="14884" width="9" style="766" customWidth="1"/>
    <col min="14885" max="14885" width="6.1328125" style="766" customWidth="1"/>
    <col min="14886" max="14886" width="7.59765625" style="766" customWidth="1"/>
    <col min="14887" max="14887" width="10.265625" style="766" customWidth="1"/>
    <col min="14888" max="15116" width="9.1328125" style="766"/>
    <col min="15117" max="15117" width="2" style="766" customWidth="1"/>
    <col min="15118" max="15118" width="25.73046875" style="766" customWidth="1"/>
    <col min="15119" max="15136" width="9.73046875" style="766" customWidth="1"/>
    <col min="15137" max="15138" width="12.1328125" style="766" customWidth="1"/>
    <col min="15139" max="15139" width="8.73046875" style="766" customWidth="1"/>
    <col min="15140" max="15140" width="9" style="766" customWidth="1"/>
    <col min="15141" max="15141" width="6.1328125" style="766" customWidth="1"/>
    <col min="15142" max="15142" width="7.59765625" style="766" customWidth="1"/>
    <col min="15143" max="15143" width="10.265625" style="766" customWidth="1"/>
    <col min="15144" max="15372" width="9.1328125" style="766"/>
    <col min="15373" max="15373" width="2" style="766" customWidth="1"/>
    <col min="15374" max="15374" width="25.73046875" style="766" customWidth="1"/>
    <col min="15375" max="15392" width="9.73046875" style="766" customWidth="1"/>
    <col min="15393" max="15394" width="12.1328125" style="766" customWidth="1"/>
    <col min="15395" max="15395" width="8.73046875" style="766" customWidth="1"/>
    <col min="15396" max="15396" width="9" style="766" customWidth="1"/>
    <col min="15397" max="15397" width="6.1328125" style="766" customWidth="1"/>
    <col min="15398" max="15398" width="7.59765625" style="766" customWidth="1"/>
    <col min="15399" max="15399" width="10.265625" style="766" customWidth="1"/>
    <col min="15400" max="15628" width="9.1328125" style="766"/>
    <col min="15629" max="15629" width="2" style="766" customWidth="1"/>
    <col min="15630" max="15630" width="25.73046875" style="766" customWidth="1"/>
    <col min="15631" max="15648" width="9.73046875" style="766" customWidth="1"/>
    <col min="15649" max="15650" width="12.1328125" style="766" customWidth="1"/>
    <col min="15651" max="15651" width="8.73046875" style="766" customWidth="1"/>
    <col min="15652" max="15652" width="9" style="766" customWidth="1"/>
    <col min="15653" max="15653" width="6.1328125" style="766" customWidth="1"/>
    <col min="15654" max="15654" width="7.59765625" style="766" customWidth="1"/>
    <col min="15655" max="15655" width="10.265625" style="766" customWidth="1"/>
    <col min="15656" max="15884" width="9.1328125" style="766"/>
    <col min="15885" max="15885" width="2" style="766" customWidth="1"/>
    <col min="15886" max="15886" width="25.73046875" style="766" customWidth="1"/>
    <col min="15887" max="15904" width="9.73046875" style="766" customWidth="1"/>
    <col min="15905" max="15906" width="12.1328125" style="766" customWidth="1"/>
    <col min="15907" max="15907" width="8.73046875" style="766" customWidth="1"/>
    <col min="15908" max="15908" width="9" style="766" customWidth="1"/>
    <col min="15909" max="15909" width="6.1328125" style="766" customWidth="1"/>
    <col min="15910" max="15910" width="7.59765625" style="766" customWidth="1"/>
    <col min="15911" max="15911" width="10.265625" style="766" customWidth="1"/>
    <col min="15912" max="16140" width="9.1328125" style="766"/>
    <col min="16141" max="16141" width="2" style="766" customWidth="1"/>
    <col min="16142" max="16142" width="25.73046875" style="766" customWidth="1"/>
    <col min="16143" max="16160" width="9.73046875" style="766" customWidth="1"/>
    <col min="16161" max="16162" width="12.1328125" style="766" customWidth="1"/>
    <col min="16163" max="16163" width="8.73046875" style="766" customWidth="1"/>
    <col min="16164" max="16164" width="9" style="766" customWidth="1"/>
    <col min="16165" max="16165" width="6.1328125" style="766" customWidth="1"/>
    <col min="16166" max="16166" width="7.59765625" style="766" customWidth="1"/>
    <col min="16167" max="16167" width="10.265625" style="766" customWidth="1"/>
    <col min="16168" max="16384" width="9.1328125" style="766"/>
  </cols>
  <sheetData>
    <row r="1" spans="1:37" s="754" customFormat="1" x14ac:dyDescent="0.4">
      <c r="A1" s="900"/>
      <c r="B1" s="900"/>
      <c r="C1" s="900"/>
      <c r="D1" s="900"/>
      <c r="E1" s="900"/>
      <c r="F1" s="900"/>
      <c r="G1" s="900"/>
      <c r="H1" s="900"/>
      <c r="I1" s="900"/>
      <c r="J1" s="900"/>
      <c r="K1" s="900"/>
      <c r="L1" s="900"/>
      <c r="M1" s="983"/>
      <c r="N1" s="911"/>
      <c r="O1" s="911"/>
      <c r="P1" s="911"/>
      <c r="Q1" s="911"/>
      <c r="R1" s="911"/>
      <c r="S1" s="911"/>
      <c r="T1" s="911"/>
      <c r="U1" s="911"/>
      <c r="V1" s="911"/>
      <c r="W1" s="911"/>
      <c r="X1" s="911"/>
      <c r="Y1" s="911"/>
      <c r="Z1" s="911"/>
      <c r="AA1" s="911"/>
      <c r="AB1" s="911"/>
      <c r="AC1" s="911"/>
      <c r="AD1" s="911"/>
      <c r="AE1" s="911"/>
      <c r="AF1" s="911"/>
      <c r="AG1" s="911"/>
      <c r="AH1" s="911"/>
      <c r="AI1" s="911"/>
      <c r="AJ1" s="911"/>
      <c r="AK1" s="911"/>
    </row>
    <row r="2" spans="1:37" s="754" customFormat="1" ht="18.75" customHeight="1" x14ac:dyDescent="0.55000000000000004">
      <c r="A2" s="900"/>
      <c r="B2" s="902" t="s">
        <v>1701</v>
      </c>
      <c r="C2" s="901"/>
      <c r="D2" s="901"/>
      <c r="E2" s="901"/>
      <c r="F2" s="901"/>
      <c r="G2" s="901"/>
      <c r="H2" s="901"/>
      <c r="I2" s="901"/>
      <c r="J2" s="901"/>
      <c r="K2" s="901"/>
      <c r="L2" s="901"/>
      <c r="M2" s="983"/>
      <c r="N2" s="912"/>
      <c r="O2" s="911"/>
      <c r="P2" s="911"/>
      <c r="Q2" s="911"/>
      <c r="R2" s="911"/>
      <c r="S2" s="911"/>
      <c r="T2" s="911"/>
      <c r="U2" s="911"/>
      <c r="V2" s="911"/>
      <c r="W2" s="911"/>
      <c r="X2" s="911"/>
      <c r="Y2" s="911"/>
      <c r="Z2" s="911"/>
      <c r="AA2" s="913"/>
      <c r="AB2" s="914"/>
      <c r="AC2" s="914"/>
      <c r="AD2" s="914"/>
      <c r="AE2" s="914"/>
      <c r="AF2" s="914"/>
      <c r="AG2" s="913"/>
      <c r="AH2" s="913"/>
      <c r="AI2" s="913"/>
      <c r="AJ2" s="911"/>
      <c r="AK2" s="911"/>
    </row>
    <row r="3" spans="1:37" s="754" customFormat="1" ht="36.75" customHeight="1" x14ac:dyDescent="0.45">
      <c r="A3" s="900"/>
      <c r="B3" s="901"/>
      <c r="C3" s="901"/>
      <c r="D3" s="901"/>
      <c r="E3" s="901"/>
      <c r="F3" s="901"/>
      <c r="G3" s="901"/>
      <c r="H3" s="901"/>
      <c r="I3" s="901"/>
      <c r="J3" s="901"/>
      <c r="K3" s="901"/>
      <c r="L3" s="901"/>
      <c r="M3" s="983"/>
      <c r="N3" s="925"/>
      <c r="O3" s="911"/>
      <c r="P3" s="911"/>
      <c r="Q3" s="911"/>
      <c r="R3" s="911"/>
      <c r="S3" s="911"/>
      <c r="T3" s="911"/>
      <c r="U3" s="911"/>
      <c r="V3" s="911"/>
      <c r="W3" s="911"/>
      <c r="X3" s="911"/>
      <c r="Y3" s="911"/>
      <c r="Z3" s="911"/>
      <c r="AA3" s="913"/>
      <c r="AB3" s="914"/>
      <c r="AC3" s="914"/>
      <c r="AD3" s="914"/>
      <c r="AE3" s="914"/>
      <c r="AF3" s="914"/>
      <c r="AG3" s="913"/>
      <c r="AH3" s="913"/>
      <c r="AI3" s="913"/>
      <c r="AJ3" s="911"/>
      <c r="AK3" s="911"/>
    </row>
    <row r="4" spans="1:37" s="754" customFormat="1" ht="22.5" customHeight="1" x14ac:dyDescent="0.45">
      <c r="A4" s="900"/>
      <c r="B4" s="901"/>
      <c r="C4" s="901"/>
      <c r="D4" s="901"/>
      <c r="E4" s="901"/>
      <c r="F4" s="901"/>
      <c r="G4" s="901"/>
      <c r="H4" s="901"/>
      <c r="I4" s="901"/>
      <c r="J4" s="901"/>
      <c r="K4" s="901"/>
      <c r="L4" s="901"/>
      <c r="M4" s="983"/>
      <c r="N4" s="915"/>
      <c r="O4" s="914"/>
      <c r="P4" s="914"/>
      <c r="Q4" s="914"/>
      <c r="R4" s="914"/>
      <c r="S4" s="914"/>
      <c r="T4" s="914"/>
      <c r="U4" s="914"/>
      <c r="V4" s="914"/>
      <c r="W4" s="914"/>
      <c r="X4" s="914"/>
      <c r="Y4" s="914"/>
      <c r="Z4" s="914"/>
      <c r="AA4" s="916"/>
      <c r="AB4" s="917"/>
      <c r="AC4" s="917"/>
      <c r="AD4" s="917"/>
      <c r="AE4" s="917"/>
      <c r="AF4" s="917"/>
      <c r="AG4" s="913"/>
      <c r="AH4" s="913"/>
      <c r="AI4" s="913"/>
      <c r="AJ4" s="911"/>
      <c r="AK4" s="911"/>
    </row>
    <row r="5" spans="1:37" s="754" customFormat="1" ht="22.5" customHeight="1" x14ac:dyDescent="0.45">
      <c r="A5" s="900"/>
      <c r="B5" s="900"/>
      <c r="C5" s="900"/>
      <c r="D5" s="900"/>
      <c r="E5" s="900"/>
      <c r="F5" s="900"/>
      <c r="G5" s="900"/>
      <c r="H5" s="900"/>
      <c r="I5" s="900"/>
      <c r="J5" s="901"/>
      <c r="K5" s="901"/>
      <c r="L5" s="901"/>
      <c r="M5" s="983"/>
      <c r="N5" s="915"/>
      <c r="O5" s="914"/>
      <c r="P5" s="914"/>
      <c r="Q5" s="914"/>
      <c r="R5" s="914"/>
      <c r="S5" s="914"/>
      <c r="T5" s="914"/>
      <c r="U5" s="914"/>
      <c r="V5" s="914"/>
      <c r="W5" s="914"/>
      <c r="X5" s="914"/>
      <c r="Y5" s="914"/>
      <c r="Z5" s="914"/>
      <c r="AA5" s="916"/>
      <c r="AB5" s="918"/>
      <c r="AC5" s="918"/>
      <c r="AD5" s="918"/>
      <c r="AE5" s="918"/>
      <c r="AF5" s="918"/>
      <c r="AG5" s="913"/>
      <c r="AH5" s="913"/>
      <c r="AI5" s="913"/>
      <c r="AJ5" s="911"/>
      <c r="AK5" s="911"/>
    </row>
    <row r="6" spans="1:37" s="754" customFormat="1" ht="22.5" customHeight="1" x14ac:dyDescent="0.45">
      <c r="A6" s="900"/>
      <c r="B6" s="900"/>
      <c r="C6" s="900"/>
      <c r="D6" s="900"/>
      <c r="E6" s="900"/>
      <c r="F6" s="900"/>
      <c r="G6" s="900"/>
      <c r="H6" s="900"/>
      <c r="I6" s="900"/>
      <c r="J6" s="901"/>
      <c r="K6" s="901"/>
      <c r="L6" s="901"/>
      <c r="M6" s="983"/>
      <c r="N6" s="915"/>
      <c r="O6" s="914"/>
      <c r="P6" s="914"/>
      <c r="Q6" s="914"/>
      <c r="R6" s="914"/>
      <c r="S6" s="914"/>
      <c r="T6" s="914"/>
      <c r="U6" s="914"/>
      <c r="V6" s="914"/>
      <c r="W6" s="914"/>
      <c r="X6" s="914"/>
      <c r="Y6" s="914"/>
      <c r="Z6" s="914"/>
      <c r="AA6" s="916"/>
      <c r="AB6" s="918"/>
      <c r="AC6" s="918"/>
      <c r="AD6" s="918"/>
      <c r="AE6" s="918"/>
      <c r="AF6" s="918"/>
      <c r="AG6" s="913"/>
      <c r="AH6" s="913"/>
      <c r="AI6" s="913"/>
      <c r="AJ6" s="911"/>
      <c r="AK6" s="911"/>
    </row>
    <row r="7" spans="1:37" s="754" customFormat="1" ht="22.5" customHeight="1" x14ac:dyDescent="0.45">
      <c r="A7" s="900"/>
      <c r="B7" s="900"/>
      <c r="C7" s="900"/>
      <c r="D7" s="900"/>
      <c r="E7" s="900"/>
      <c r="F7" s="900"/>
      <c r="G7" s="900"/>
      <c r="H7" s="900"/>
      <c r="I7" s="900"/>
      <c r="J7" s="901"/>
      <c r="K7" s="901"/>
      <c r="L7" s="901"/>
      <c r="M7" s="983"/>
      <c r="N7" s="915"/>
      <c r="O7" s="914"/>
      <c r="P7" s="914"/>
      <c r="Q7" s="914"/>
      <c r="R7" s="914"/>
      <c r="S7" s="914"/>
      <c r="T7" s="914"/>
      <c r="U7" s="914"/>
      <c r="V7" s="914"/>
      <c r="W7" s="914"/>
      <c r="X7" s="914"/>
      <c r="Y7" s="914"/>
      <c r="Z7" s="914"/>
      <c r="AA7" s="916"/>
      <c r="AB7" s="918"/>
      <c r="AC7" s="918"/>
      <c r="AD7" s="918"/>
      <c r="AE7" s="918"/>
      <c r="AF7" s="918"/>
      <c r="AG7" s="913"/>
      <c r="AH7" s="913"/>
      <c r="AI7" s="913"/>
      <c r="AJ7" s="911"/>
      <c r="AK7" s="911"/>
    </row>
    <row r="8" spans="1:37" s="754" customFormat="1" ht="22.5" customHeight="1" x14ac:dyDescent="0.45">
      <c r="A8" s="900"/>
      <c r="B8" s="900"/>
      <c r="C8" s="900"/>
      <c r="D8" s="900"/>
      <c r="E8" s="900"/>
      <c r="F8" s="900"/>
      <c r="G8" s="900"/>
      <c r="H8" s="900"/>
      <c r="I8" s="900"/>
      <c r="J8" s="901"/>
      <c r="K8" s="901"/>
      <c r="L8" s="901"/>
      <c r="M8" s="983"/>
      <c r="N8" s="915"/>
      <c r="O8" s="914"/>
      <c r="P8" s="914"/>
      <c r="Q8" s="914"/>
      <c r="R8" s="914"/>
      <c r="S8" s="914"/>
      <c r="T8" s="914"/>
      <c r="U8" s="914"/>
      <c r="V8" s="914"/>
      <c r="W8" s="914"/>
      <c r="X8" s="914"/>
      <c r="Y8" s="914"/>
      <c r="Z8" s="914"/>
      <c r="AA8" s="916"/>
      <c r="AB8" s="918"/>
      <c r="AC8" s="918"/>
      <c r="AD8" s="918"/>
      <c r="AE8" s="918"/>
      <c r="AF8" s="918"/>
      <c r="AG8" s="913"/>
      <c r="AH8" s="913"/>
      <c r="AI8" s="913"/>
      <c r="AJ8" s="911"/>
      <c r="AK8" s="911"/>
    </row>
    <row r="9" spans="1:37" s="754" customFormat="1" ht="22.5" customHeight="1" x14ac:dyDescent="0.55000000000000004">
      <c r="A9" s="900"/>
      <c r="B9" s="905" t="s">
        <v>1836</v>
      </c>
      <c r="C9" s="1200" t="s">
        <v>1848</v>
      </c>
      <c r="D9" s="901"/>
      <c r="E9" s="901"/>
      <c r="F9" s="901"/>
      <c r="G9" s="901"/>
      <c r="H9" s="901"/>
      <c r="I9" s="901"/>
      <c r="J9" s="901"/>
      <c r="K9" s="901"/>
      <c r="L9" s="901"/>
      <c r="M9" s="983"/>
      <c r="N9" s="925" t="s">
        <v>1887</v>
      </c>
      <c r="O9" s="914"/>
      <c r="P9" s="914"/>
      <c r="Q9" s="914"/>
      <c r="R9" s="914"/>
      <c r="S9" s="914"/>
      <c r="T9" s="914"/>
      <c r="U9" s="914"/>
      <c r="V9" s="914"/>
      <c r="W9" s="914"/>
      <c r="X9" s="914"/>
      <c r="Y9" s="914"/>
      <c r="Z9" s="914"/>
      <c r="AA9" s="916"/>
      <c r="AB9" s="918"/>
      <c r="AC9" s="918"/>
      <c r="AD9" s="918"/>
      <c r="AE9" s="918"/>
      <c r="AF9" s="918"/>
      <c r="AG9" s="913"/>
      <c r="AH9" s="913"/>
      <c r="AI9" s="913"/>
      <c r="AJ9" s="911"/>
      <c r="AK9" s="911"/>
    </row>
    <row r="10" spans="1:37" s="754" customFormat="1" ht="22.5" customHeight="1" x14ac:dyDescent="0.45">
      <c r="A10" s="900"/>
      <c r="B10" s="905"/>
      <c r="C10" s="901"/>
      <c r="D10" s="901"/>
      <c r="E10" s="901"/>
      <c r="F10" s="901"/>
      <c r="G10" s="901"/>
      <c r="H10" s="901"/>
      <c r="I10" s="901"/>
      <c r="J10" s="901"/>
      <c r="K10" s="901"/>
      <c r="L10" s="901"/>
      <c r="M10" s="983"/>
      <c r="N10" s="949" t="s">
        <v>1847</v>
      </c>
      <c r="O10" s="949" t="s">
        <v>1888</v>
      </c>
      <c r="P10" s="914"/>
      <c r="Q10" s="914"/>
      <c r="R10" s="914"/>
      <c r="S10" s="914"/>
      <c r="T10" s="914"/>
      <c r="U10" s="914"/>
      <c r="V10" s="914"/>
      <c r="W10" s="914"/>
      <c r="X10" s="914"/>
      <c r="Y10" s="914"/>
      <c r="Z10" s="914"/>
      <c r="AA10" s="916"/>
      <c r="AB10" s="918"/>
      <c r="AC10" s="918"/>
      <c r="AD10" s="918"/>
      <c r="AE10" s="918"/>
      <c r="AF10" s="918"/>
      <c r="AG10" s="913"/>
      <c r="AH10" s="913"/>
      <c r="AI10" s="913"/>
      <c r="AJ10" s="911"/>
      <c r="AK10" s="911"/>
    </row>
    <row r="11" spans="1:37" s="754" customFormat="1" ht="22.5" customHeight="1" x14ac:dyDescent="0.45">
      <c r="A11" s="900"/>
      <c r="B11" s="901"/>
      <c r="C11" s="901"/>
      <c r="D11" s="901"/>
      <c r="E11" s="901"/>
      <c r="F11" s="901"/>
      <c r="G11" s="901"/>
      <c r="H11" s="901"/>
      <c r="I11" s="901"/>
      <c r="J11" s="901"/>
      <c r="K11" s="901"/>
      <c r="L11" s="901"/>
      <c r="M11" s="983"/>
      <c r="N11" s="950" t="s">
        <v>591</v>
      </c>
      <c r="O11" s="2169">
        <f>'00 Summary'!V24</f>
        <v>10.567739756779782</v>
      </c>
      <c r="P11" s="914"/>
      <c r="Q11" s="914"/>
      <c r="R11" s="914"/>
      <c r="S11" s="914"/>
      <c r="T11" s="914"/>
      <c r="U11" s="914"/>
      <c r="V11" s="914"/>
      <c r="W11" s="914"/>
      <c r="X11" s="914"/>
      <c r="Y11" s="914"/>
      <c r="Z11" s="914"/>
      <c r="AA11" s="916"/>
      <c r="AB11" s="918"/>
      <c r="AC11" s="918"/>
      <c r="AD11" s="918"/>
      <c r="AE11" s="918"/>
      <c r="AF11" s="918"/>
      <c r="AG11" s="913"/>
      <c r="AH11" s="913"/>
      <c r="AI11" s="913"/>
      <c r="AJ11" s="911"/>
      <c r="AK11" s="911"/>
    </row>
    <row r="12" spans="1:37" s="754" customFormat="1" ht="22.5" customHeight="1" x14ac:dyDescent="0.45">
      <c r="A12" s="900"/>
      <c r="B12" s="900"/>
      <c r="C12" s="901"/>
      <c r="D12" s="901"/>
      <c r="E12" s="901"/>
      <c r="F12" s="901"/>
      <c r="G12" s="901"/>
      <c r="H12" s="901"/>
      <c r="I12" s="901"/>
      <c r="J12" s="901"/>
      <c r="K12" s="901"/>
      <c r="L12" s="901"/>
      <c r="M12" s="983"/>
      <c r="N12" s="950" t="s">
        <v>1846</v>
      </c>
      <c r="O12" s="2169">
        <f>'00 Summary'!V35</f>
        <v>10.419463682626466</v>
      </c>
      <c r="P12" s="914"/>
      <c r="Q12" s="914"/>
      <c r="R12" s="914"/>
      <c r="S12" s="914"/>
      <c r="T12" s="914"/>
      <c r="U12" s="914"/>
      <c r="V12" s="914"/>
      <c r="W12" s="914"/>
      <c r="X12" s="914"/>
      <c r="Y12" s="914"/>
      <c r="Z12" s="914"/>
      <c r="AA12" s="916"/>
      <c r="AB12" s="918"/>
      <c r="AC12" s="918"/>
      <c r="AD12" s="918"/>
      <c r="AE12" s="918"/>
      <c r="AF12" s="918"/>
      <c r="AG12" s="913"/>
      <c r="AH12" s="913"/>
      <c r="AI12" s="913"/>
      <c r="AJ12" s="911"/>
      <c r="AK12" s="911"/>
    </row>
    <row r="13" spans="1:37" s="754" customFormat="1" ht="22.5" customHeight="1" x14ac:dyDescent="0.45">
      <c r="A13" s="900"/>
      <c r="B13" s="900"/>
      <c r="C13" s="901"/>
      <c r="D13" s="901"/>
      <c r="E13" s="901"/>
      <c r="F13" s="901"/>
      <c r="G13" s="901"/>
      <c r="H13" s="901"/>
      <c r="I13" s="901"/>
      <c r="J13" s="901"/>
      <c r="K13" s="901"/>
      <c r="L13" s="901"/>
      <c r="M13" s="983"/>
      <c r="N13" s="950" t="s">
        <v>570</v>
      </c>
      <c r="O13" s="2169">
        <f>'00 Summary'!V46</f>
        <v>8.10938324344332</v>
      </c>
      <c r="P13" s="914"/>
      <c r="Q13" s="914"/>
      <c r="R13" s="914"/>
      <c r="S13" s="914"/>
      <c r="T13" s="914"/>
      <c r="U13" s="914"/>
      <c r="V13" s="914"/>
      <c r="W13" s="914"/>
      <c r="X13" s="914"/>
      <c r="Y13" s="914"/>
      <c r="Z13" s="914"/>
      <c r="AA13" s="916"/>
      <c r="AB13" s="918"/>
      <c r="AC13" s="918"/>
      <c r="AD13" s="918"/>
      <c r="AE13" s="918"/>
      <c r="AF13" s="918"/>
      <c r="AG13" s="913"/>
      <c r="AH13" s="913"/>
      <c r="AI13" s="913"/>
      <c r="AJ13" s="911"/>
      <c r="AK13" s="911"/>
    </row>
    <row r="14" spans="1:37" s="754" customFormat="1" ht="22.5" customHeight="1" x14ac:dyDescent="0.45">
      <c r="A14" s="900"/>
      <c r="B14" s="900"/>
      <c r="C14" s="901"/>
      <c r="D14" s="901"/>
      <c r="E14" s="901"/>
      <c r="F14" s="901"/>
      <c r="G14" s="901"/>
      <c r="H14" s="901"/>
      <c r="I14" s="901"/>
      <c r="J14" s="901"/>
      <c r="K14" s="901"/>
      <c r="L14" s="901"/>
      <c r="M14" s="983"/>
      <c r="N14" s="950" t="s">
        <v>192</v>
      </c>
      <c r="O14" s="2169">
        <f>'00 Summary'!V51</f>
        <v>1.825695847836674</v>
      </c>
      <c r="P14" s="914"/>
      <c r="Q14" s="914"/>
      <c r="R14" s="914"/>
      <c r="S14" s="914"/>
      <c r="T14" s="914"/>
      <c r="U14" s="914"/>
      <c r="V14" s="914"/>
      <c r="W14" s="914"/>
      <c r="X14" s="914"/>
      <c r="Y14" s="914"/>
      <c r="Z14" s="914"/>
      <c r="AA14" s="916"/>
      <c r="AB14" s="918"/>
      <c r="AC14" s="918"/>
      <c r="AD14" s="918"/>
      <c r="AE14" s="918"/>
      <c r="AF14" s="918"/>
      <c r="AG14" s="913"/>
      <c r="AH14" s="913"/>
      <c r="AI14" s="913"/>
      <c r="AJ14" s="911"/>
      <c r="AK14" s="911"/>
    </row>
    <row r="15" spans="1:37" s="754" customFormat="1" ht="22.5" customHeight="1" x14ac:dyDescent="0.45">
      <c r="A15" s="900"/>
      <c r="B15" s="900"/>
      <c r="C15" s="901"/>
      <c r="D15" s="901"/>
      <c r="E15" s="901"/>
      <c r="F15" s="901"/>
      <c r="G15" s="901"/>
      <c r="H15" s="901"/>
      <c r="I15" s="901"/>
      <c r="J15" s="901"/>
      <c r="K15" s="901"/>
      <c r="L15" s="901"/>
      <c r="M15" s="983"/>
      <c r="N15" s="950" t="s">
        <v>167</v>
      </c>
      <c r="O15" s="2169">
        <f>'00 Summary'!V58</f>
        <v>0.11915600117859715</v>
      </c>
      <c r="P15" s="914"/>
      <c r="Q15" s="914"/>
      <c r="R15" s="914"/>
      <c r="S15" s="914"/>
      <c r="T15" s="914"/>
      <c r="U15" s="914"/>
      <c r="V15" s="914"/>
      <c r="W15" s="914"/>
      <c r="X15" s="914"/>
      <c r="Y15" s="914"/>
      <c r="Z15" s="914"/>
      <c r="AA15" s="916"/>
      <c r="AB15" s="918"/>
      <c r="AC15" s="918"/>
      <c r="AD15" s="918"/>
      <c r="AE15" s="918"/>
      <c r="AF15" s="918"/>
      <c r="AG15" s="913"/>
      <c r="AH15" s="913"/>
      <c r="AI15" s="913"/>
      <c r="AJ15" s="911"/>
      <c r="AK15" s="911"/>
    </row>
    <row r="16" spans="1:37" s="754" customFormat="1" ht="22.5" customHeight="1" x14ac:dyDescent="0.45">
      <c r="A16" s="900"/>
      <c r="B16" s="900"/>
      <c r="C16" s="901"/>
      <c r="D16" s="901"/>
      <c r="E16" s="901"/>
      <c r="F16" s="901"/>
      <c r="G16" s="901"/>
      <c r="H16" s="901"/>
      <c r="I16" s="901"/>
      <c r="J16" s="901"/>
      <c r="K16" s="901"/>
      <c r="L16" s="901"/>
      <c r="M16" s="983"/>
      <c r="N16" s="950" t="s">
        <v>227</v>
      </c>
      <c r="O16" s="2169">
        <f>'00 Summary'!V65</f>
        <v>1.1669107621872001</v>
      </c>
      <c r="P16" s="914"/>
      <c r="Q16" s="914"/>
      <c r="R16" s="914"/>
      <c r="S16" s="914"/>
      <c r="T16" s="914"/>
      <c r="U16" s="914"/>
      <c r="V16" s="914"/>
      <c r="W16" s="914"/>
      <c r="X16" s="914"/>
      <c r="Y16" s="914"/>
      <c r="Z16" s="914"/>
      <c r="AA16" s="916"/>
      <c r="AB16" s="918"/>
      <c r="AC16" s="918"/>
      <c r="AD16" s="918"/>
      <c r="AE16" s="918"/>
      <c r="AF16" s="918"/>
      <c r="AG16" s="913"/>
      <c r="AH16" s="913"/>
      <c r="AI16" s="913"/>
      <c r="AJ16" s="911"/>
      <c r="AK16" s="911"/>
    </row>
    <row r="17" spans="1:37" s="754" customFormat="1" ht="22.5" customHeight="1" x14ac:dyDescent="0.45">
      <c r="A17" s="900"/>
      <c r="B17" s="900"/>
      <c r="C17" s="901"/>
      <c r="D17" s="901"/>
      <c r="E17" s="901"/>
      <c r="F17" s="901"/>
      <c r="G17" s="901"/>
      <c r="H17" s="901"/>
      <c r="I17" s="901"/>
      <c r="J17" s="901"/>
      <c r="K17" s="901"/>
      <c r="L17" s="901"/>
      <c r="M17" s="983"/>
      <c r="N17" s="915"/>
      <c r="O17" s="914"/>
      <c r="P17" s="914"/>
      <c r="Q17" s="914"/>
      <c r="R17" s="914"/>
      <c r="S17" s="914"/>
      <c r="T17" s="914"/>
      <c r="U17" s="914"/>
      <c r="V17" s="914"/>
      <c r="W17" s="914"/>
      <c r="X17" s="914"/>
      <c r="Y17" s="914"/>
      <c r="Z17" s="914"/>
      <c r="AA17" s="916"/>
      <c r="AB17" s="918"/>
      <c r="AC17" s="918"/>
      <c r="AD17" s="918"/>
      <c r="AE17" s="918"/>
      <c r="AF17" s="918"/>
      <c r="AG17" s="913"/>
      <c r="AH17" s="913"/>
      <c r="AI17" s="913"/>
      <c r="AJ17" s="911"/>
      <c r="AK17" s="911"/>
    </row>
    <row r="18" spans="1:37" s="754" customFormat="1" ht="22.5" customHeight="1" x14ac:dyDescent="0.45">
      <c r="A18" s="900"/>
      <c r="B18" s="900"/>
      <c r="C18" s="901"/>
      <c r="D18" s="901"/>
      <c r="E18" s="901"/>
      <c r="F18" s="901"/>
      <c r="G18" s="901"/>
      <c r="H18" s="901"/>
      <c r="I18" s="901"/>
      <c r="J18" s="901"/>
      <c r="K18" s="901"/>
      <c r="L18" s="901"/>
      <c r="M18" s="983"/>
      <c r="N18" s="915"/>
      <c r="O18" s="914"/>
      <c r="P18" s="914"/>
      <c r="Q18" s="914"/>
      <c r="R18" s="914"/>
      <c r="S18" s="914"/>
      <c r="T18" s="914"/>
      <c r="U18" s="914"/>
      <c r="V18" s="914"/>
      <c r="W18" s="914"/>
      <c r="X18" s="914"/>
      <c r="Y18" s="914"/>
      <c r="Z18" s="914"/>
      <c r="AA18" s="916"/>
      <c r="AB18" s="918"/>
      <c r="AC18" s="918"/>
      <c r="AD18" s="918"/>
      <c r="AE18" s="918"/>
      <c r="AF18" s="918"/>
      <c r="AG18" s="913"/>
      <c r="AH18" s="913"/>
      <c r="AI18" s="913"/>
      <c r="AJ18" s="911"/>
      <c r="AK18" s="911"/>
    </row>
    <row r="19" spans="1:37" s="754" customFormat="1" ht="22.5" customHeight="1" x14ac:dyDescent="0.45">
      <c r="A19" s="900"/>
      <c r="B19" s="900"/>
      <c r="C19" s="901"/>
      <c r="D19" s="901"/>
      <c r="E19" s="901"/>
      <c r="F19" s="901"/>
      <c r="G19" s="901"/>
      <c r="H19" s="901"/>
      <c r="I19" s="901"/>
      <c r="J19" s="901"/>
      <c r="K19" s="901"/>
      <c r="L19" s="901"/>
      <c r="M19" s="983"/>
      <c r="N19" s="915"/>
      <c r="O19" s="914"/>
      <c r="P19" s="914"/>
      <c r="Q19" s="914"/>
      <c r="R19" s="914"/>
      <c r="S19" s="914"/>
      <c r="T19" s="914"/>
      <c r="U19" s="914"/>
      <c r="V19" s="914"/>
      <c r="W19" s="914"/>
      <c r="X19" s="914"/>
      <c r="Y19" s="914"/>
      <c r="Z19" s="914"/>
      <c r="AA19" s="916"/>
      <c r="AB19" s="918"/>
      <c r="AC19" s="918"/>
      <c r="AD19" s="918"/>
      <c r="AE19" s="918"/>
      <c r="AF19" s="918"/>
      <c r="AG19" s="913"/>
      <c r="AH19" s="913"/>
      <c r="AI19" s="913"/>
      <c r="AJ19" s="911"/>
      <c r="AK19" s="911"/>
    </row>
    <row r="20" spans="1:37" s="754" customFormat="1" ht="22.5" customHeight="1" x14ac:dyDescent="0.55000000000000004">
      <c r="A20" s="900"/>
      <c r="B20" s="905" t="s">
        <v>1849</v>
      </c>
      <c r="C20" s="901"/>
      <c r="D20" s="901"/>
      <c r="E20" s="901"/>
      <c r="F20" s="901"/>
      <c r="G20" s="901"/>
      <c r="H20" s="901"/>
      <c r="I20" s="901"/>
      <c r="J20" s="901"/>
      <c r="K20" s="901"/>
      <c r="L20" s="901"/>
      <c r="M20" s="983"/>
      <c r="N20" s="925" t="s">
        <v>1886</v>
      </c>
      <c r="O20" s="925"/>
      <c r="P20" s="914"/>
      <c r="Q20" s="914"/>
      <c r="R20" s="914"/>
      <c r="S20" s="914"/>
      <c r="T20" s="914"/>
      <c r="U20" s="914"/>
      <c r="V20" s="914"/>
      <c r="W20" s="914"/>
      <c r="X20" s="914"/>
      <c r="Y20" s="914"/>
      <c r="Z20" s="914"/>
      <c r="AA20" s="916"/>
      <c r="AB20" s="918"/>
      <c r="AC20" s="918"/>
      <c r="AD20" s="918"/>
      <c r="AE20" s="918"/>
      <c r="AF20" s="918"/>
      <c r="AG20" s="913"/>
      <c r="AH20" s="913"/>
      <c r="AI20" s="913"/>
      <c r="AJ20" s="911"/>
      <c r="AK20" s="911"/>
    </row>
    <row r="21" spans="1:37" s="754" customFormat="1" ht="22.5" customHeight="1" x14ac:dyDescent="0.55000000000000004">
      <c r="A21" s="900"/>
      <c r="B21" s="900"/>
      <c r="C21" s="901"/>
      <c r="D21" s="901"/>
      <c r="E21" s="901"/>
      <c r="F21" s="901"/>
      <c r="G21" s="901"/>
      <c r="H21" s="901"/>
      <c r="I21" s="901"/>
      <c r="J21" s="901"/>
      <c r="K21" s="901"/>
      <c r="L21" s="901"/>
      <c r="M21" s="983"/>
      <c r="N21" s="946" t="str">
        <f>'00 Summary'!B18</f>
        <v>IA. ENERGY DOMESTIC</v>
      </c>
      <c r="O21" s="946" t="s">
        <v>1889</v>
      </c>
      <c r="P21" s="914"/>
      <c r="Q21" s="914"/>
      <c r="R21" s="914"/>
      <c r="S21" s="914"/>
      <c r="T21" s="914"/>
      <c r="U21" s="914"/>
      <c r="V21" s="914"/>
      <c r="W21" s="914"/>
      <c r="X21" s="914"/>
      <c r="Y21" s="914"/>
      <c r="Z21" s="914"/>
      <c r="AA21" s="916"/>
      <c r="AB21" s="918"/>
      <c r="AC21" s="918"/>
      <c r="AD21" s="918"/>
      <c r="AE21" s="918"/>
      <c r="AF21" s="918"/>
      <c r="AG21" s="913"/>
      <c r="AH21" s="913"/>
      <c r="AI21" s="913"/>
      <c r="AJ21" s="911"/>
      <c r="AK21" s="911"/>
    </row>
    <row r="22" spans="1:37" s="754" customFormat="1" ht="22.5" customHeight="1" x14ac:dyDescent="0.45">
      <c r="A22" s="900"/>
      <c r="B22" s="900"/>
      <c r="C22" s="901"/>
      <c r="D22" s="901"/>
      <c r="E22" s="901"/>
      <c r="F22" s="901"/>
      <c r="G22" s="901"/>
      <c r="H22" s="901"/>
      <c r="I22" s="901"/>
      <c r="J22" s="901"/>
      <c r="K22" s="901"/>
      <c r="L22" s="901"/>
      <c r="M22" s="983"/>
      <c r="N22" s="950" t="str">
        <f>'00 Summary'!B19</f>
        <v>Gas</v>
      </c>
      <c r="O22" s="947">
        <f>'00 Summary'!V19</f>
        <v>7.2891865852251252</v>
      </c>
      <c r="P22" s="914"/>
      <c r="Q22" s="914"/>
      <c r="R22" s="914"/>
      <c r="S22" s="914"/>
      <c r="T22" s="914"/>
      <c r="U22" s="914"/>
      <c r="V22" s="914"/>
      <c r="W22" s="914"/>
      <c r="X22" s="914"/>
      <c r="Y22" s="914"/>
      <c r="Z22" s="914"/>
      <c r="AA22" s="916"/>
      <c r="AB22" s="918"/>
      <c r="AC22" s="918"/>
      <c r="AD22" s="918"/>
      <c r="AE22" s="918"/>
      <c r="AF22" s="918"/>
      <c r="AG22" s="913"/>
      <c r="AH22" s="913"/>
      <c r="AI22" s="913"/>
      <c r="AJ22" s="911"/>
      <c r="AK22" s="911"/>
    </row>
    <row r="23" spans="1:37" s="754" customFormat="1" ht="22.5" customHeight="1" x14ac:dyDescent="0.45">
      <c r="A23" s="900"/>
      <c r="B23" s="900"/>
      <c r="C23" s="901"/>
      <c r="D23" s="901"/>
      <c r="E23" s="901"/>
      <c r="F23" s="901"/>
      <c r="G23" s="901"/>
      <c r="H23" s="901"/>
      <c r="I23" s="901"/>
      <c r="J23" s="901"/>
      <c r="K23" s="901"/>
      <c r="L23" s="901"/>
      <c r="M23" s="983"/>
      <c r="N23" s="950" t="str">
        <f>'00 Summary'!B20</f>
        <v>Electricity</v>
      </c>
      <c r="O23" s="947">
        <f>'00 Summary'!V20</f>
        <v>3.1784152814007736</v>
      </c>
      <c r="P23" s="914"/>
      <c r="Q23" s="914"/>
      <c r="R23" s="914"/>
      <c r="S23" s="914"/>
      <c r="T23" s="914"/>
      <c r="U23" s="914"/>
      <c r="V23" s="914"/>
      <c r="W23" s="914"/>
      <c r="X23" s="914"/>
      <c r="Y23" s="914"/>
      <c r="Z23" s="914"/>
      <c r="AA23" s="916"/>
      <c r="AB23" s="918"/>
      <c r="AC23" s="918"/>
      <c r="AD23" s="918"/>
      <c r="AE23" s="918"/>
      <c r="AF23" s="918"/>
      <c r="AG23" s="913"/>
      <c r="AH23" s="913"/>
      <c r="AI23" s="913"/>
      <c r="AJ23" s="911"/>
      <c r="AK23" s="911"/>
    </row>
    <row r="24" spans="1:37" s="754" customFormat="1" ht="22.5" customHeight="1" x14ac:dyDescent="0.45">
      <c r="A24" s="900"/>
      <c r="B24" s="900"/>
      <c r="C24" s="901"/>
      <c r="D24" s="901"/>
      <c r="E24" s="901"/>
      <c r="F24" s="901"/>
      <c r="G24" s="901"/>
      <c r="H24" s="901"/>
      <c r="I24" s="901"/>
      <c r="J24" s="901"/>
      <c r="K24" s="901"/>
      <c r="L24" s="901"/>
      <c r="M24" s="983"/>
      <c r="N24" s="950" t="str">
        <f>'00 Summary'!B22</f>
        <v>Coal</v>
      </c>
      <c r="O24" s="947">
        <f>'00 Summary'!V22</f>
        <v>5.1746621444047042E-2</v>
      </c>
      <c r="P24" s="914"/>
      <c r="Q24" s="914"/>
      <c r="R24" s="914"/>
      <c r="S24" s="914"/>
      <c r="T24" s="914"/>
      <c r="U24" s="914"/>
      <c r="V24" s="914"/>
      <c r="W24" s="914"/>
      <c r="X24" s="914"/>
      <c r="Y24" s="914"/>
      <c r="Z24" s="914"/>
      <c r="AA24" s="916"/>
      <c r="AB24" s="918"/>
      <c r="AC24" s="918"/>
      <c r="AD24" s="918"/>
      <c r="AE24" s="918"/>
      <c r="AF24" s="918"/>
      <c r="AG24" s="913"/>
      <c r="AH24" s="913"/>
      <c r="AI24" s="913"/>
      <c r="AJ24" s="911"/>
      <c r="AK24" s="911"/>
    </row>
    <row r="25" spans="1:37" s="754" customFormat="1" ht="22.5" customHeight="1" x14ac:dyDescent="0.45">
      <c r="A25" s="900"/>
      <c r="B25" s="900"/>
      <c r="C25" s="901"/>
      <c r="D25" s="901"/>
      <c r="E25" s="901"/>
      <c r="F25" s="901"/>
      <c r="G25" s="901"/>
      <c r="H25" s="901"/>
      <c r="I25" s="901"/>
      <c r="J25" s="901"/>
      <c r="K25" s="901"/>
      <c r="L25" s="901"/>
      <c r="M25" s="983"/>
      <c r="N25" s="950" t="str">
        <f>'00 Summary'!B23</f>
        <v>Oil</v>
      </c>
      <c r="O25" s="947">
        <f>'00 Summary'!V23</f>
        <v>4.8391268709835698E-2</v>
      </c>
      <c r="P25" s="914"/>
      <c r="Q25" s="914"/>
      <c r="R25" s="914"/>
      <c r="S25" s="914"/>
      <c r="T25" s="914"/>
      <c r="U25" s="914"/>
      <c r="V25" s="914"/>
      <c r="W25" s="914"/>
      <c r="X25" s="914"/>
      <c r="Y25" s="914"/>
      <c r="Z25" s="914"/>
      <c r="AA25" s="916"/>
      <c r="AB25" s="918"/>
      <c r="AC25" s="918"/>
      <c r="AD25" s="918"/>
      <c r="AE25" s="918"/>
      <c r="AF25" s="918"/>
      <c r="AG25" s="913"/>
      <c r="AH25" s="913"/>
      <c r="AI25" s="913"/>
      <c r="AJ25" s="911"/>
      <c r="AK25" s="911"/>
    </row>
    <row r="26" spans="1:37" s="754" customFormat="1" ht="22.5" customHeight="1" x14ac:dyDescent="0.45">
      <c r="A26" s="900"/>
      <c r="B26" s="900"/>
      <c r="C26" s="901"/>
      <c r="D26" s="901"/>
      <c r="E26" s="901"/>
      <c r="F26" s="901"/>
      <c r="G26" s="901"/>
      <c r="H26" s="901"/>
      <c r="I26" s="901"/>
      <c r="J26" s="901"/>
      <c r="K26" s="901"/>
      <c r="L26" s="901"/>
      <c r="M26" s="983"/>
      <c r="N26" s="915"/>
      <c r="O26" s="914"/>
      <c r="P26" s="914"/>
      <c r="Q26" s="914"/>
      <c r="R26" s="914"/>
      <c r="S26" s="914"/>
      <c r="T26" s="914"/>
      <c r="U26" s="914"/>
      <c r="V26" s="914"/>
      <c r="W26" s="914"/>
      <c r="X26" s="914"/>
      <c r="Y26" s="914"/>
      <c r="Z26" s="914"/>
      <c r="AA26" s="916"/>
      <c r="AB26" s="918"/>
      <c r="AC26" s="918"/>
      <c r="AD26" s="918"/>
      <c r="AE26" s="918"/>
      <c r="AF26" s="918"/>
      <c r="AG26" s="913"/>
      <c r="AH26" s="913"/>
      <c r="AI26" s="913"/>
      <c r="AJ26" s="911"/>
      <c r="AK26" s="911"/>
    </row>
    <row r="27" spans="1:37" s="754" customFormat="1" ht="22.5" customHeight="1" x14ac:dyDescent="0.45">
      <c r="A27" s="900"/>
      <c r="B27" s="900"/>
      <c r="C27" s="901"/>
      <c r="D27" s="901"/>
      <c r="E27" s="901"/>
      <c r="F27" s="901"/>
      <c r="G27" s="901"/>
      <c r="H27" s="901"/>
      <c r="I27" s="901"/>
      <c r="J27" s="901"/>
      <c r="K27" s="901"/>
      <c r="L27" s="901"/>
      <c r="M27" s="983"/>
      <c r="N27" s="915"/>
      <c r="O27" s="914"/>
      <c r="P27" s="914"/>
      <c r="Q27" s="914"/>
      <c r="R27" s="914"/>
      <c r="S27" s="914"/>
      <c r="T27" s="914"/>
      <c r="U27" s="914"/>
      <c r="V27" s="914"/>
      <c r="W27" s="914"/>
      <c r="X27" s="914"/>
      <c r="Y27" s="914"/>
      <c r="Z27" s="914"/>
      <c r="AA27" s="916"/>
      <c r="AB27" s="918"/>
      <c r="AC27" s="918"/>
      <c r="AD27" s="918"/>
      <c r="AE27" s="918"/>
      <c r="AF27" s="918"/>
      <c r="AG27" s="913"/>
      <c r="AH27" s="913"/>
      <c r="AI27" s="913"/>
      <c r="AJ27" s="911"/>
      <c r="AK27" s="911"/>
    </row>
    <row r="28" spans="1:37" s="754" customFormat="1" ht="22.5" customHeight="1" x14ac:dyDescent="0.45">
      <c r="A28" s="900"/>
      <c r="B28" s="900"/>
      <c r="C28" s="901"/>
      <c r="D28" s="901"/>
      <c r="E28" s="901"/>
      <c r="F28" s="901"/>
      <c r="G28" s="901"/>
      <c r="H28" s="901"/>
      <c r="I28" s="901"/>
      <c r="J28" s="901"/>
      <c r="K28" s="901"/>
      <c r="L28" s="901"/>
      <c r="M28" s="983"/>
      <c r="N28" s="915"/>
      <c r="O28" s="914"/>
      <c r="P28" s="914"/>
      <c r="Q28" s="914"/>
      <c r="R28" s="914"/>
      <c r="S28" s="914"/>
      <c r="T28" s="914"/>
      <c r="U28" s="914"/>
      <c r="V28" s="914"/>
      <c r="W28" s="914"/>
      <c r="X28" s="914"/>
      <c r="Y28" s="914"/>
      <c r="Z28" s="914"/>
      <c r="AA28" s="916"/>
      <c r="AB28" s="918"/>
      <c r="AC28" s="918"/>
      <c r="AD28" s="918"/>
      <c r="AE28" s="918"/>
      <c r="AF28" s="918"/>
      <c r="AG28" s="913"/>
      <c r="AH28" s="913"/>
      <c r="AI28" s="913"/>
      <c r="AJ28" s="911"/>
      <c r="AK28" s="911"/>
    </row>
    <row r="29" spans="1:37" s="754" customFormat="1" ht="22.5" customHeight="1" x14ac:dyDescent="0.45">
      <c r="A29" s="900"/>
      <c r="B29" s="900"/>
      <c r="C29" s="901"/>
      <c r="D29" s="901"/>
      <c r="E29" s="901"/>
      <c r="F29" s="901"/>
      <c r="G29" s="901"/>
      <c r="H29" s="901"/>
      <c r="I29" s="901"/>
      <c r="J29" s="901"/>
      <c r="K29" s="901"/>
      <c r="L29" s="901"/>
      <c r="M29" s="983"/>
      <c r="N29" s="915"/>
      <c r="O29" s="914"/>
      <c r="P29" s="914"/>
      <c r="Q29" s="914"/>
      <c r="R29" s="914"/>
      <c r="S29" s="914"/>
      <c r="T29" s="914"/>
      <c r="U29" s="914"/>
      <c r="V29" s="914"/>
      <c r="W29" s="914"/>
      <c r="X29" s="914"/>
      <c r="Y29" s="914"/>
      <c r="Z29" s="914"/>
      <c r="AA29" s="916"/>
      <c r="AB29" s="918"/>
      <c r="AC29" s="918"/>
      <c r="AD29" s="918"/>
      <c r="AE29" s="918"/>
      <c r="AF29" s="918"/>
      <c r="AG29" s="913"/>
      <c r="AH29" s="913"/>
      <c r="AI29" s="913"/>
      <c r="AJ29" s="911"/>
      <c r="AK29" s="911"/>
    </row>
    <row r="30" spans="1:37" s="754" customFormat="1" ht="22.5" customHeight="1" x14ac:dyDescent="0.45">
      <c r="A30" s="900"/>
      <c r="B30" s="900"/>
      <c r="C30" s="901"/>
      <c r="D30" s="901"/>
      <c r="E30" s="901"/>
      <c r="F30" s="901"/>
      <c r="G30" s="901"/>
      <c r="H30" s="901"/>
      <c r="I30" s="901"/>
      <c r="J30" s="901"/>
      <c r="K30" s="901"/>
      <c r="L30" s="901"/>
      <c r="M30" s="983"/>
      <c r="N30" s="915"/>
      <c r="O30" s="914"/>
      <c r="P30" s="914"/>
      <c r="Q30" s="914"/>
      <c r="R30" s="914"/>
      <c r="S30" s="914"/>
      <c r="T30" s="914"/>
      <c r="U30" s="914"/>
      <c r="V30" s="914"/>
      <c r="W30" s="914"/>
      <c r="X30" s="914"/>
      <c r="Y30" s="914"/>
      <c r="Z30" s="914"/>
      <c r="AA30" s="916"/>
      <c r="AB30" s="918"/>
      <c r="AC30" s="918"/>
      <c r="AD30" s="918"/>
      <c r="AE30" s="918"/>
      <c r="AF30" s="918"/>
      <c r="AG30" s="913"/>
      <c r="AH30" s="913"/>
      <c r="AI30" s="913"/>
      <c r="AJ30" s="911"/>
      <c r="AK30" s="911"/>
    </row>
    <row r="31" spans="1:37" s="754" customFormat="1" ht="22.5" customHeight="1" x14ac:dyDescent="0.45">
      <c r="A31" s="900"/>
      <c r="B31" s="900"/>
      <c r="C31" s="901"/>
      <c r="D31" s="901"/>
      <c r="E31" s="901"/>
      <c r="F31" s="901"/>
      <c r="G31" s="901"/>
      <c r="H31" s="901"/>
      <c r="I31" s="901"/>
      <c r="J31" s="901"/>
      <c r="K31" s="901"/>
      <c r="L31" s="901"/>
      <c r="M31" s="983"/>
      <c r="N31" s="915"/>
      <c r="O31" s="914"/>
      <c r="P31" s="914"/>
      <c r="Q31" s="914"/>
      <c r="R31" s="914"/>
      <c r="S31" s="914"/>
      <c r="T31" s="914"/>
      <c r="U31" s="914"/>
      <c r="V31" s="914"/>
      <c r="W31" s="914"/>
      <c r="X31" s="914"/>
      <c r="Y31" s="914"/>
      <c r="Z31" s="914"/>
      <c r="AA31" s="916"/>
      <c r="AB31" s="918"/>
      <c r="AC31" s="918"/>
      <c r="AD31" s="918"/>
      <c r="AE31" s="918"/>
      <c r="AF31" s="918"/>
      <c r="AG31" s="913"/>
      <c r="AH31" s="913"/>
      <c r="AI31" s="913"/>
      <c r="AJ31" s="911"/>
      <c r="AK31" s="911"/>
    </row>
    <row r="32" spans="1:37" s="754" customFormat="1" ht="22.5" customHeight="1" x14ac:dyDescent="0.55000000000000004">
      <c r="A32" s="900"/>
      <c r="B32" s="905" t="s">
        <v>1851</v>
      </c>
      <c r="C32" s="1200" t="s">
        <v>1850</v>
      </c>
      <c r="D32" s="901"/>
      <c r="E32" s="901"/>
      <c r="F32" s="901"/>
      <c r="G32" s="901"/>
      <c r="H32" s="901"/>
      <c r="I32" s="901"/>
      <c r="J32" s="901"/>
      <c r="K32" s="901"/>
      <c r="L32" s="901"/>
      <c r="M32" s="983"/>
      <c r="N32" s="925" t="s">
        <v>1885</v>
      </c>
      <c r="O32" s="914"/>
      <c r="P32" s="914"/>
      <c r="Q32" s="914"/>
      <c r="R32" s="914"/>
      <c r="S32" s="914"/>
      <c r="T32" s="914"/>
      <c r="U32" s="914"/>
      <c r="V32" s="914"/>
      <c r="W32" s="914"/>
      <c r="X32" s="914"/>
      <c r="Y32" s="914"/>
      <c r="Z32" s="914"/>
      <c r="AA32" s="916"/>
      <c r="AB32" s="918"/>
      <c r="AC32" s="918"/>
      <c r="AD32" s="918"/>
      <c r="AE32" s="918"/>
      <c r="AF32" s="918"/>
      <c r="AG32" s="913"/>
      <c r="AH32" s="913"/>
      <c r="AI32" s="913"/>
      <c r="AJ32" s="911"/>
      <c r="AK32" s="911"/>
    </row>
    <row r="33" spans="1:39" s="754" customFormat="1" ht="22.5" customHeight="1" x14ac:dyDescent="0.55000000000000004">
      <c r="A33" s="900"/>
      <c r="B33" s="900"/>
      <c r="C33" s="901"/>
      <c r="D33" s="901"/>
      <c r="E33" s="901"/>
      <c r="F33" s="901"/>
      <c r="G33" s="901"/>
      <c r="H33" s="901"/>
      <c r="I33" s="901"/>
      <c r="J33" s="901"/>
      <c r="K33" s="901"/>
      <c r="L33" s="901"/>
      <c r="M33" s="983"/>
      <c r="N33" s="946" t="str">
        <f>'00 Summary'!B26</f>
        <v>IA. ENERGY INDUSTRIAL AND COMMERCIAL</v>
      </c>
      <c r="O33" s="946" t="s">
        <v>1889</v>
      </c>
      <c r="P33" s="917"/>
      <c r="Q33" s="917"/>
      <c r="R33" s="917"/>
      <c r="S33" s="917"/>
      <c r="T33" s="917"/>
      <c r="U33" s="917"/>
      <c r="V33" s="917"/>
      <c r="W33" s="917"/>
      <c r="X33" s="917"/>
      <c r="Y33" s="917"/>
      <c r="Z33" s="917"/>
      <c r="AA33" s="920"/>
      <c r="AB33" s="918"/>
      <c r="AC33" s="918"/>
      <c r="AD33" s="918"/>
      <c r="AE33" s="918"/>
      <c r="AF33" s="918"/>
      <c r="AG33" s="920"/>
      <c r="AH33" s="920"/>
      <c r="AI33" s="913"/>
      <c r="AJ33" s="911"/>
      <c r="AK33" s="911"/>
    </row>
    <row r="34" spans="1:39" s="762" customFormat="1" ht="22.5" customHeight="1" x14ac:dyDescent="0.45">
      <c r="A34" s="904"/>
      <c r="B34" s="904"/>
      <c r="C34" s="903"/>
      <c r="D34" s="903"/>
      <c r="E34" s="903"/>
      <c r="F34" s="903"/>
      <c r="G34" s="903"/>
      <c r="H34" s="903"/>
      <c r="I34" s="903"/>
      <c r="J34" s="903"/>
      <c r="K34" s="903"/>
      <c r="L34" s="903"/>
      <c r="M34" s="984"/>
      <c r="N34" s="946" t="str">
        <f>'00 Summary'!B27</f>
        <v>Gas</v>
      </c>
      <c r="O34" s="947">
        <f>'00 Summary'!V27</f>
        <v>3.7465674667707853</v>
      </c>
      <c r="P34" s="919"/>
      <c r="Q34" s="918"/>
      <c r="R34" s="918"/>
      <c r="S34" s="918"/>
      <c r="T34" s="918"/>
      <c r="U34" s="918"/>
      <c r="V34" s="918"/>
      <c r="W34" s="918"/>
      <c r="X34" s="918"/>
      <c r="Y34" s="918"/>
      <c r="Z34" s="918"/>
      <c r="AA34" s="921"/>
      <c r="AB34" s="911"/>
      <c r="AC34" s="911"/>
      <c r="AD34" s="911"/>
      <c r="AE34" s="911"/>
      <c r="AF34" s="911"/>
      <c r="AG34" s="921"/>
      <c r="AH34" s="921"/>
      <c r="AI34" s="922"/>
      <c r="AJ34" s="923"/>
      <c r="AK34" s="923"/>
    </row>
    <row r="35" spans="1:39" s="762" customFormat="1" ht="22.5" customHeight="1" x14ac:dyDescent="0.45">
      <c r="A35" s="904"/>
      <c r="B35" s="904"/>
      <c r="C35" s="903"/>
      <c r="D35" s="903"/>
      <c r="E35" s="903"/>
      <c r="F35" s="903"/>
      <c r="G35" s="903"/>
      <c r="H35" s="903"/>
      <c r="I35" s="903"/>
      <c r="J35" s="903"/>
      <c r="K35" s="903"/>
      <c r="L35" s="903"/>
      <c r="M35" s="984"/>
      <c r="N35" s="946" t="str">
        <f>'00 Summary'!B28</f>
        <v>Electricity</v>
      </c>
      <c r="O35" s="947">
        <f>'00 Summary'!V28</f>
        <v>5.8698944661131867</v>
      </c>
      <c r="P35" s="924"/>
      <c r="Q35" s="918"/>
      <c r="R35" s="918"/>
      <c r="S35" s="918"/>
      <c r="T35" s="918"/>
      <c r="U35" s="918"/>
      <c r="V35" s="918"/>
      <c r="W35" s="918"/>
      <c r="X35" s="918"/>
      <c r="Y35" s="918"/>
      <c r="Z35" s="918"/>
      <c r="AA35" s="921"/>
      <c r="AB35" s="914"/>
      <c r="AC35" s="914"/>
      <c r="AD35" s="914"/>
      <c r="AE35" s="914"/>
      <c r="AF35" s="914"/>
      <c r="AG35" s="921"/>
      <c r="AH35" s="921"/>
      <c r="AI35" s="922"/>
      <c r="AJ35" s="923"/>
      <c r="AK35" s="923"/>
    </row>
    <row r="36" spans="1:39" s="754" customFormat="1" ht="22.5" customHeight="1" x14ac:dyDescent="0.45">
      <c r="A36" s="900"/>
      <c r="B36" s="900"/>
      <c r="C36" s="901"/>
      <c r="D36" s="901"/>
      <c r="E36" s="901"/>
      <c r="F36" s="901"/>
      <c r="G36" s="901"/>
      <c r="H36" s="901"/>
      <c r="I36" s="901"/>
      <c r="J36" s="901"/>
      <c r="K36" s="901"/>
      <c r="L36" s="901"/>
      <c r="M36" s="983"/>
      <c r="N36" s="946" t="str">
        <f>'00 Summary'!B29</f>
        <v>Large industrial</v>
      </c>
      <c r="O36" s="947">
        <f>'00 Summary'!V29</f>
        <v>1.3753861391520001E-2</v>
      </c>
      <c r="P36" s="911"/>
      <c r="Q36" s="911"/>
      <c r="R36" s="911"/>
      <c r="S36" s="911"/>
      <c r="T36" s="911"/>
      <c r="U36" s="911"/>
      <c r="V36" s="911"/>
      <c r="W36" s="911"/>
      <c r="X36" s="911"/>
      <c r="Y36" s="911"/>
      <c r="Z36" s="911"/>
      <c r="AA36" s="913"/>
      <c r="AB36" s="914"/>
      <c r="AC36" s="914"/>
      <c r="AD36" s="914"/>
      <c r="AE36" s="914"/>
      <c r="AF36" s="914"/>
      <c r="AG36" s="913"/>
      <c r="AH36" s="913"/>
      <c r="AI36" s="913"/>
      <c r="AJ36" s="911"/>
      <c r="AK36" s="911"/>
    </row>
    <row r="37" spans="1:39" s="754" customFormat="1" ht="22.5" customHeight="1" x14ac:dyDescent="0.45">
      <c r="A37" s="900"/>
      <c r="B37" s="904"/>
      <c r="C37" s="901"/>
      <c r="D37" s="901"/>
      <c r="E37" s="901"/>
      <c r="F37" s="901"/>
      <c r="G37" s="901"/>
      <c r="H37" s="901"/>
      <c r="I37" s="901"/>
      <c r="J37" s="901"/>
      <c r="K37" s="901"/>
      <c r="L37" s="901"/>
      <c r="M37" s="983"/>
      <c r="N37" s="946" t="str">
        <f>'00 Summary'!B31</f>
        <v>Coal</v>
      </c>
      <c r="O37" s="947">
        <f>'00 Summary'!V31</f>
        <v>8.6404694800835593E-3</v>
      </c>
      <c r="P37" s="911"/>
      <c r="Q37" s="911"/>
      <c r="R37" s="911"/>
      <c r="S37" s="911"/>
      <c r="T37" s="911"/>
      <c r="U37" s="911"/>
      <c r="V37" s="911"/>
      <c r="W37" s="911"/>
      <c r="X37" s="911"/>
      <c r="Y37" s="911"/>
      <c r="Z37" s="911"/>
      <c r="AA37" s="913"/>
      <c r="AB37" s="917"/>
      <c r="AC37" s="917"/>
      <c r="AD37" s="917"/>
      <c r="AE37" s="917"/>
      <c r="AF37" s="917"/>
      <c r="AG37" s="913"/>
      <c r="AH37" s="913"/>
      <c r="AI37" s="913"/>
      <c r="AJ37" s="911"/>
      <c r="AK37" s="911"/>
    </row>
    <row r="38" spans="1:39" s="754" customFormat="1" ht="22.5" customHeight="1" x14ac:dyDescent="0.45">
      <c r="A38" s="900"/>
      <c r="B38" s="900"/>
      <c r="C38" s="901"/>
      <c r="D38" s="901"/>
      <c r="E38" s="901"/>
      <c r="F38" s="901"/>
      <c r="G38" s="901"/>
      <c r="H38" s="901"/>
      <c r="I38" s="901"/>
      <c r="J38" s="901"/>
      <c r="K38" s="901"/>
      <c r="L38" s="901"/>
      <c r="M38" s="983"/>
      <c r="N38" s="946" t="str">
        <f>'00 Summary'!B32</f>
        <v>Oil</v>
      </c>
      <c r="O38" s="947">
        <f>'00 Summary'!V32</f>
        <v>0.5657541584814888</v>
      </c>
      <c r="P38" s="911"/>
      <c r="Q38" s="911"/>
      <c r="R38" s="911"/>
      <c r="S38" s="911"/>
      <c r="T38" s="911"/>
      <c r="U38" s="911"/>
      <c r="V38" s="911"/>
      <c r="W38" s="911"/>
      <c r="X38" s="911"/>
      <c r="Y38" s="911"/>
      <c r="Z38" s="911"/>
      <c r="AA38" s="913"/>
      <c r="AB38" s="918"/>
      <c r="AC38" s="918"/>
      <c r="AD38" s="918"/>
      <c r="AE38" s="918"/>
      <c r="AF38" s="918"/>
      <c r="AG38" s="913"/>
      <c r="AH38" s="913"/>
      <c r="AI38" s="913"/>
      <c r="AJ38" s="911"/>
      <c r="AK38" s="911"/>
    </row>
    <row r="39" spans="1:39" s="754" customFormat="1" ht="22.5" customHeight="1" x14ac:dyDescent="0.45">
      <c r="A39" s="900"/>
      <c r="B39" s="900"/>
      <c r="C39" s="900"/>
      <c r="D39" s="900"/>
      <c r="E39" s="900"/>
      <c r="F39" s="900"/>
      <c r="G39" s="900"/>
      <c r="H39" s="900"/>
      <c r="I39" s="900"/>
      <c r="J39" s="900"/>
      <c r="K39" s="900"/>
      <c r="L39" s="900"/>
      <c r="M39" s="983"/>
      <c r="N39" s="946" t="s">
        <v>2382</v>
      </c>
      <c r="O39" s="947">
        <f>'00 Summary'!V33</f>
        <v>0.21485326038940158</v>
      </c>
      <c r="P39" s="911"/>
      <c r="Q39" s="911"/>
      <c r="R39" s="911"/>
      <c r="S39" s="911"/>
      <c r="T39" s="911"/>
      <c r="U39" s="911"/>
      <c r="V39" s="911"/>
      <c r="W39" s="911"/>
      <c r="X39" s="911"/>
      <c r="Y39" s="911"/>
      <c r="Z39" s="911"/>
      <c r="AA39" s="913"/>
      <c r="AB39" s="918"/>
      <c r="AC39" s="918"/>
      <c r="AD39" s="918"/>
      <c r="AE39" s="918"/>
      <c r="AF39" s="918"/>
      <c r="AG39" s="913"/>
      <c r="AH39" s="913"/>
      <c r="AI39" s="913"/>
      <c r="AJ39" s="911"/>
      <c r="AK39" s="911"/>
    </row>
    <row r="40" spans="1:39" s="754" customFormat="1" ht="18.75" customHeight="1" x14ac:dyDescent="0.4">
      <c r="A40" s="900"/>
      <c r="B40" s="900"/>
      <c r="C40" s="900"/>
      <c r="D40" s="900"/>
      <c r="E40" s="900"/>
      <c r="F40" s="900"/>
      <c r="G40" s="900"/>
      <c r="H40" s="900"/>
      <c r="I40" s="900"/>
      <c r="J40" s="900"/>
      <c r="K40" s="900"/>
      <c r="L40" s="900"/>
      <c r="M40" s="983"/>
      <c r="N40" s="946" t="s">
        <v>2381</v>
      </c>
      <c r="O40" s="947">
        <f>'00 Summary'!V34</f>
        <v>0.69644829946724474</v>
      </c>
      <c r="P40" s="911"/>
      <c r="Q40" s="911"/>
      <c r="R40" s="911"/>
      <c r="S40" s="911"/>
      <c r="T40" s="911"/>
      <c r="U40" s="911"/>
      <c r="V40" s="911"/>
      <c r="W40" s="911"/>
      <c r="X40" s="911"/>
      <c r="Y40" s="911"/>
      <c r="Z40" s="911"/>
      <c r="AA40" s="913"/>
      <c r="AB40" s="911"/>
      <c r="AC40" s="911"/>
      <c r="AD40" s="911"/>
      <c r="AE40" s="911"/>
      <c r="AF40" s="911"/>
      <c r="AG40" s="913"/>
      <c r="AH40" s="913"/>
      <c r="AI40" s="913"/>
      <c r="AJ40" s="911"/>
      <c r="AK40" s="911"/>
    </row>
    <row r="41" spans="1:39" s="754" customFormat="1" ht="14.25" x14ac:dyDescent="0.45">
      <c r="A41" s="900"/>
      <c r="B41" s="900"/>
      <c r="C41" s="900"/>
      <c r="D41" s="900"/>
      <c r="E41" s="900"/>
      <c r="F41" s="900"/>
      <c r="G41" s="900"/>
      <c r="H41" s="900"/>
      <c r="I41" s="900"/>
      <c r="J41" s="900"/>
      <c r="K41" s="900"/>
      <c r="L41" s="900"/>
      <c r="M41" s="983"/>
      <c r="N41" s="918"/>
      <c r="O41" s="924"/>
      <c r="P41" s="911"/>
      <c r="Q41" s="911"/>
      <c r="R41" s="911"/>
      <c r="S41" s="911"/>
      <c r="T41" s="911"/>
      <c r="U41" s="911"/>
      <c r="V41" s="911"/>
      <c r="W41" s="911"/>
      <c r="X41" s="911"/>
      <c r="Y41" s="911"/>
      <c r="Z41" s="911"/>
      <c r="AA41" s="913"/>
      <c r="AB41" s="913"/>
      <c r="AC41" s="913"/>
      <c r="AD41" s="913"/>
      <c r="AE41" s="913"/>
      <c r="AF41" s="913"/>
      <c r="AG41" s="913"/>
      <c r="AH41" s="913"/>
      <c r="AI41" s="913"/>
      <c r="AJ41" s="911"/>
      <c r="AK41" s="911"/>
    </row>
    <row r="42" spans="1:39" ht="14.25" x14ac:dyDescent="0.45">
      <c r="A42" s="900"/>
      <c r="B42" s="900"/>
      <c r="C42" s="900"/>
      <c r="D42" s="900"/>
      <c r="E42" s="900"/>
      <c r="F42" s="900"/>
      <c r="G42" s="900"/>
      <c r="H42" s="900"/>
      <c r="I42" s="900"/>
      <c r="J42" s="900"/>
      <c r="K42" s="900"/>
      <c r="L42" s="900"/>
      <c r="N42" s="918"/>
      <c r="O42" s="924"/>
      <c r="AA42" s="913"/>
      <c r="AB42" s="913"/>
      <c r="AC42" s="913"/>
      <c r="AD42" s="913"/>
      <c r="AE42" s="913"/>
      <c r="AF42" s="913"/>
      <c r="AG42" s="913"/>
      <c r="AH42" s="913"/>
      <c r="AI42" s="913"/>
      <c r="AL42" s="754"/>
      <c r="AM42" s="754"/>
    </row>
    <row r="43" spans="1:39" ht="14.25" x14ac:dyDescent="0.45">
      <c r="A43" s="900"/>
      <c r="B43" s="900"/>
      <c r="C43" s="900"/>
      <c r="D43" s="900"/>
      <c r="E43" s="900"/>
      <c r="F43" s="900"/>
      <c r="G43" s="900"/>
      <c r="H43" s="900"/>
      <c r="I43" s="900"/>
      <c r="J43" s="900"/>
      <c r="K43" s="900"/>
      <c r="L43" s="900"/>
      <c r="N43" s="918"/>
      <c r="O43" s="924"/>
      <c r="AL43" s="754"/>
      <c r="AM43" s="754"/>
    </row>
    <row r="44" spans="1:39" s="768" customFormat="1" ht="14.25" x14ac:dyDescent="0.45">
      <c r="A44" s="906"/>
      <c r="B44" s="906"/>
      <c r="C44" s="906"/>
      <c r="D44" s="906"/>
      <c r="E44" s="906"/>
      <c r="F44" s="906"/>
      <c r="G44" s="906"/>
      <c r="H44" s="906"/>
      <c r="I44" s="906"/>
      <c r="J44" s="906"/>
      <c r="K44" s="906"/>
      <c r="L44" s="906"/>
      <c r="M44" s="985"/>
      <c r="N44" s="918"/>
      <c r="O44" s="924"/>
      <c r="P44" s="911"/>
      <c r="Q44" s="911"/>
      <c r="R44" s="911"/>
      <c r="S44" s="911"/>
      <c r="T44" s="911"/>
      <c r="U44" s="911"/>
      <c r="V44" s="911"/>
      <c r="W44" s="911"/>
      <c r="X44" s="911"/>
      <c r="Y44" s="911"/>
      <c r="Z44" s="911"/>
      <c r="AA44" s="911"/>
      <c r="AB44" s="911"/>
      <c r="AC44" s="911"/>
      <c r="AD44" s="911"/>
      <c r="AE44" s="911"/>
      <c r="AF44" s="911"/>
      <c r="AG44" s="911"/>
      <c r="AH44" s="911"/>
      <c r="AI44" s="926"/>
      <c r="AJ44" s="926"/>
      <c r="AK44" s="926"/>
      <c r="AL44" s="767"/>
      <c r="AM44" s="767"/>
    </row>
    <row r="45" spans="1:39" ht="15.4" x14ac:dyDescent="0.55000000000000004">
      <c r="A45" s="900"/>
      <c r="B45" s="905" t="s">
        <v>1852</v>
      </c>
      <c r="C45" s="905" t="s">
        <v>1853</v>
      </c>
      <c r="D45" s="900"/>
      <c r="E45" s="900"/>
      <c r="F45" s="900"/>
      <c r="G45" s="900"/>
      <c r="H45" s="900"/>
      <c r="I45" s="900"/>
      <c r="J45" s="900"/>
      <c r="K45" s="900"/>
      <c r="L45" s="900"/>
      <c r="N45" s="925" t="s">
        <v>1884</v>
      </c>
      <c r="O45" s="945"/>
      <c r="AL45" s="754"/>
      <c r="AM45" s="754"/>
    </row>
    <row r="46" spans="1:39" ht="15.4" x14ac:dyDescent="0.55000000000000004">
      <c r="A46" s="900"/>
      <c r="B46" s="900"/>
      <c r="C46" s="900"/>
      <c r="D46" s="900"/>
      <c r="E46" s="900"/>
      <c r="F46" s="900"/>
      <c r="G46" s="900"/>
      <c r="H46" s="900"/>
      <c r="I46" s="900"/>
      <c r="J46" s="900"/>
      <c r="K46" s="900"/>
      <c r="L46" s="900"/>
      <c r="N46" s="948" t="str">
        <f>'00 Summary'!B39</f>
        <v>IB. ENERGY TRANSPORT</v>
      </c>
      <c r="O46" s="946" t="s">
        <v>1889</v>
      </c>
      <c r="AL46" s="754"/>
      <c r="AM46" s="754"/>
    </row>
    <row r="47" spans="1:39" x14ac:dyDescent="0.4">
      <c r="A47" s="900"/>
      <c r="B47" s="900"/>
      <c r="C47" s="900"/>
      <c r="D47" s="900"/>
      <c r="E47" s="900"/>
      <c r="F47" s="900"/>
      <c r="G47" s="900"/>
      <c r="H47" s="900"/>
      <c r="I47" s="900"/>
      <c r="J47" s="900"/>
      <c r="K47" s="900"/>
      <c r="L47" s="900"/>
      <c r="N47" s="950" t="str">
        <f>'00 Summary'!B40</f>
        <v>Road Transport</v>
      </c>
      <c r="O47" s="947">
        <f>'00 Summary'!V40</f>
        <v>6.2204863894384603</v>
      </c>
      <c r="AI47" s="927"/>
      <c r="AJ47" s="927"/>
      <c r="AL47" s="754"/>
      <c r="AM47" s="754"/>
    </row>
    <row r="48" spans="1:39" x14ac:dyDescent="0.4">
      <c r="A48" s="900"/>
      <c r="B48" s="900"/>
      <c r="C48" s="900"/>
      <c r="D48" s="900"/>
      <c r="E48" s="900"/>
      <c r="F48" s="900"/>
      <c r="G48" s="900"/>
      <c r="H48" s="900"/>
      <c r="I48" s="900"/>
      <c r="J48" s="900"/>
      <c r="K48" s="900"/>
      <c r="L48" s="900"/>
      <c r="N48" s="950" t="str">
        <f>'00 Summary'!B41</f>
        <v>Rail_diesel</v>
      </c>
      <c r="O48" s="947">
        <f>'00 Summary'!V41</f>
        <v>7.7994893509336638E-2</v>
      </c>
      <c r="AI48" s="927"/>
      <c r="AJ48" s="927"/>
      <c r="AL48" s="754"/>
      <c r="AM48" s="754"/>
    </row>
    <row r="49" spans="1:39" x14ac:dyDescent="0.4">
      <c r="A49" s="900"/>
      <c r="B49" s="900"/>
      <c r="C49" s="900"/>
      <c r="D49" s="900"/>
      <c r="E49" s="900"/>
      <c r="F49" s="900"/>
      <c r="G49" s="900"/>
      <c r="H49" s="900"/>
      <c r="I49" s="900"/>
      <c r="J49" s="900"/>
      <c r="K49" s="900"/>
      <c r="L49" s="900"/>
      <c r="N49" s="950" t="str">
        <f>'00 Summary'!B42</f>
        <v>Rail_electric</v>
      </c>
      <c r="O49" s="947">
        <f>'00 Summary'!V42</f>
        <v>0.51696111278062928</v>
      </c>
      <c r="AI49" s="927"/>
      <c r="AJ49" s="927"/>
      <c r="AL49" s="754"/>
      <c r="AM49" s="754"/>
    </row>
    <row r="50" spans="1:39" x14ac:dyDescent="0.4">
      <c r="A50" s="900"/>
      <c r="B50" s="900"/>
      <c r="C50" s="900"/>
      <c r="D50" s="900"/>
      <c r="E50" s="900"/>
      <c r="F50" s="900"/>
      <c r="G50" s="900"/>
      <c r="H50" s="900"/>
      <c r="I50" s="900"/>
      <c r="J50" s="900"/>
      <c r="K50" s="900"/>
      <c r="L50" s="900"/>
      <c r="N50" s="950" t="str">
        <f>'00 Summary'!B43</f>
        <v>Aviation</v>
      </c>
      <c r="O50" s="947">
        <f>'00 Summary'!V43</f>
        <v>1.0162493037802147</v>
      </c>
      <c r="AL50" s="754"/>
      <c r="AM50" s="754"/>
    </row>
    <row r="51" spans="1:39" x14ac:dyDescent="0.4">
      <c r="A51" s="900"/>
      <c r="B51" s="900"/>
      <c r="C51" s="900"/>
      <c r="D51" s="900"/>
      <c r="E51" s="900"/>
      <c r="F51" s="900"/>
      <c r="G51" s="900"/>
      <c r="H51" s="900"/>
      <c r="I51" s="900"/>
      <c r="J51" s="900"/>
      <c r="K51" s="900"/>
      <c r="L51" s="900"/>
      <c r="N51" s="950" t="str">
        <f>'00 Summary'!B44</f>
        <v>Shipping</v>
      </c>
      <c r="O51" s="947">
        <f>'00 Summary'!V44</f>
        <v>4.0106479659647032E-2</v>
      </c>
      <c r="AI51" s="928"/>
      <c r="AL51" s="754"/>
      <c r="AM51" s="754"/>
    </row>
    <row r="52" spans="1:39" x14ac:dyDescent="0.4">
      <c r="A52" s="900"/>
      <c r="B52" s="900"/>
      <c r="C52" s="900"/>
      <c r="D52" s="900"/>
      <c r="E52" s="900"/>
      <c r="F52" s="900"/>
      <c r="G52" s="900"/>
      <c r="H52" s="900"/>
      <c r="I52" s="900"/>
      <c r="J52" s="900"/>
      <c r="K52" s="900"/>
      <c r="L52" s="900"/>
      <c r="N52" s="950" t="str">
        <f>'00 Summary'!B45</f>
        <v>NRMM</v>
      </c>
      <c r="O52" s="947">
        <f>'00 Summary'!V45</f>
        <v>0.2375850642750314</v>
      </c>
      <c r="AL52" s="754"/>
      <c r="AM52" s="754"/>
    </row>
    <row r="53" spans="1:39" x14ac:dyDescent="0.4">
      <c r="A53" s="900"/>
      <c r="B53" s="900"/>
      <c r="C53" s="900"/>
      <c r="D53" s="900"/>
      <c r="E53" s="900"/>
      <c r="F53" s="900"/>
      <c r="G53" s="900"/>
      <c r="H53" s="900"/>
      <c r="I53" s="900"/>
      <c r="J53" s="900"/>
      <c r="K53" s="900"/>
      <c r="L53" s="900"/>
      <c r="N53" s="925"/>
      <c r="O53" s="945"/>
      <c r="AL53" s="754"/>
      <c r="AM53" s="754"/>
    </row>
    <row r="54" spans="1:39" ht="14.25" x14ac:dyDescent="0.45">
      <c r="A54" s="900"/>
      <c r="B54" s="900"/>
      <c r="C54" s="900"/>
      <c r="D54" s="900"/>
      <c r="E54" s="900"/>
      <c r="F54" s="900"/>
      <c r="G54" s="900"/>
      <c r="H54" s="900"/>
      <c r="I54" s="900"/>
      <c r="J54" s="900"/>
      <c r="K54" s="900"/>
      <c r="L54" s="900"/>
      <c r="N54" s="925"/>
      <c r="O54" s="924"/>
      <c r="AL54" s="754"/>
      <c r="AM54" s="754"/>
    </row>
    <row r="55" spans="1:39" ht="14.25" x14ac:dyDescent="0.45">
      <c r="A55" s="900"/>
      <c r="B55" s="900"/>
      <c r="C55" s="900"/>
      <c r="D55" s="900"/>
      <c r="E55" s="900"/>
      <c r="F55" s="900"/>
      <c r="G55" s="900"/>
      <c r="H55" s="900"/>
      <c r="I55" s="900"/>
      <c r="J55" s="900"/>
      <c r="K55" s="900"/>
      <c r="L55" s="900"/>
      <c r="N55" s="925"/>
      <c r="O55" s="924"/>
      <c r="P55" s="925"/>
      <c r="AL55" s="754"/>
      <c r="AM55" s="754"/>
    </row>
    <row r="56" spans="1:39" ht="14.25" x14ac:dyDescent="0.45">
      <c r="A56" s="900"/>
      <c r="B56" s="900"/>
      <c r="C56" s="900"/>
      <c r="D56" s="900"/>
      <c r="E56" s="900"/>
      <c r="F56" s="900"/>
      <c r="G56" s="900"/>
      <c r="H56" s="900"/>
      <c r="I56" s="900"/>
      <c r="J56" s="900"/>
      <c r="K56" s="900"/>
      <c r="L56" s="900"/>
      <c r="N56" s="925"/>
      <c r="O56" s="924"/>
      <c r="P56" s="925"/>
      <c r="AL56" s="754"/>
      <c r="AM56" s="754"/>
    </row>
    <row r="57" spans="1:39" ht="14.25" x14ac:dyDescent="0.45">
      <c r="A57" s="900"/>
      <c r="B57" s="900"/>
      <c r="C57" s="900"/>
      <c r="D57" s="900"/>
      <c r="E57" s="900"/>
      <c r="F57" s="900"/>
      <c r="G57" s="900"/>
      <c r="H57" s="900"/>
      <c r="I57" s="900"/>
      <c r="J57" s="900"/>
      <c r="K57" s="900"/>
      <c r="L57" s="900"/>
      <c r="N57" s="925"/>
      <c r="O57" s="924"/>
      <c r="P57" s="925"/>
      <c r="AL57" s="754"/>
      <c r="AM57" s="754"/>
    </row>
    <row r="58" spans="1:39" ht="14.25" x14ac:dyDescent="0.45">
      <c r="A58" s="900"/>
      <c r="B58" s="900"/>
      <c r="C58" s="900"/>
      <c r="D58" s="900"/>
      <c r="E58" s="900"/>
      <c r="F58" s="900"/>
      <c r="G58" s="900"/>
      <c r="H58" s="900"/>
      <c r="I58" s="900"/>
      <c r="J58" s="900"/>
      <c r="K58" s="900"/>
      <c r="L58" s="900"/>
      <c r="N58" s="925"/>
      <c r="O58" s="924"/>
      <c r="P58" s="925"/>
      <c r="AL58" s="754"/>
      <c r="AM58" s="754"/>
    </row>
    <row r="59" spans="1:39" ht="14.25" x14ac:dyDescent="0.45">
      <c r="A59" s="900"/>
      <c r="B59" s="900"/>
      <c r="C59" s="900"/>
      <c r="D59" s="900"/>
      <c r="E59" s="900"/>
      <c r="F59" s="900"/>
      <c r="G59" s="900"/>
      <c r="H59" s="900"/>
      <c r="I59" s="900"/>
      <c r="J59" s="900"/>
      <c r="K59" s="900"/>
      <c r="L59" s="900"/>
      <c r="N59" s="925"/>
      <c r="O59" s="924"/>
      <c r="P59" s="925"/>
      <c r="AL59" s="754"/>
      <c r="AM59" s="754"/>
    </row>
    <row r="60" spans="1:39" ht="14.25" x14ac:dyDescent="0.45">
      <c r="A60" s="900"/>
      <c r="B60" s="900"/>
      <c r="C60" s="900"/>
      <c r="D60" s="900"/>
      <c r="E60" s="900"/>
      <c r="F60" s="900"/>
      <c r="G60" s="900"/>
      <c r="H60" s="900"/>
      <c r="I60" s="900"/>
      <c r="J60" s="900"/>
      <c r="K60" s="900"/>
      <c r="L60" s="900"/>
      <c r="N60" s="925"/>
      <c r="O60" s="924"/>
      <c r="P60" s="925"/>
      <c r="AL60" s="754"/>
      <c r="AM60" s="754"/>
    </row>
    <row r="61" spans="1:39" ht="14.25" x14ac:dyDescent="0.45">
      <c r="A61" s="900"/>
      <c r="B61" s="900"/>
      <c r="C61" s="900"/>
      <c r="D61" s="900"/>
      <c r="E61" s="900"/>
      <c r="F61" s="900"/>
      <c r="G61" s="900"/>
      <c r="H61" s="900"/>
      <c r="I61" s="900"/>
      <c r="J61" s="900"/>
      <c r="K61" s="900"/>
      <c r="L61" s="900"/>
      <c r="N61" s="925"/>
      <c r="O61" s="924"/>
      <c r="P61" s="925"/>
      <c r="AL61" s="754"/>
      <c r="AM61" s="754"/>
    </row>
    <row r="62" spans="1:39" ht="14.25" x14ac:dyDescent="0.45">
      <c r="A62" s="900"/>
      <c r="B62" s="900"/>
      <c r="C62" s="900"/>
      <c r="D62" s="900"/>
      <c r="E62" s="900"/>
      <c r="F62" s="900"/>
      <c r="G62" s="900"/>
      <c r="H62" s="900"/>
      <c r="I62" s="900"/>
      <c r="J62" s="900"/>
      <c r="K62" s="900"/>
      <c r="L62" s="900"/>
      <c r="N62" s="925"/>
      <c r="O62" s="924"/>
      <c r="P62" s="925"/>
      <c r="AL62" s="754"/>
      <c r="AM62" s="754"/>
    </row>
    <row r="63" spans="1:39" ht="14.25" x14ac:dyDescent="0.45">
      <c r="A63" s="900"/>
      <c r="B63" s="900"/>
      <c r="C63" s="900"/>
      <c r="D63" s="900"/>
      <c r="E63" s="900"/>
      <c r="F63" s="900"/>
      <c r="G63" s="900"/>
      <c r="H63" s="900"/>
      <c r="I63" s="900"/>
      <c r="J63" s="900"/>
      <c r="K63" s="900"/>
      <c r="L63" s="900"/>
      <c r="N63" s="925"/>
      <c r="O63" s="924"/>
      <c r="P63" s="925"/>
      <c r="AL63" s="754"/>
      <c r="AM63" s="754"/>
    </row>
    <row r="64" spans="1:39" ht="15.4" x14ac:dyDescent="0.55000000000000004">
      <c r="A64" s="900"/>
      <c r="B64" s="905" t="s">
        <v>1854</v>
      </c>
      <c r="C64" s="905" t="s">
        <v>1855</v>
      </c>
      <c r="D64" s="900"/>
      <c r="E64" s="900"/>
      <c r="F64" s="900"/>
      <c r="G64" s="900"/>
      <c r="H64" s="900"/>
      <c r="I64" s="900"/>
      <c r="J64" s="900"/>
      <c r="K64" s="900"/>
      <c r="L64" s="900"/>
      <c r="N64" s="925" t="s">
        <v>1883</v>
      </c>
      <c r="O64" s="945"/>
      <c r="AL64" s="754"/>
      <c r="AM64" s="754"/>
    </row>
    <row r="65" spans="1:39" ht="15.4" x14ac:dyDescent="0.55000000000000004">
      <c r="A65" s="900"/>
      <c r="B65" s="900"/>
      <c r="C65" s="900"/>
      <c r="D65" s="900"/>
      <c r="E65" s="900"/>
      <c r="F65" s="900"/>
      <c r="G65" s="900"/>
      <c r="H65" s="900"/>
      <c r="I65" s="900"/>
      <c r="J65" s="900"/>
      <c r="K65" s="900"/>
      <c r="L65" s="900"/>
      <c r="N65" s="950" t="str">
        <f>'00 Summary'!B48</f>
        <v xml:space="preserve">II. INDUSTRIAL PROCESSES &amp; PRODUCT USE </v>
      </c>
      <c r="O65" s="946" t="s">
        <v>1889</v>
      </c>
      <c r="AL65" s="754"/>
      <c r="AM65" s="754"/>
    </row>
    <row r="66" spans="1:39" x14ac:dyDescent="0.4">
      <c r="A66" s="900"/>
      <c r="B66" s="900"/>
      <c r="C66" s="900"/>
      <c r="D66" s="900"/>
      <c r="E66" s="900"/>
      <c r="F66" s="900"/>
      <c r="G66" s="900"/>
      <c r="H66" s="900"/>
      <c r="I66" s="900"/>
      <c r="J66" s="900"/>
      <c r="K66" s="900"/>
      <c r="L66" s="900"/>
      <c r="N66" s="950" t="str">
        <f>'00 Summary'!B49</f>
        <v>Industrial Processes</v>
      </c>
      <c r="O66" s="947">
        <v>0</v>
      </c>
      <c r="AL66" s="754"/>
      <c r="AM66" s="754"/>
    </row>
    <row r="67" spans="1:39" x14ac:dyDescent="0.4">
      <c r="A67" s="900"/>
      <c r="B67" s="900"/>
      <c r="C67" s="900"/>
      <c r="D67" s="900"/>
      <c r="E67" s="900"/>
      <c r="F67" s="900"/>
      <c r="G67" s="900"/>
      <c r="H67" s="900"/>
      <c r="I67" s="900"/>
      <c r="J67" s="900"/>
      <c r="K67" s="900"/>
      <c r="L67" s="900"/>
      <c r="N67" s="950" t="str">
        <f>'00 Summary'!B50</f>
        <v>Product Use</v>
      </c>
      <c r="O67" s="947">
        <f>'00 Summary'!V50</f>
        <v>1.825695847836674</v>
      </c>
      <c r="AL67" s="754"/>
      <c r="AM67" s="754"/>
    </row>
    <row r="68" spans="1:39" ht="14.25" x14ac:dyDescent="0.45">
      <c r="A68" s="900"/>
      <c r="B68" s="900"/>
      <c r="C68" s="900"/>
      <c r="D68" s="900"/>
      <c r="E68" s="900"/>
      <c r="F68" s="900"/>
      <c r="G68" s="900"/>
      <c r="H68" s="900"/>
      <c r="I68" s="900"/>
      <c r="J68" s="900"/>
      <c r="K68" s="900"/>
      <c r="L68" s="900"/>
      <c r="N68" s="925"/>
      <c r="O68" s="924"/>
      <c r="AL68" s="754"/>
      <c r="AM68" s="754"/>
    </row>
    <row r="69" spans="1:39" x14ac:dyDescent="0.4">
      <c r="A69" s="900"/>
      <c r="B69" s="900"/>
      <c r="C69" s="900"/>
      <c r="D69" s="900"/>
      <c r="E69" s="900"/>
      <c r="F69" s="900"/>
      <c r="G69" s="900"/>
      <c r="H69" s="900"/>
      <c r="I69" s="900"/>
      <c r="J69" s="900"/>
      <c r="K69" s="900"/>
      <c r="L69" s="900"/>
      <c r="N69" s="925"/>
      <c r="O69" s="945"/>
      <c r="AL69" s="754"/>
      <c r="AM69" s="754"/>
    </row>
    <row r="70" spans="1:39" x14ac:dyDescent="0.4">
      <c r="A70" s="900"/>
      <c r="B70" s="900"/>
      <c r="C70" s="900"/>
      <c r="D70" s="900"/>
      <c r="E70" s="900"/>
      <c r="F70" s="900"/>
      <c r="G70" s="900"/>
      <c r="H70" s="900"/>
      <c r="I70" s="900"/>
      <c r="J70" s="900"/>
      <c r="K70" s="900"/>
      <c r="L70" s="900"/>
      <c r="N70" s="925"/>
      <c r="O70" s="945"/>
      <c r="P70" s="925"/>
      <c r="AL70" s="754"/>
      <c r="AM70" s="754"/>
    </row>
    <row r="71" spans="1:39" x14ac:dyDescent="0.4">
      <c r="A71" s="900"/>
      <c r="B71" s="900"/>
      <c r="C71" s="900"/>
      <c r="D71" s="900"/>
      <c r="E71" s="900"/>
      <c r="F71" s="900"/>
      <c r="G71" s="900"/>
      <c r="H71" s="900"/>
      <c r="I71" s="900"/>
      <c r="J71" s="900"/>
      <c r="K71" s="900"/>
      <c r="L71" s="900"/>
      <c r="N71" s="925"/>
      <c r="O71" s="945"/>
      <c r="P71" s="925"/>
      <c r="AL71" s="754"/>
      <c r="AM71" s="754"/>
    </row>
    <row r="72" spans="1:39" x14ac:dyDescent="0.4">
      <c r="A72" s="900"/>
      <c r="B72" s="900"/>
      <c r="C72" s="900"/>
      <c r="D72" s="900"/>
      <c r="E72" s="900"/>
      <c r="F72" s="900"/>
      <c r="G72" s="900"/>
      <c r="H72" s="900"/>
      <c r="I72" s="900"/>
      <c r="J72" s="900"/>
      <c r="K72" s="900"/>
      <c r="L72" s="900"/>
      <c r="N72" s="925"/>
      <c r="O72" s="945"/>
      <c r="P72" s="925"/>
      <c r="AL72" s="754"/>
      <c r="AM72" s="754"/>
    </row>
    <row r="73" spans="1:39" x14ac:dyDescent="0.4">
      <c r="A73" s="900"/>
      <c r="B73" s="900"/>
      <c r="C73" s="900"/>
      <c r="D73" s="900"/>
      <c r="E73" s="900"/>
      <c r="F73" s="900"/>
      <c r="G73" s="900"/>
      <c r="H73" s="900"/>
      <c r="I73" s="900"/>
      <c r="J73" s="900"/>
      <c r="K73" s="900"/>
      <c r="L73" s="900"/>
      <c r="N73" s="925"/>
      <c r="O73" s="945"/>
      <c r="P73" s="925"/>
      <c r="AL73" s="754"/>
      <c r="AM73" s="754"/>
    </row>
    <row r="74" spans="1:39" x14ac:dyDescent="0.4">
      <c r="A74" s="900"/>
      <c r="B74" s="900"/>
      <c r="C74" s="900"/>
      <c r="D74" s="900"/>
      <c r="E74" s="900"/>
      <c r="F74" s="900"/>
      <c r="G74" s="900"/>
      <c r="H74" s="900"/>
      <c r="I74" s="900"/>
      <c r="J74" s="900"/>
      <c r="K74" s="900"/>
      <c r="L74" s="900"/>
      <c r="N74" s="925"/>
      <c r="O74" s="945"/>
      <c r="P74" s="925"/>
      <c r="AL74" s="754"/>
      <c r="AM74" s="754"/>
    </row>
    <row r="75" spans="1:39" x14ac:dyDescent="0.4">
      <c r="A75" s="900"/>
      <c r="B75" s="900"/>
      <c r="C75" s="900"/>
      <c r="D75" s="900"/>
      <c r="E75" s="900"/>
      <c r="F75" s="900"/>
      <c r="G75" s="900"/>
      <c r="H75" s="900"/>
      <c r="I75" s="900"/>
      <c r="J75" s="900"/>
      <c r="K75" s="900"/>
      <c r="L75" s="900"/>
      <c r="N75" s="925"/>
      <c r="O75" s="945"/>
      <c r="P75" s="925"/>
      <c r="AL75" s="754"/>
      <c r="AM75" s="754"/>
    </row>
    <row r="76" spans="1:39" x14ac:dyDescent="0.4">
      <c r="A76" s="900"/>
      <c r="B76" s="900"/>
      <c r="C76" s="900"/>
      <c r="D76" s="900"/>
      <c r="E76" s="900"/>
      <c r="F76" s="900"/>
      <c r="G76" s="900"/>
      <c r="H76" s="900"/>
      <c r="I76" s="900"/>
      <c r="J76" s="900"/>
      <c r="K76" s="900"/>
      <c r="L76" s="900"/>
      <c r="N76" s="925"/>
      <c r="O76" s="945"/>
      <c r="P76" s="925"/>
      <c r="AL76" s="754"/>
      <c r="AM76" s="754"/>
    </row>
    <row r="77" spans="1:39" x14ac:dyDescent="0.4">
      <c r="A77" s="900"/>
      <c r="B77" s="900"/>
      <c r="C77" s="900"/>
      <c r="D77" s="900"/>
      <c r="E77" s="900"/>
      <c r="F77" s="900"/>
      <c r="G77" s="900"/>
      <c r="H77" s="900"/>
      <c r="I77" s="900"/>
      <c r="J77" s="900"/>
      <c r="K77" s="900"/>
      <c r="L77" s="900"/>
      <c r="N77" s="925"/>
      <c r="O77" s="945"/>
      <c r="P77" s="925"/>
      <c r="AL77" s="754"/>
      <c r="AM77" s="754"/>
    </row>
    <row r="78" spans="1:39" x14ac:dyDescent="0.4">
      <c r="A78" s="900"/>
      <c r="B78" s="900"/>
      <c r="C78" s="900"/>
      <c r="D78" s="900"/>
      <c r="E78" s="900"/>
      <c r="F78" s="900"/>
      <c r="G78" s="900"/>
      <c r="H78" s="900"/>
      <c r="I78" s="900"/>
      <c r="J78" s="900"/>
      <c r="K78" s="900"/>
      <c r="L78" s="900"/>
      <c r="N78" s="925"/>
      <c r="O78" s="945"/>
      <c r="P78" s="925"/>
      <c r="AL78" s="754"/>
      <c r="AM78" s="754"/>
    </row>
    <row r="79" spans="1:39" x14ac:dyDescent="0.4">
      <c r="A79" s="900"/>
      <c r="B79" s="900"/>
      <c r="C79" s="900"/>
      <c r="D79" s="900"/>
      <c r="E79" s="900"/>
      <c r="F79" s="900"/>
      <c r="G79" s="900"/>
      <c r="H79" s="900"/>
      <c r="I79" s="900"/>
      <c r="J79" s="900"/>
      <c r="K79" s="900"/>
      <c r="L79" s="900"/>
      <c r="N79" s="925"/>
      <c r="O79" s="945"/>
      <c r="P79" s="925"/>
      <c r="AL79" s="754"/>
      <c r="AM79" s="754"/>
    </row>
    <row r="80" spans="1:39" x14ac:dyDescent="0.4">
      <c r="A80" s="900"/>
      <c r="B80" s="900"/>
      <c r="C80" s="900"/>
      <c r="D80" s="900"/>
      <c r="E80" s="900"/>
      <c r="F80" s="900"/>
      <c r="G80" s="900"/>
      <c r="H80" s="900"/>
      <c r="I80" s="900"/>
      <c r="J80" s="900"/>
      <c r="K80" s="900"/>
      <c r="L80" s="900"/>
      <c r="N80" s="925"/>
      <c r="O80" s="945"/>
      <c r="P80" s="925"/>
      <c r="AL80" s="754"/>
      <c r="AM80" s="754"/>
    </row>
    <row r="81" spans="1:39" x14ac:dyDescent="0.4">
      <c r="A81" s="900"/>
      <c r="B81" s="900"/>
      <c r="C81" s="900"/>
      <c r="D81" s="900"/>
      <c r="E81" s="900"/>
      <c r="F81" s="900"/>
      <c r="G81" s="900"/>
      <c r="H81" s="900"/>
      <c r="I81" s="900"/>
      <c r="J81" s="900"/>
      <c r="K81" s="900"/>
      <c r="L81" s="900"/>
      <c r="N81" s="925"/>
      <c r="O81" s="945"/>
      <c r="P81" s="925"/>
      <c r="AL81" s="754"/>
      <c r="AM81" s="754"/>
    </row>
    <row r="82" spans="1:39" ht="15.4" x14ac:dyDescent="0.55000000000000004">
      <c r="A82" s="900"/>
      <c r="B82" s="905" t="s">
        <v>1856</v>
      </c>
      <c r="C82" s="905" t="s">
        <v>1857</v>
      </c>
      <c r="D82" s="900"/>
      <c r="E82" s="900"/>
      <c r="F82" s="900"/>
      <c r="G82" s="900"/>
      <c r="H82" s="900"/>
      <c r="I82" s="900"/>
      <c r="J82" s="900"/>
      <c r="K82" s="900"/>
      <c r="L82" s="900"/>
      <c r="N82" s="925" t="s">
        <v>1882</v>
      </c>
      <c r="O82" s="945"/>
      <c r="P82" s="925"/>
      <c r="AL82" s="754"/>
      <c r="AM82" s="754"/>
    </row>
    <row r="83" spans="1:39" ht="15.4" x14ac:dyDescent="0.55000000000000004">
      <c r="A83" s="900"/>
      <c r="B83" s="900"/>
      <c r="C83" s="900"/>
      <c r="D83" s="900"/>
      <c r="E83" s="900"/>
      <c r="F83" s="900"/>
      <c r="G83" s="900"/>
      <c r="H83" s="900"/>
      <c r="I83" s="900"/>
      <c r="J83" s="900"/>
      <c r="K83" s="900"/>
      <c r="L83" s="900"/>
      <c r="N83" s="950" t="str">
        <f>'00 Summary'!B53</f>
        <v>III. AGRICULTURE</v>
      </c>
      <c r="O83" s="946" t="s">
        <v>1889</v>
      </c>
      <c r="P83" s="925"/>
      <c r="AL83" s="754"/>
      <c r="AM83" s="754"/>
    </row>
    <row r="84" spans="1:39" x14ac:dyDescent="0.4">
      <c r="A84" s="900"/>
      <c r="B84" s="900"/>
      <c r="C84" s="900"/>
      <c r="D84" s="900"/>
      <c r="E84" s="900"/>
      <c r="F84" s="900"/>
      <c r="G84" s="900"/>
      <c r="H84" s="900"/>
      <c r="I84" s="900"/>
      <c r="J84" s="900"/>
      <c r="K84" s="900"/>
      <c r="L84" s="900"/>
      <c r="N84" s="950" t="str">
        <f>'00 Summary'!B54</f>
        <v>Livestock</v>
      </c>
      <c r="O84" s="947">
        <f>'00 Summary'!V54</f>
        <v>1.0356521475130005E-2</v>
      </c>
      <c r="P84" s="925"/>
      <c r="AL84" s="754"/>
      <c r="AM84" s="754"/>
    </row>
    <row r="85" spans="1:39" x14ac:dyDescent="0.4">
      <c r="A85" s="900"/>
      <c r="B85" s="900"/>
      <c r="C85" s="900"/>
      <c r="D85" s="900"/>
      <c r="E85" s="900"/>
      <c r="F85" s="900"/>
      <c r="G85" s="900"/>
      <c r="H85" s="900"/>
      <c r="I85" s="900"/>
      <c r="J85" s="900"/>
      <c r="K85" s="900"/>
      <c r="L85" s="900"/>
      <c r="N85" s="950" t="str">
        <f>'00 Summary'!B55</f>
        <v>Land</v>
      </c>
      <c r="O85" s="947">
        <f>'00 Summary'!V55</f>
        <v>0.10236322178856604</v>
      </c>
      <c r="P85" s="925"/>
      <c r="AL85" s="754"/>
      <c r="AM85" s="754"/>
    </row>
    <row r="86" spans="1:39" x14ac:dyDescent="0.4">
      <c r="A86" s="900"/>
      <c r="B86" s="900"/>
      <c r="C86" s="900"/>
      <c r="D86" s="900"/>
      <c r="E86" s="900"/>
      <c r="F86" s="900"/>
      <c r="G86" s="900"/>
      <c r="H86" s="900"/>
      <c r="I86" s="900"/>
      <c r="J86" s="900"/>
      <c r="K86" s="900"/>
      <c r="L86" s="900"/>
      <c r="N86" s="950" t="str">
        <f>'00 Summary'!B56</f>
        <v>Aggregate Sources and Non-CO2 Emissions Sources on Land</v>
      </c>
      <c r="O86" s="947">
        <f>'00 Summary'!V56</f>
        <v>0</v>
      </c>
      <c r="P86" s="925"/>
      <c r="AL86" s="754"/>
      <c r="AM86" s="754"/>
    </row>
    <row r="87" spans="1:39" x14ac:dyDescent="0.4">
      <c r="A87" s="900"/>
      <c r="B87" s="900"/>
      <c r="C87" s="900"/>
      <c r="D87" s="900"/>
      <c r="E87" s="900"/>
      <c r="F87" s="900"/>
      <c r="G87" s="900"/>
      <c r="H87" s="900"/>
      <c r="I87" s="900"/>
      <c r="J87" s="900"/>
      <c r="K87" s="900"/>
      <c r="L87" s="900"/>
      <c r="N87" s="950" t="str">
        <f>'00 Summary'!B57</f>
        <v>Other</v>
      </c>
      <c r="O87" s="947">
        <f>'00 Summary'!V57</f>
        <v>6.4362579149010966E-3</v>
      </c>
      <c r="P87" s="925"/>
      <c r="AL87" s="754"/>
      <c r="AM87" s="754"/>
    </row>
    <row r="88" spans="1:39" x14ac:dyDescent="0.4">
      <c r="A88" s="900"/>
      <c r="B88" s="900"/>
      <c r="C88" s="900"/>
      <c r="D88" s="900"/>
      <c r="E88" s="900"/>
      <c r="F88" s="900"/>
      <c r="G88" s="900"/>
      <c r="H88" s="900"/>
      <c r="I88" s="900"/>
      <c r="J88" s="900"/>
      <c r="K88" s="900"/>
      <c r="L88" s="900"/>
      <c r="N88" s="925"/>
      <c r="O88" s="925"/>
      <c r="AL88" s="754"/>
      <c r="AM88" s="754"/>
    </row>
    <row r="89" spans="1:39" x14ac:dyDescent="0.4">
      <c r="A89" s="900"/>
      <c r="B89" s="900"/>
      <c r="C89" s="900"/>
      <c r="D89" s="900"/>
      <c r="E89" s="900"/>
      <c r="F89" s="900"/>
      <c r="G89" s="900"/>
      <c r="H89" s="900"/>
      <c r="I89" s="900"/>
      <c r="J89" s="900"/>
      <c r="K89" s="900"/>
      <c r="L89" s="900"/>
      <c r="N89" s="925"/>
      <c r="O89" s="925"/>
      <c r="AL89" s="754"/>
      <c r="AM89" s="754"/>
    </row>
    <row r="90" spans="1:39" x14ac:dyDescent="0.4">
      <c r="A90" s="900"/>
      <c r="B90" s="900"/>
      <c r="C90" s="900"/>
      <c r="D90" s="900"/>
      <c r="E90" s="900"/>
      <c r="F90" s="900"/>
      <c r="G90" s="900"/>
      <c r="H90" s="900"/>
      <c r="I90" s="900"/>
      <c r="J90" s="900"/>
      <c r="K90" s="900"/>
      <c r="L90" s="900"/>
      <c r="N90" s="925"/>
      <c r="O90" s="925"/>
      <c r="AL90" s="754"/>
      <c r="AM90" s="754"/>
    </row>
    <row r="91" spans="1:39" x14ac:dyDescent="0.4">
      <c r="A91" s="900"/>
      <c r="B91" s="900"/>
      <c r="C91" s="900"/>
      <c r="D91" s="900"/>
      <c r="E91" s="900"/>
      <c r="F91" s="900"/>
      <c r="G91" s="900"/>
      <c r="H91" s="900"/>
      <c r="I91" s="900"/>
      <c r="J91" s="900"/>
      <c r="K91" s="900"/>
      <c r="L91" s="900"/>
      <c r="N91" s="925"/>
      <c r="O91" s="925"/>
      <c r="AL91" s="754"/>
      <c r="AM91" s="754"/>
    </row>
    <row r="92" spans="1:39" ht="18" x14ac:dyDescent="0.55000000000000004">
      <c r="A92" s="900"/>
      <c r="B92" s="900"/>
      <c r="C92" s="900"/>
      <c r="D92" s="900"/>
      <c r="E92" s="900"/>
      <c r="F92" s="900"/>
      <c r="G92" s="900"/>
      <c r="H92" s="900"/>
      <c r="I92" s="900"/>
      <c r="J92" s="900"/>
      <c r="K92" s="900"/>
      <c r="L92" s="900"/>
      <c r="N92" s="912"/>
      <c r="O92" s="925"/>
      <c r="AL92" s="754"/>
      <c r="AM92" s="754"/>
    </row>
    <row r="93" spans="1:39" ht="18" x14ac:dyDescent="0.55000000000000004">
      <c r="A93" s="900"/>
      <c r="B93" s="900"/>
      <c r="C93" s="900"/>
      <c r="D93" s="900"/>
      <c r="E93" s="900"/>
      <c r="F93" s="900"/>
      <c r="G93" s="900"/>
      <c r="H93" s="900"/>
      <c r="I93" s="900"/>
      <c r="J93" s="900"/>
      <c r="K93" s="900"/>
      <c r="L93" s="900"/>
      <c r="N93" s="912"/>
      <c r="O93" s="925"/>
      <c r="AL93" s="754"/>
      <c r="AM93" s="754"/>
    </row>
    <row r="94" spans="1:39" ht="18" x14ac:dyDescent="0.55000000000000004">
      <c r="A94" s="900"/>
      <c r="B94" s="900"/>
      <c r="C94" s="900"/>
      <c r="D94" s="900"/>
      <c r="E94" s="900"/>
      <c r="F94" s="900"/>
      <c r="G94" s="900"/>
      <c r="H94" s="900"/>
      <c r="I94" s="900"/>
      <c r="J94" s="900"/>
      <c r="K94" s="900"/>
      <c r="L94" s="900"/>
      <c r="N94" s="912"/>
      <c r="O94" s="925"/>
      <c r="AL94" s="754"/>
      <c r="AM94" s="754"/>
    </row>
    <row r="95" spans="1:39" ht="18" x14ac:dyDescent="0.55000000000000004">
      <c r="A95" s="900"/>
      <c r="B95" s="900"/>
      <c r="C95" s="900"/>
      <c r="D95" s="900"/>
      <c r="E95" s="900"/>
      <c r="F95" s="900"/>
      <c r="G95" s="900"/>
      <c r="H95" s="900"/>
      <c r="I95" s="900"/>
      <c r="J95" s="900"/>
      <c r="K95" s="900"/>
      <c r="L95" s="900"/>
      <c r="N95" s="912"/>
      <c r="O95" s="925"/>
      <c r="AL95" s="754"/>
      <c r="AM95" s="754"/>
    </row>
    <row r="96" spans="1:39" ht="18" x14ac:dyDescent="0.55000000000000004">
      <c r="A96" s="900"/>
      <c r="B96" s="900"/>
      <c r="C96" s="900"/>
      <c r="D96" s="900"/>
      <c r="E96" s="900"/>
      <c r="F96" s="900"/>
      <c r="G96" s="900"/>
      <c r="H96" s="900"/>
      <c r="I96" s="900"/>
      <c r="J96" s="900"/>
      <c r="K96" s="900"/>
      <c r="L96" s="900"/>
      <c r="N96" s="912"/>
      <c r="O96" s="925"/>
      <c r="AL96" s="754"/>
      <c r="AM96" s="754"/>
    </row>
    <row r="97" spans="1:39" ht="15.4" x14ac:dyDescent="0.55000000000000004">
      <c r="A97" s="900"/>
      <c r="B97" s="900"/>
      <c r="C97" s="900"/>
      <c r="D97" s="900"/>
      <c r="E97" s="900"/>
      <c r="F97" s="900"/>
      <c r="G97" s="900"/>
      <c r="H97" s="900"/>
      <c r="I97" s="900"/>
      <c r="J97" s="900"/>
      <c r="K97" s="900"/>
      <c r="L97" s="900"/>
      <c r="N97" s="925" t="s">
        <v>1881</v>
      </c>
      <c r="O97" s="925"/>
      <c r="AL97" s="754"/>
      <c r="AM97" s="754"/>
    </row>
    <row r="98" spans="1:39" ht="16.149999999999999" x14ac:dyDescent="0.55000000000000004">
      <c r="A98" s="900"/>
      <c r="B98" s="905" t="s">
        <v>1858</v>
      </c>
      <c r="C98" s="905" t="s">
        <v>1859</v>
      </c>
      <c r="D98" s="900"/>
      <c r="E98" s="900"/>
      <c r="F98" s="900"/>
      <c r="G98" s="900"/>
      <c r="H98" s="900"/>
      <c r="I98" s="900"/>
      <c r="J98" s="900"/>
      <c r="K98" s="900"/>
      <c r="L98" s="900"/>
      <c r="N98" s="952" t="str">
        <f>'00 Summary'!B61</f>
        <v>IV. WASTE</v>
      </c>
      <c r="O98" s="946" t="s">
        <v>1889</v>
      </c>
      <c r="AL98" s="754"/>
      <c r="AM98" s="754"/>
    </row>
    <row r="99" spans="1:39" x14ac:dyDescent="0.4">
      <c r="A99" s="900"/>
      <c r="B99" s="900"/>
      <c r="C99" s="900"/>
      <c r="D99" s="900"/>
      <c r="E99" s="900"/>
      <c r="F99" s="900"/>
      <c r="G99" s="900"/>
      <c r="H99" s="900"/>
      <c r="I99" s="900"/>
      <c r="J99" s="900"/>
      <c r="K99" s="900"/>
      <c r="L99" s="900"/>
      <c r="N99" s="950" t="str">
        <f>'00 Summary'!B62</f>
        <v>Solid waste disposal</v>
      </c>
      <c r="O99" s="2170">
        <f>'00 Summary'!V62</f>
        <v>0.67500000000000004</v>
      </c>
      <c r="AL99" s="754"/>
      <c r="AM99" s="754"/>
    </row>
    <row r="100" spans="1:39" x14ac:dyDescent="0.4">
      <c r="A100" s="900"/>
      <c r="B100" s="900"/>
      <c r="C100" s="900"/>
      <c r="D100" s="900"/>
      <c r="E100" s="900"/>
      <c r="F100" s="900"/>
      <c r="G100" s="900"/>
      <c r="H100" s="900"/>
      <c r="I100" s="900"/>
      <c r="J100" s="900"/>
      <c r="K100" s="900"/>
      <c r="L100" s="900"/>
      <c r="N100" s="950" t="str">
        <f>'00 Summary'!B63</f>
        <v>Biological treatment of waste</v>
      </c>
      <c r="O100" s="2170">
        <f>'00 Summary'!V63</f>
        <v>2.8922562187199991E-2</v>
      </c>
      <c r="AL100" s="754"/>
      <c r="AM100" s="754"/>
    </row>
    <row r="101" spans="1:39" x14ac:dyDescent="0.4">
      <c r="A101" s="900"/>
      <c r="B101" s="900"/>
      <c r="C101" s="900"/>
      <c r="D101" s="900"/>
      <c r="E101" s="900"/>
      <c r="F101" s="900"/>
      <c r="G101" s="900"/>
      <c r="H101" s="900"/>
      <c r="I101" s="900"/>
      <c r="J101" s="900"/>
      <c r="K101" s="900"/>
      <c r="L101" s="900"/>
      <c r="N101" s="950" t="str">
        <f>'00 Summary'!B64</f>
        <v>Wastewater treatment and discharge</v>
      </c>
      <c r="O101" s="2170">
        <f>'00 Summary'!V64</f>
        <v>0.46298820000000002</v>
      </c>
      <c r="AL101" s="754"/>
      <c r="AM101" s="754"/>
    </row>
    <row r="102" spans="1:39" x14ac:dyDescent="0.4">
      <c r="A102" s="900"/>
      <c r="B102" s="900"/>
      <c r="C102" s="900"/>
      <c r="D102" s="900"/>
      <c r="E102" s="900"/>
      <c r="F102" s="900"/>
      <c r="G102" s="900"/>
      <c r="H102" s="900"/>
      <c r="I102" s="900"/>
      <c r="J102" s="900"/>
      <c r="K102" s="900"/>
      <c r="L102" s="900"/>
      <c r="AL102" s="754"/>
      <c r="AM102" s="754"/>
    </row>
    <row r="103" spans="1:39" ht="18" x14ac:dyDescent="0.55000000000000004">
      <c r="A103" s="900"/>
      <c r="B103" s="900"/>
      <c r="C103" s="900"/>
      <c r="D103" s="900"/>
      <c r="E103" s="900"/>
      <c r="F103" s="900"/>
      <c r="G103" s="900"/>
      <c r="H103" s="900"/>
      <c r="I103" s="900"/>
      <c r="J103" s="900"/>
      <c r="K103" s="900"/>
      <c r="L103" s="900"/>
      <c r="N103" s="912"/>
      <c r="O103" s="925"/>
      <c r="AL103" s="754"/>
      <c r="AM103" s="754"/>
    </row>
    <row r="104" spans="1:39" ht="18" x14ac:dyDescent="0.55000000000000004">
      <c r="A104" s="900"/>
      <c r="B104" s="900"/>
      <c r="C104" s="900"/>
      <c r="D104" s="900"/>
      <c r="E104" s="900"/>
      <c r="F104" s="900"/>
      <c r="G104" s="900"/>
      <c r="H104" s="900"/>
      <c r="I104" s="900"/>
      <c r="J104" s="900"/>
      <c r="K104" s="900"/>
      <c r="L104" s="900"/>
      <c r="N104" s="912"/>
      <c r="O104" s="925"/>
      <c r="AL104" s="754"/>
      <c r="AM104" s="754"/>
    </row>
    <row r="105" spans="1:39" ht="18" x14ac:dyDescent="0.55000000000000004">
      <c r="A105" s="900"/>
      <c r="B105" s="900"/>
      <c r="C105" s="900"/>
      <c r="D105" s="900"/>
      <c r="E105" s="900"/>
      <c r="F105" s="900"/>
      <c r="G105" s="900"/>
      <c r="H105" s="900"/>
      <c r="I105" s="900"/>
      <c r="J105" s="900"/>
      <c r="K105" s="900"/>
      <c r="L105" s="900"/>
      <c r="N105" s="912"/>
      <c r="O105" s="925"/>
      <c r="AL105" s="754"/>
      <c r="AM105" s="754"/>
    </row>
    <row r="106" spans="1:39" ht="18" x14ac:dyDescent="0.55000000000000004">
      <c r="A106" s="900"/>
      <c r="B106" s="900"/>
      <c r="C106" s="900"/>
      <c r="D106" s="900"/>
      <c r="E106" s="900"/>
      <c r="F106" s="900"/>
      <c r="G106" s="900"/>
      <c r="H106" s="900"/>
      <c r="I106" s="900"/>
      <c r="J106" s="900"/>
      <c r="K106" s="900"/>
      <c r="L106" s="900"/>
      <c r="N106" s="912"/>
      <c r="O106" s="925"/>
      <c r="AL106" s="754"/>
      <c r="AM106" s="754"/>
    </row>
    <row r="107" spans="1:39" ht="18" x14ac:dyDescent="0.55000000000000004">
      <c r="A107" s="900"/>
      <c r="B107" s="900"/>
      <c r="C107" s="900"/>
      <c r="D107" s="900"/>
      <c r="E107" s="900"/>
      <c r="F107" s="900"/>
      <c r="G107" s="900"/>
      <c r="H107" s="900"/>
      <c r="I107" s="900"/>
      <c r="J107" s="900"/>
      <c r="K107" s="900"/>
      <c r="L107" s="900"/>
      <c r="N107" s="912"/>
      <c r="O107" s="925"/>
      <c r="AL107" s="754"/>
      <c r="AM107" s="754"/>
    </row>
    <row r="108" spans="1:39" ht="18" x14ac:dyDescent="0.55000000000000004">
      <c r="A108" s="900"/>
      <c r="B108" s="900"/>
      <c r="C108" s="900"/>
      <c r="D108" s="900"/>
      <c r="E108" s="900"/>
      <c r="F108" s="900"/>
      <c r="G108" s="900"/>
      <c r="H108" s="900"/>
      <c r="I108" s="900"/>
      <c r="J108" s="900"/>
      <c r="K108" s="900"/>
      <c r="L108" s="900"/>
      <c r="N108" s="912"/>
      <c r="O108" s="925"/>
      <c r="AL108" s="754"/>
      <c r="AM108" s="754"/>
    </row>
    <row r="109" spans="1:39" ht="18" x14ac:dyDescent="0.55000000000000004">
      <c r="A109" s="900"/>
      <c r="B109" s="900"/>
      <c r="C109" s="900"/>
      <c r="D109" s="900"/>
      <c r="E109" s="900"/>
      <c r="F109" s="900"/>
      <c r="G109" s="900"/>
      <c r="H109" s="900"/>
      <c r="I109" s="900"/>
      <c r="J109" s="900"/>
      <c r="K109" s="900"/>
      <c r="L109" s="900"/>
      <c r="N109" s="912"/>
      <c r="O109" s="925"/>
      <c r="AL109" s="754"/>
      <c r="AM109" s="754"/>
    </row>
    <row r="110" spans="1:39" ht="18" x14ac:dyDescent="0.55000000000000004">
      <c r="A110" s="900"/>
      <c r="B110" s="900"/>
      <c r="C110" s="900"/>
      <c r="D110" s="900"/>
      <c r="E110" s="900"/>
      <c r="F110" s="900"/>
      <c r="G110" s="900"/>
      <c r="H110" s="900"/>
      <c r="I110" s="900"/>
      <c r="J110" s="900"/>
      <c r="K110" s="900"/>
      <c r="L110" s="900"/>
      <c r="N110" s="912"/>
      <c r="O110" s="925"/>
      <c r="AL110" s="754"/>
      <c r="AM110" s="754"/>
    </row>
    <row r="111" spans="1:39" ht="18" x14ac:dyDescent="0.55000000000000004">
      <c r="A111" s="900"/>
      <c r="B111" s="900"/>
      <c r="C111" s="900"/>
      <c r="D111" s="900"/>
      <c r="E111" s="900"/>
      <c r="F111" s="900"/>
      <c r="G111" s="900"/>
      <c r="H111" s="900"/>
      <c r="I111" s="900"/>
      <c r="J111" s="900"/>
      <c r="K111" s="900"/>
      <c r="L111" s="900"/>
      <c r="N111" s="912"/>
      <c r="O111" s="925"/>
      <c r="AL111" s="754"/>
      <c r="AM111" s="754"/>
    </row>
    <row r="112" spans="1:39" ht="15.4" x14ac:dyDescent="0.55000000000000004">
      <c r="A112" s="900"/>
      <c r="B112" s="905" t="s">
        <v>1860</v>
      </c>
      <c r="C112" s="905" t="s">
        <v>1861</v>
      </c>
      <c r="D112" s="900"/>
      <c r="E112" s="900"/>
      <c r="F112" s="900"/>
      <c r="G112" s="900"/>
      <c r="H112" s="900"/>
      <c r="I112" s="900"/>
      <c r="J112" s="900"/>
      <c r="K112" s="900"/>
      <c r="L112" s="900"/>
      <c r="N112" s="925" t="s">
        <v>1880</v>
      </c>
      <c r="O112" s="925"/>
      <c r="AL112" s="754"/>
      <c r="AM112" s="754"/>
    </row>
    <row r="113" spans="1:39" ht="18" x14ac:dyDescent="0.55000000000000004">
      <c r="A113" s="900"/>
      <c r="B113" s="900"/>
      <c r="C113" s="900"/>
      <c r="D113" s="900"/>
      <c r="E113" s="900"/>
      <c r="F113" s="900"/>
      <c r="G113" s="900"/>
      <c r="H113" s="900"/>
      <c r="I113" s="900"/>
      <c r="J113" s="900"/>
      <c r="K113" s="900"/>
      <c r="L113" s="900"/>
      <c r="N113" s="987" t="s">
        <v>380</v>
      </c>
      <c r="O113" s="946">
        <f>'00 Summary'!C16</f>
        <v>1990</v>
      </c>
      <c r="P113" s="946">
        <f>'00 Summary'!D16</f>
        <v>2000</v>
      </c>
      <c r="Q113" s="946">
        <f>'00 Summary'!E16</f>
        <v>2001</v>
      </c>
      <c r="R113" s="946">
        <f>'00 Summary'!F16</f>
        <v>2002</v>
      </c>
      <c r="S113" s="946">
        <f>'00 Summary'!G16</f>
        <v>2003</v>
      </c>
      <c r="T113" s="946">
        <f>'00 Summary'!H16</f>
        <v>2004</v>
      </c>
      <c r="U113" s="946">
        <f>'00 Summary'!I16</f>
        <v>2005</v>
      </c>
      <c r="V113" s="946">
        <f>'00 Summary'!J16</f>
        <v>2006</v>
      </c>
      <c r="W113" s="946">
        <f>'00 Summary'!K16</f>
        <v>2007</v>
      </c>
      <c r="X113" s="946">
        <f>'00 Summary'!L16</f>
        <v>2008</v>
      </c>
      <c r="Y113" s="946">
        <f>'00 Summary'!M16</f>
        <v>2009</v>
      </c>
      <c r="Z113" s="946">
        <f>'00 Summary'!N16</f>
        <v>2010</v>
      </c>
      <c r="AA113" s="946">
        <f>'00 Summary'!O16</f>
        <v>2011</v>
      </c>
      <c r="AB113" s="946">
        <f>'00 Summary'!P16</f>
        <v>2012</v>
      </c>
      <c r="AC113" s="946">
        <f>'00 Summary'!Q16</f>
        <v>2013</v>
      </c>
      <c r="AD113" s="946">
        <f>'00 Summary'!R16</f>
        <v>2014</v>
      </c>
      <c r="AE113" s="946">
        <f>'00 Summary'!S16</f>
        <v>2015</v>
      </c>
      <c r="AF113" s="946">
        <f>'00 Summary'!T16</f>
        <v>2016</v>
      </c>
      <c r="AG113" s="946">
        <f>'00 Summary'!U16</f>
        <v>2017</v>
      </c>
      <c r="AH113" s="946">
        <f>'00 Summary'!V16</f>
        <v>2018</v>
      </c>
      <c r="AI113" s="925"/>
      <c r="AL113" s="754"/>
      <c r="AM113" s="754"/>
    </row>
    <row r="114" spans="1:39" x14ac:dyDescent="0.4">
      <c r="A114" s="900"/>
      <c r="B114" s="900"/>
      <c r="C114" s="900"/>
      <c r="D114" s="900"/>
      <c r="E114" s="900"/>
      <c r="F114" s="900"/>
      <c r="G114" s="900"/>
      <c r="H114" s="900"/>
      <c r="I114" s="900"/>
      <c r="J114" s="900"/>
      <c r="K114" s="900"/>
      <c r="L114" s="900"/>
      <c r="N114" s="950" t="s">
        <v>591</v>
      </c>
      <c r="O114" s="951">
        <f>'00 Summary'!C24</f>
        <v>15.84</v>
      </c>
      <c r="P114" s="951">
        <f>'00 Summary'!D24</f>
        <v>17.536663452518578</v>
      </c>
      <c r="Q114" s="951">
        <f>'00 Summary'!E24</f>
        <v>17.791542439466198</v>
      </c>
      <c r="R114" s="951">
        <f>'00 Summary'!F24</f>
        <v>17.950073834644932</v>
      </c>
      <c r="S114" s="951">
        <f>'00 Summary'!G24</f>
        <v>18.108605229823667</v>
      </c>
      <c r="T114" s="951">
        <f>'00 Summary'!H24</f>
        <v>16.848706487438324</v>
      </c>
      <c r="U114" s="951">
        <f>'00 Summary'!I24</f>
        <v>17.30996</v>
      </c>
      <c r="V114" s="951">
        <f>'00 Summary'!J24</f>
        <v>17.224459999999997</v>
      </c>
      <c r="W114" s="951">
        <f>'00 Summary'!K24</f>
        <v>16.838250000000002</v>
      </c>
      <c r="X114" s="951">
        <f>'00 Summary'!L24</f>
        <v>16.925860000000004</v>
      </c>
      <c r="Y114" s="951">
        <f>'00 Summary'!M24</f>
        <v>15.251250000000001</v>
      </c>
      <c r="Z114" s="951">
        <f>'00 Summary'!N24</f>
        <v>15.884247297054664</v>
      </c>
      <c r="AA114" s="951">
        <f>'00 Summary'!O24</f>
        <v>13.943076901887913</v>
      </c>
      <c r="AB114" s="951">
        <f>'00 Summary'!P24</f>
        <v>15.342948224642974</v>
      </c>
      <c r="AC114" s="951">
        <f>'00 Summary'!Q24</f>
        <v>14.909872299554445</v>
      </c>
      <c r="AD114" s="951">
        <f>'00 Summary'!R24</f>
        <v>13.381977390041097</v>
      </c>
      <c r="AE114" s="951">
        <f>'00 Summary'!S24</f>
        <v>12.129001775718693</v>
      </c>
      <c r="AF114" s="951">
        <f>'00 Summary'!T24</f>
        <v>11.399518991473553</v>
      </c>
      <c r="AG114" s="951">
        <f>'00 Summary'!U24</f>
        <v>11.336967484360846</v>
      </c>
      <c r="AH114" s="951">
        <f>'00 Summary'!V24</f>
        <v>10.567739756779782</v>
      </c>
      <c r="AL114" s="754"/>
      <c r="AM114" s="754"/>
    </row>
    <row r="115" spans="1:39" x14ac:dyDescent="0.4">
      <c r="A115" s="900"/>
      <c r="B115" s="900"/>
      <c r="C115" s="900"/>
      <c r="D115" s="900"/>
      <c r="E115" s="900"/>
      <c r="F115" s="900"/>
      <c r="G115" s="900"/>
      <c r="H115" s="900"/>
      <c r="I115" s="900"/>
      <c r="J115" s="900"/>
      <c r="K115" s="900"/>
      <c r="L115" s="900"/>
      <c r="N115" s="950" t="s">
        <v>1846</v>
      </c>
      <c r="O115" s="951">
        <f>'00 Summary'!C35</f>
        <v>19.739999999999998</v>
      </c>
      <c r="P115" s="951">
        <f>'00 Summary'!D35</f>
        <v>24.06439736844953</v>
      </c>
      <c r="Q115" s="951">
        <f>'00 Summary'!E35</f>
        <v>21.757410238405313</v>
      </c>
      <c r="R115" s="951">
        <f>'00 Summary'!F35</f>
        <v>21.102602551810513</v>
      </c>
      <c r="S115" s="951">
        <f>'00 Summary'!G35</f>
        <v>20.447794865215712</v>
      </c>
      <c r="T115" s="951">
        <f>'00 Summary'!H35</f>
        <v>20.054620596406679</v>
      </c>
      <c r="U115" s="951">
        <f>'00 Summary'!I35</f>
        <v>19.229485935633587</v>
      </c>
      <c r="V115" s="951">
        <f>'00 Summary'!J35</f>
        <v>20.620087344655516</v>
      </c>
      <c r="W115" s="951">
        <f>'00 Summary'!K35</f>
        <v>19.847267344655517</v>
      </c>
      <c r="X115" s="951">
        <f>'00 Summary'!L35</f>
        <v>19.851689294530832</v>
      </c>
      <c r="Y115" s="951">
        <f>'00 Summary'!M35</f>
        <v>17.37830929453083</v>
      </c>
      <c r="Z115" s="951">
        <f>'00 Summary'!N35</f>
        <v>18.223314387780338</v>
      </c>
      <c r="AA115" s="951">
        <f>'00 Summary'!O35</f>
        <v>16.118936530412956</v>
      </c>
      <c r="AB115" s="951">
        <f>'00 Summary'!P35</f>
        <v>18.402126739177714</v>
      </c>
      <c r="AC115" s="951">
        <f>'00 Summary'!Q35</f>
        <v>17.285541393485385</v>
      </c>
      <c r="AD115" s="951">
        <f>'00 Summary'!R35</f>
        <v>15.986608773965372</v>
      </c>
      <c r="AE115" s="951">
        <f>'00 Summary'!S35</f>
        <v>13.497882454018137</v>
      </c>
      <c r="AF115" s="951">
        <f>'00 Summary'!T35</f>
        <v>11.625141355846177</v>
      </c>
      <c r="AG115" s="951">
        <f>'00 Summary'!U35</f>
        <v>10.992647545128374</v>
      </c>
      <c r="AH115" s="951">
        <f>'00 Summary'!V35</f>
        <v>10.419463682626466</v>
      </c>
      <c r="AL115" s="754"/>
      <c r="AM115" s="754"/>
    </row>
    <row r="116" spans="1:39" x14ac:dyDescent="0.4">
      <c r="A116" s="900"/>
      <c r="B116" s="900"/>
      <c r="C116" s="900"/>
      <c r="D116" s="900"/>
      <c r="E116" s="900"/>
      <c r="F116" s="900"/>
      <c r="G116" s="900"/>
      <c r="H116" s="900"/>
      <c r="I116" s="900"/>
      <c r="J116" s="900"/>
      <c r="K116" s="900"/>
      <c r="L116" s="900"/>
      <c r="N116" s="950" t="s">
        <v>570</v>
      </c>
      <c r="O116" s="951">
        <f>'00 Summary'!C46</f>
        <v>9.4742967447756588</v>
      </c>
      <c r="P116" s="951">
        <f>'00 Summary'!D46</f>
        <v>8.7129081507520318</v>
      </c>
      <c r="Q116" s="951">
        <f>'00 Summary'!E46</f>
        <v>9.3089775989662691</v>
      </c>
      <c r="R116" s="951">
        <f>'00 Summary'!F46</f>
        <v>9.8815826110178921</v>
      </c>
      <c r="S116" s="951">
        <f>'00 Summary'!G46</f>
        <v>10.454187623069517</v>
      </c>
      <c r="T116" s="951">
        <f>'00 Summary'!H46</f>
        <v>9.6540478556220997</v>
      </c>
      <c r="U116" s="951">
        <f>'00 Summary'!I46</f>
        <v>9.8615973693906565</v>
      </c>
      <c r="V116" s="951">
        <f>'00 Summary'!J46</f>
        <v>9.7935291321665705</v>
      </c>
      <c r="W116" s="951">
        <f>'00 Summary'!K46</f>
        <v>9.7935291321665705</v>
      </c>
      <c r="X116" s="951">
        <f>'00 Summary'!L46</f>
        <v>9.8950981968215466</v>
      </c>
      <c r="Y116" s="951">
        <f>'00 Summary'!M46</f>
        <v>9.8950981968215466</v>
      </c>
      <c r="Z116" s="951">
        <f>'00 Summary'!N46</f>
        <v>8.5150214187329727</v>
      </c>
      <c r="AA116" s="951">
        <f>'00 Summary'!O46</f>
        <v>8.5783582987357399</v>
      </c>
      <c r="AB116" s="951">
        <f>'00 Summary'!P46</f>
        <v>8.5783582987357399</v>
      </c>
      <c r="AC116" s="951">
        <f>'00 Summary'!Q46</f>
        <v>8.679569809333568</v>
      </c>
      <c r="AD116" s="951">
        <f>'00 Summary'!R46</f>
        <v>8.5745973625027609</v>
      </c>
      <c r="AE116" s="951">
        <f>'00 Summary'!S46</f>
        <v>8.2824103709615073</v>
      </c>
      <c r="AF116" s="951">
        <f>'00 Summary'!T46</f>
        <v>8.3312447261459646</v>
      </c>
      <c r="AG116" s="951">
        <f>'00 Summary'!U46</f>
        <v>7.9592859750658551</v>
      </c>
      <c r="AH116" s="951">
        <f>'00 Summary'!V46</f>
        <v>8.10938324344332</v>
      </c>
      <c r="AL116" s="754"/>
      <c r="AM116" s="754"/>
    </row>
    <row r="117" spans="1:39" x14ac:dyDescent="0.4">
      <c r="A117" s="900"/>
      <c r="B117" s="900"/>
      <c r="C117" s="900"/>
      <c r="D117" s="900"/>
      <c r="E117" s="900"/>
      <c r="F117" s="900"/>
      <c r="G117" s="900"/>
      <c r="H117" s="900"/>
      <c r="I117" s="900"/>
      <c r="J117" s="900"/>
      <c r="K117" s="900"/>
      <c r="L117" s="900"/>
      <c r="N117" s="950" t="s">
        <v>192</v>
      </c>
      <c r="O117" s="951">
        <f>'00 Summary'!C51</f>
        <v>0.1353614480747207</v>
      </c>
      <c r="P117" s="951">
        <f>'00 Summary'!D51</f>
        <v>0.47769356014084075</v>
      </c>
      <c r="Q117" s="951">
        <f>'00 Summary'!E51</f>
        <v>0.82002567220696077</v>
      </c>
      <c r="R117" s="951">
        <f>'00 Summary'!F51</f>
        <v>1.1623577842730808</v>
      </c>
      <c r="S117" s="951">
        <f>'00 Summary'!G51</f>
        <v>1.504689896339201</v>
      </c>
      <c r="T117" s="951">
        <f>'00 Summary'!H51</f>
        <v>1.647091885301589</v>
      </c>
      <c r="U117" s="951">
        <f>'00 Summary'!I51</f>
        <v>1.8176196885080351</v>
      </c>
      <c r="V117" s="951">
        <f>'00 Summary'!J51</f>
        <v>1.9187888333323815</v>
      </c>
      <c r="W117" s="951">
        <f>'00 Summary'!K51</f>
        <v>2.0151516298772565</v>
      </c>
      <c r="X117" s="951">
        <f>'00 Summary'!L51</f>
        <v>2.0776144178820997</v>
      </c>
      <c r="Y117" s="951">
        <f>'00 Summary'!M51</f>
        <v>2.1595778697555623</v>
      </c>
      <c r="Z117" s="951">
        <f>'00 Summary'!N51</f>
        <v>2.2869816644319361</v>
      </c>
      <c r="AA117" s="951">
        <f>'00 Summary'!O51</f>
        <v>2.0713508781937842</v>
      </c>
      <c r="AB117" s="951">
        <f>'00 Summary'!P51</f>
        <v>2.145738402109032</v>
      </c>
      <c r="AC117" s="951">
        <f>'00 Summary'!Q51</f>
        <v>2.1839809917178226</v>
      </c>
      <c r="AD117" s="951">
        <f>'00 Summary'!R51</f>
        <v>2.2130468519393287</v>
      </c>
      <c r="AE117" s="951">
        <f>'00 Summary'!S51</f>
        <v>2.2115426661086151</v>
      </c>
      <c r="AF117" s="951">
        <f>'00 Summary'!T51</f>
        <v>2.1121711517106307</v>
      </c>
      <c r="AG117" s="951">
        <f>'00 Summary'!U51</f>
        <v>1.969070478008512</v>
      </c>
      <c r="AH117" s="951">
        <f>'00 Summary'!V51</f>
        <v>1.825695847836674</v>
      </c>
      <c r="AL117" s="754"/>
      <c r="AM117" s="754"/>
    </row>
    <row r="118" spans="1:39" x14ac:dyDescent="0.4">
      <c r="A118" s="900"/>
      <c r="B118" s="900"/>
      <c r="C118" s="900"/>
      <c r="D118" s="900"/>
      <c r="E118" s="900"/>
      <c r="F118" s="900"/>
      <c r="G118" s="900"/>
      <c r="H118" s="900"/>
      <c r="I118" s="900"/>
      <c r="J118" s="900"/>
      <c r="K118" s="900"/>
      <c r="L118" s="900"/>
      <c r="N118" s="950" t="s">
        <v>167</v>
      </c>
      <c r="O118" s="951">
        <f>'00 Summary'!C58</f>
        <v>0.17513570513644833</v>
      </c>
      <c r="P118" s="951">
        <f>'00 Summary'!D58</f>
        <v>0.15914202664467167</v>
      </c>
      <c r="Q118" s="951">
        <f>'00 Summary'!E58</f>
        <v>0.15495609776081309</v>
      </c>
      <c r="R118" s="951">
        <f>'00 Summary'!F58</f>
        <v>0.15179331585624331</v>
      </c>
      <c r="S118" s="951">
        <f>'00 Summary'!G58</f>
        <v>0.14886983526806588</v>
      </c>
      <c r="T118" s="951">
        <f>'00 Summary'!H58</f>
        <v>0.14524754403292892</v>
      </c>
      <c r="U118" s="951">
        <f>'00 Summary'!I58</f>
        <v>0.13978790895125826</v>
      </c>
      <c r="V118" s="951">
        <f>'00 Summary'!J58</f>
        <v>0.13786641788568846</v>
      </c>
      <c r="W118" s="951">
        <f>'00 Summary'!K58</f>
        <v>0.1328227661071083</v>
      </c>
      <c r="X118" s="951">
        <f>'00 Summary'!L58</f>
        <v>0.131763405602009</v>
      </c>
      <c r="Y118" s="951">
        <f>'00 Summary'!M58</f>
        <v>0.13008770028517147</v>
      </c>
      <c r="Z118" s="951">
        <f>'00 Summary'!N58</f>
        <v>0.13167993598647706</v>
      </c>
      <c r="AA118" s="951">
        <f>'00 Summary'!O58</f>
        <v>0.13005865724441698</v>
      </c>
      <c r="AB118" s="951">
        <f>'00 Summary'!P58</f>
        <v>0.12859199072580074</v>
      </c>
      <c r="AC118" s="951">
        <f>'00 Summary'!Q58</f>
        <v>0.12498550225121033</v>
      </c>
      <c r="AD118" s="951">
        <f>'00 Summary'!R58</f>
        <v>0.12768741401616332</v>
      </c>
      <c r="AE118" s="951">
        <f>'00 Summary'!S58</f>
        <v>0.12203970530081183</v>
      </c>
      <c r="AF118" s="951">
        <f>'00 Summary'!T58</f>
        <v>0.12233576616739357</v>
      </c>
      <c r="AG118" s="951">
        <f>'00 Summary'!U58</f>
        <v>0.11934517704304023</v>
      </c>
      <c r="AH118" s="951">
        <f>'00 Summary'!V58</f>
        <v>0.11915600117859715</v>
      </c>
      <c r="AL118" s="754"/>
      <c r="AM118" s="754"/>
    </row>
    <row r="119" spans="1:39" x14ac:dyDescent="0.4">
      <c r="A119" s="900"/>
      <c r="B119" s="900"/>
      <c r="C119" s="900"/>
      <c r="D119" s="900"/>
      <c r="E119" s="900"/>
      <c r="F119" s="900"/>
      <c r="G119" s="900"/>
      <c r="H119" s="900"/>
      <c r="I119" s="900"/>
      <c r="J119" s="900"/>
      <c r="K119" s="900"/>
      <c r="L119" s="900"/>
      <c r="N119" s="950" t="s">
        <v>227</v>
      </c>
      <c r="O119" s="951">
        <f>'00 Summary'!C65</f>
        <v>0</v>
      </c>
      <c r="P119" s="951">
        <f>'00 Summary'!D65</f>
        <v>0</v>
      </c>
      <c r="Q119" s="951">
        <f>'00 Summary'!E65</f>
        <v>0</v>
      </c>
      <c r="R119" s="951">
        <f>'00 Summary'!F65</f>
        <v>0</v>
      </c>
      <c r="S119" s="951">
        <f>'00 Summary'!G65</f>
        <v>0</v>
      </c>
      <c r="T119" s="951">
        <f>'00 Summary'!H65</f>
        <v>0</v>
      </c>
      <c r="U119" s="951">
        <f>'00 Summary'!I65</f>
        <v>0</v>
      </c>
      <c r="V119" s="951">
        <f>'00 Summary'!J65</f>
        <v>0</v>
      </c>
      <c r="W119" s="951">
        <f>'00 Summary'!K65</f>
        <v>0</v>
      </c>
      <c r="X119" s="951">
        <f>'00 Summary'!L65</f>
        <v>0.69020713027510983</v>
      </c>
      <c r="Y119" s="951">
        <f>'00 Summary'!M65</f>
        <v>0.67180502596569047</v>
      </c>
      <c r="Z119" s="951">
        <f>'00 Summary'!N65</f>
        <v>0.65031794749618133</v>
      </c>
      <c r="AA119" s="951">
        <f>'00 Summary'!O65</f>
        <v>0.6291802372083598</v>
      </c>
      <c r="AB119" s="951">
        <f>'00 Summary'!P65</f>
        <v>0.60769623971258402</v>
      </c>
      <c r="AC119" s="951">
        <f>'00 Summary'!Q65</f>
        <v>1.0949687961684849</v>
      </c>
      <c r="AD119" s="951">
        <f>'00 Summary'!R65</f>
        <v>1.1136536778386306</v>
      </c>
      <c r="AE119" s="951">
        <f>'00 Summary'!S65</f>
        <v>1.1226206819091575</v>
      </c>
      <c r="AF119" s="951">
        <f>'00 Summary'!T65</f>
        <v>1.1365655297554109</v>
      </c>
      <c r="AG119" s="951">
        <f>'00 Summary'!U65</f>
        <v>1.1787659735322711</v>
      </c>
      <c r="AH119" s="951">
        <f>'00 Summary'!V65</f>
        <v>1.1669107621872001</v>
      </c>
      <c r="AL119" s="754"/>
      <c r="AM119" s="754"/>
    </row>
    <row r="120" spans="1:39" x14ac:dyDescent="0.4">
      <c r="A120" s="900"/>
      <c r="B120" s="900"/>
      <c r="C120" s="900"/>
      <c r="D120" s="900"/>
      <c r="E120" s="900"/>
      <c r="F120" s="900"/>
      <c r="G120" s="900"/>
      <c r="H120" s="900"/>
      <c r="I120" s="900"/>
      <c r="J120" s="900"/>
      <c r="K120" s="900"/>
      <c r="L120" s="900"/>
      <c r="N120" s="925" t="s">
        <v>667</v>
      </c>
      <c r="O120" s="945">
        <f>SUM(O114:O119)</f>
        <v>45.364793897986821</v>
      </c>
      <c r="P120" s="945">
        <f t="shared" ref="P120:AH120" si="0">SUM(P114:P119)</f>
        <v>50.950804558505659</v>
      </c>
      <c r="Q120" s="945">
        <f t="shared" si="0"/>
        <v>49.832912046805546</v>
      </c>
      <c r="R120" s="945">
        <f t="shared" si="0"/>
        <v>50.248410097602665</v>
      </c>
      <c r="S120" s="945">
        <f t="shared" si="0"/>
        <v>50.664147449716161</v>
      </c>
      <c r="T120" s="945">
        <f t="shared" si="0"/>
        <v>48.349714368801614</v>
      </c>
      <c r="U120" s="945">
        <f t="shared" si="0"/>
        <v>48.358450902483533</v>
      </c>
      <c r="V120" s="945">
        <f t="shared" si="0"/>
        <v>49.694731728040146</v>
      </c>
      <c r="W120" s="945">
        <f t="shared" si="0"/>
        <v>48.627020872806462</v>
      </c>
      <c r="X120" s="945">
        <f t="shared" si="0"/>
        <v>49.572232445111602</v>
      </c>
      <c r="Y120" s="945">
        <f t="shared" si="0"/>
        <v>45.4861280873588</v>
      </c>
      <c r="Z120" s="945">
        <f t="shared" si="0"/>
        <v>45.69156265148257</v>
      </c>
      <c r="AA120" s="945">
        <f t="shared" si="0"/>
        <v>41.470961503683171</v>
      </c>
      <c r="AB120" s="945">
        <f t="shared" si="0"/>
        <v>45.205459895103836</v>
      </c>
      <c r="AC120" s="945">
        <f t="shared" si="0"/>
        <v>44.278918792510922</v>
      </c>
      <c r="AD120" s="945">
        <f t="shared" si="0"/>
        <v>41.397571470303355</v>
      </c>
      <c r="AE120" s="945">
        <f t="shared" si="0"/>
        <v>37.36549765401692</v>
      </c>
      <c r="AF120" s="945">
        <f t="shared" si="0"/>
        <v>34.72697752109913</v>
      </c>
      <c r="AG120" s="945">
        <f t="shared" si="0"/>
        <v>33.556082633138892</v>
      </c>
      <c r="AH120" s="945">
        <f t="shared" si="0"/>
        <v>32.208349294052042</v>
      </c>
      <c r="AL120" s="754"/>
      <c r="AM120" s="754"/>
    </row>
    <row r="121" spans="1:39" ht="18" x14ac:dyDescent="0.55000000000000004">
      <c r="A121" s="900"/>
      <c r="B121" s="900"/>
      <c r="C121" s="900"/>
      <c r="D121" s="900"/>
      <c r="E121" s="900"/>
      <c r="F121" s="900"/>
      <c r="G121" s="900"/>
      <c r="H121" s="900"/>
      <c r="I121" s="900"/>
      <c r="J121" s="900"/>
      <c r="K121" s="900"/>
      <c r="L121" s="900"/>
      <c r="N121" s="912"/>
      <c r="O121" s="925"/>
      <c r="AL121" s="754"/>
      <c r="AM121" s="754"/>
    </row>
    <row r="122" spans="1:39" ht="18" x14ac:dyDescent="0.55000000000000004">
      <c r="A122" s="900"/>
      <c r="B122" s="900"/>
      <c r="C122" s="900"/>
      <c r="D122" s="900"/>
      <c r="E122" s="900"/>
      <c r="F122" s="900"/>
      <c r="G122" s="900"/>
      <c r="H122" s="900"/>
      <c r="I122" s="900"/>
      <c r="J122" s="900"/>
      <c r="K122" s="900"/>
      <c r="L122" s="900"/>
      <c r="N122" s="912"/>
      <c r="O122" s="925"/>
      <c r="AL122" s="754"/>
      <c r="AM122" s="754"/>
    </row>
    <row r="123" spans="1:39" ht="18" x14ac:dyDescent="0.55000000000000004">
      <c r="A123" s="900"/>
      <c r="B123" s="900"/>
      <c r="C123" s="900"/>
      <c r="D123" s="900"/>
      <c r="E123" s="900"/>
      <c r="F123" s="900"/>
      <c r="G123" s="900"/>
      <c r="H123" s="900"/>
      <c r="I123" s="900"/>
      <c r="J123" s="900"/>
      <c r="K123" s="900"/>
      <c r="L123" s="900"/>
      <c r="N123" s="912"/>
      <c r="O123" s="925"/>
      <c r="AL123" s="754"/>
      <c r="AM123" s="754"/>
    </row>
    <row r="124" spans="1:39" ht="15.4" x14ac:dyDescent="0.55000000000000004">
      <c r="A124" s="900"/>
      <c r="B124" s="905" t="s">
        <v>1862</v>
      </c>
      <c r="C124" s="905" t="s">
        <v>1863</v>
      </c>
      <c r="D124" s="900"/>
      <c r="E124" s="900"/>
      <c r="F124" s="900"/>
      <c r="G124" s="900"/>
      <c r="H124" s="900"/>
      <c r="I124" s="900"/>
      <c r="J124" s="900"/>
      <c r="K124" s="900"/>
      <c r="L124" s="900"/>
      <c r="N124" s="925" t="s">
        <v>1879</v>
      </c>
      <c r="O124" s="925"/>
      <c r="AL124" s="754"/>
      <c r="AM124" s="754"/>
    </row>
    <row r="125" spans="1:39" x14ac:dyDescent="0.4">
      <c r="A125" s="900"/>
      <c r="B125" s="900"/>
      <c r="C125" s="900"/>
      <c r="D125" s="900"/>
      <c r="E125" s="900"/>
      <c r="F125" s="900"/>
      <c r="G125" s="900"/>
      <c r="H125" s="900"/>
      <c r="I125" s="900"/>
      <c r="J125" s="900"/>
      <c r="K125" s="900"/>
      <c r="L125" s="900"/>
      <c r="N125" s="925"/>
      <c r="O125" s="925"/>
      <c r="AL125" s="754"/>
      <c r="AM125" s="754"/>
    </row>
    <row r="126" spans="1:39" x14ac:dyDescent="0.4">
      <c r="A126" s="900"/>
      <c r="B126" s="900"/>
      <c r="C126" s="900"/>
      <c r="D126" s="900"/>
      <c r="E126" s="900"/>
      <c r="F126" s="900"/>
      <c r="G126" s="900"/>
      <c r="H126" s="900"/>
      <c r="I126" s="900"/>
      <c r="J126" s="900"/>
      <c r="K126" s="900"/>
      <c r="L126" s="900"/>
      <c r="N126" s="946" t="str">
        <f>'00 Summary'!B18</f>
        <v>IA. ENERGY DOMESTIC</v>
      </c>
      <c r="O126" s="946">
        <f>'00 Summary'!C16</f>
        <v>1990</v>
      </c>
      <c r="P126" s="946">
        <f>'00 Summary'!D16</f>
        <v>2000</v>
      </c>
      <c r="Q126" s="946">
        <f>'00 Summary'!E16</f>
        <v>2001</v>
      </c>
      <c r="R126" s="946">
        <f>'00 Summary'!F16</f>
        <v>2002</v>
      </c>
      <c r="S126" s="946">
        <f>'00 Summary'!G16</f>
        <v>2003</v>
      </c>
      <c r="T126" s="946">
        <f>'00 Summary'!H16</f>
        <v>2004</v>
      </c>
      <c r="U126" s="946">
        <f>'00 Summary'!I16</f>
        <v>2005</v>
      </c>
      <c r="V126" s="946">
        <f>'00 Summary'!J16</f>
        <v>2006</v>
      </c>
      <c r="W126" s="946">
        <f>'00 Summary'!K16</f>
        <v>2007</v>
      </c>
      <c r="X126" s="946">
        <f>'00 Summary'!L16</f>
        <v>2008</v>
      </c>
      <c r="Y126" s="946">
        <f>'00 Summary'!M16</f>
        <v>2009</v>
      </c>
      <c r="Z126" s="946">
        <f>'00 Summary'!N16</f>
        <v>2010</v>
      </c>
      <c r="AA126" s="946">
        <f>'00 Summary'!O16</f>
        <v>2011</v>
      </c>
      <c r="AB126" s="946">
        <f>'00 Summary'!P16</f>
        <v>2012</v>
      </c>
      <c r="AC126" s="946">
        <f>'00 Summary'!Q16</f>
        <v>2013</v>
      </c>
      <c r="AD126" s="946">
        <f>'00 Summary'!R16</f>
        <v>2014</v>
      </c>
      <c r="AE126" s="946">
        <f>'00 Summary'!S16</f>
        <v>2015</v>
      </c>
      <c r="AF126" s="946">
        <f>'00 Summary'!T16</f>
        <v>2016</v>
      </c>
      <c r="AG126" s="946">
        <f>'00 Summary'!U16</f>
        <v>2017</v>
      </c>
      <c r="AH126" s="946">
        <f>'00 Summary'!V16</f>
        <v>2018</v>
      </c>
      <c r="AL126" s="754"/>
      <c r="AM126" s="754"/>
    </row>
    <row r="127" spans="1:39" x14ac:dyDescent="0.4">
      <c r="A127" s="900"/>
      <c r="B127" s="900"/>
      <c r="C127" s="900"/>
      <c r="D127" s="900"/>
      <c r="E127" s="900"/>
      <c r="F127" s="900"/>
      <c r="G127" s="900"/>
      <c r="H127" s="900"/>
      <c r="I127" s="900"/>
      <c r="J127" s="900"/>
      <c r="K127" s="900"/>
      <c r="L127" s="900"/>
      <c r="N127" s="988" t="str">
        <f>'00 Summary'!B19</f>
        <v>Gas</v>
      </c>
      <c r="O127" s="988">
        <f>'00 Summary'!C19</f>
        <v>0</v>
      </c>
      <c r="P127" s="988">
        <f>'00 Summary'!D19</f>
        <v>10.127454999999999</v>
      </c>
      <c r="Q127" s="988">
        <f>'00 Summary'!E19</f>
        <v>11.956178905651292</v>
      </c>
      <c r="R127" s="988">
        <f>'00 Summary'!F19</f>
        <v>11.098927377825646</v>
      </c>
      <c r="S127" s="988">
        <f>'00 Summary'!G19</f>
        <v>10.24167585</v>
      </c>
      <c r="T127" s="988">
        <f>'00 Summary'!H19</f>
        <v>9.8750504019999994</v>
      </c>
      <c r="U127" s="988">
        <f>'00 Summary'!I19</f>
        <v>9.8276800000000009</v>
      </c>
      <c r="V127" s="988">
        <f>'00 Summary'!J19</f>
        <v>9.4245000000000001</v>
      </c>
      <c r="W127" s="988">
        <f>'00 Summary'!K19</f>
        <v>8.978489999999999</v>
      </c>
      <c r="X127" s="988">
        <f>'00 Summary'!L19</f>
        <v>9.2536900000000006</v>
      </c>
      <c r="Y127" s="988">
        <f>'00 Summary'!M19</f>
        <v>8.3097000000000012</v>
      </c>
      <c r="Z127" s="988">
        <f>'00 Summary'!N19</f>
        <v>9.0943183269235703</v>
      </c>
      <c r="AA127" s="988">
        <f>'00 Summary'!O19</f>
        <v>7.3828567054088987</v>
      </c>
      <c r="AB127" s="988">
        <f>'00 Summary'!P19</f>
        <v>8.1157388566271482</v>
      </c>
      <c r="AC127" s="988">
        <f>'00 Summary'!Q19</f>
        <v>8.2535815599848394</v>
      </c>
      <c r="AD127" s="988">
        <f>'00 Summary'!R19</f>
        <v>7.352668040085427</v>
      </c>
      <c r="AE127" s="988">
        <f>'00 Summary'!S19</f>
        <v>7.0425531643137855</v>
      </c>
      <c r="AF127" s="988">
        <f>'00 Summary'!T19</f>
        <v>7.3353172507683739</v>
      </c>
      <c r="AG127" s="988">
        <f>'00 Summary'!U19</f>
        <v>7.6911571116348005</v>
      </c>
      <c r="AH127" s="988">
        <f>'00 Summary'!V19</f>
        <v>7.2891865852251252</v>
      </c>
      <c r="AL127" s="754"/>
      <c r="AM127" s="754"/>
    </row>
    <row r="128" spans="1:39" x14ac:dyDescent="0.4">
      <c r="A128" s="900"/>
      <c r="B128" s="900"/>
      <c r="C128" s="900"/>
      <c r="D128" s="900"/>
      <c r="E128" s="900"/>
      <c r="F128" s="900"/>
      <c r="G128" s="900"/>
      <c r="H128" s="900"/>
      <c r="I128" s="900"/>
      <c r="J128" s="900"/>
      <c r="K128" s="900"/>
      <c r="L128" s="900"/>
      <c r="N128" s="988" t="str">
        <f>'00 Summary'!B20</f>
        <v>Electricity</v>
      </c>
      <c r="O128" s="988">
        <f>'00 Summary'!C20</f>
        <v>0</v>
      </c>
      <c r="P128" s="988">
        <f>'00 Summary'!D20</f>
        <v>7.3582039708144755</v>
      </c>
      <c r="Q128" s="988">
        <f>'00 Summary'!E20</f>
        <v>5.6548757727995298</v>
      </c>
      <c r="R128" s="988">
        <f>'00 Summary'!F20</f>
        <v>6.6664224793614615</v>
      </c>
      <c r="S128" s="988">
        <f>'00 Summary'!G20</f>
        <v>7.6779691859233923</v>
      </c>
      <c r="T128" s="988">
        <f>'00 Summary'!H20</f>
        <v>6.9152815520000033</v>
      </c>
      <c r="U128" s="988">
        <f>'00 Summary'!I20</f>
        <v>7.2495399999999997</v>
      </c>
      <c r="V128" s="988">
        <f>'00 Summary'!J20</f>
        <v>7.5666499999999992</v>
      </c>
      <c r="W128" s="988">
        <f>'00 Summary'!K20</f>
        <v>7.6266800000000003</v>
      </c>
      <c r="X128" s="988">
        <f>'00 Summary'!L20</f>
        <v>7.4347799999999999</v>
      </c>
      <c r="Y128" s="988">
        <f>'00 Summary'!M20</f>
        <v>6.7039999999999997</v>
      </c>
      <c r="Z128" s="988">
        <f>'00 Summary'!N20</f>
        <v>6.6850872196866922</v>
      </c>
      <c r="AA128" s="988">
        <f>'00 Summary'!O20</f>
        <v>6.4672410655730141</v>
      </c>
      <c r="AB128" s="988">
        <f>'00 Summary'!P20</f>
        <v>7.1351061112033713</v>
      </c>
      <c r="AC128" s="988">
        <f>'00 Summary'!Q20</f>
        <v>6.5555903145535614</v>
      </c>
      <c r="AD128" s="988">
        <f>'00 Summary'!R20</f>
        <v>5.932990459898476</v>
      </c>
      <c r="AE128" s="988">
        <f>'00 Summary'!S20</f>
        <v>4.9894193021678284</v>
      </c>
      <c r="AF128" s="988">
        <f>'00 Summary'!T20</f>
        <v>3.9686359167283198</v>
      </c>
      <c r="AG128" s="988">
        <f>'00 Summary'!U20</f>
        <v>3.5470061010634684</v>
      </c>
      <c r="AH128" s="988">
        <f>'00 Summary'!V20</f>
        <v>3.1784152814007736</v>
      </c>
      <c r="AL128" s="754"/>
      <c r="AM128" s="754"/>
    </row>
    <row r="129" spans="1:39" x14ac:dyDescent="0.4">
      <c r="A129" s="900"/>
      <c r="B129" s="900"/>
      <c r="C129" s="900"/>
      <c r="D129" s="900"/>
      <c r="E129" s="900"/>
      <c r="F129" s="900"/>
      <c r="G129" s="900"/>
      <c r="H129" s="900"/>
      <c r="I129" s="900"/>
      <c r="J129" s="900"/>
      <c r="K129" s="996"/>
      <c r="L129" s="900"/>
      <c r="N129" s="988" t="str">
        <f>'00 Summary'!B21</f>
        <v>Other</v>
      </c>
      <c r="O129" s="988">
        <f>'00 Summary'!C21</f>
        <v>0</v>
      </c>
      <c r="P129" s="988">
        <f>'00 Summary'!D21</f>
        <v>5.100448170410208E-2</v>
      </c>
      <c r="Q129" s="988">
        <f>'00 Summary'!E21</f>
        <v>0.18048776101537697</v>
      </c>
      <c r="R129" s="988">
        <f>'00 Summary'!F21</f>
        <v>0.18472397745782582</v>
      </c>
      <c r="S129" s="988">
        <f>'00 Summary'!G21</f>
        <v>0.18896019390027463</v>
      </c>
      <c r="T129" s="988">
        <f>'00 Summary'!H21</f>
        <v>5.8374533438320012E-2</v>
      </c>
      <c r="U129" s="988">
        <f>'00 Summary'!I21</f>
        <v>0.23274</v>
      </c>
      <c r="V129" s="988">
        <f>'00 Summary'!J21</f>
        <v>0.23330999999999999</v>
      </c>
      <c r="W129" s="988">
        <f>'00 Summary'!K21</f>
        <v>0.23308000000000001</v>
      </c>
      <c r="X129" s="988">
        <f>'00 Summary'!L21</f>
        <v>0.23738999999999999</v>
      </c>
      <c r="Y129" s="988">
        <f>'00 Summary'!M21</f>
        <v>0.23755000000000001</v>
      </c>
      <c r="Z129" s="988">
        <f>'00 Summary'!N21</f>
        <v>0</v>
      </c>
      <c r="AA129" s="988">
        <f>'00 Summary'!O21</f>
        <v>0</v>
      </c>
      <c r="AB129" s="988">
        <f>'00 Summary'!P21</f>
        <v>0</v>
      </c>
      <c r="AC129" s="988">
        <f>'00 Summary'!Q21</f>
        <v>0</v>
      </c>
      <c r="AD129" s="988">
        <f>'00 Summary'!R21</f>
        <v>0</v>
      </c>
      <c r="AE129" s="988">
        <f>'00 Summary'!S21</f>
        <v>0</v>
      </c>
      <c r="AF129" s="988">
        <f>'00 Summary'!T21</f>
        <v>0</v>
      </c>
      <c r="AG129" s="988">
        <f>'00 Summary'!U21</f>
        <v>0</v>
      </c>
      <c r="AH129" s="988">
        <f>'00 Summary'!V21</f>
        <v>0</v>
      </c>
      <c r="AL129" s="754"/>
      <c r="AM129" s="754"/>
    </row>
    <row r="130" spans="1:39" x14ac:dyDescent="0.4">
      <c r="A130" s="900"/>
      <c r="B130" s="900"/>
      <c r="C130" s="900"/>
      <c r="D130" s="900"/>
      <c r="E130" s="900"/>
      <c r="F130" s="900"/>
      <c r="G130" s="900"/>
      <c r="H130" s="900"/>
      <c r="I130" s="900"/>
      <c r="J130" s="900"/>
      <c r="K130" s="900"/>
      <c r="L130" s="900"/>
      <c r="N130" s="988" t="str">
        <f>'00 Summary'!B22</f>
        <v>Coal</v>
      </c>
      <c r="O130" s="988">
        <f>'00 Summary'!C22</f>
        <v>0</v>
      </c>
      <c r="P130" s="988">
        <f>'00 Summary'!D22</f>
        <v>0</v>
      </c>
      <c r="Q130" s="988">
        <f>'00 Summary'!E22</f>
        <v>0</v>
      </c>
      <c r="R130" s="988">
        <f>'00 Summary'!F22</f>
        <v>0</v>
      </c>
      <c r="S130" s="988">
        <f>'00 Summary'!G22</f>
        <v>0</v>
      </c>
      <c r="T130" s="988">
        <f>'00 Summary'!H22</f>
        <v>0</v>
      </c>
      <c r="U130" s="988">
        <f>'00 Summary'!I22</f>
        <v>0</v>
      </c>
      <c r="V130" s="988">
        <f>'00 Summary'!J22</f>
        <v>0</v>
      </c>
      <c r="W130" s="988">
        <f>'00 Summary'!K22</f>
        <v>0</v>
      </c>
      <c r="X130" s="988">
        <f>'00 Summary'!L22</f>
        <v>0</v>
      </c>
      <c r="Y130" s="988">
        <f>'00 Summary'!M22</f>
        <v>0</v>
      </c>
      <c r="Z130" s="988">
        <f>'00 Summary'!N22</f>
        <v>4.567152206890001E-2</v>
      </c>
      <c r="AA130" s="988">
        <f>'00 Summary'!O22</f>
        <v>4.2277286216399999E-2</v>
      </c>
      <c r="AB130" s="988">
        <f>'00 Summary'!P22</f>
        <v>4.0754561492381741E-2</v>
      </c>
      <c r="AC130" s="988">
        <f>'00 Summary'!Q22</f>
        <v>4.8415189663161003E-2</v>
      </c>
      <c r="AD130" s="988">
        <f>'00 Summary'!R22</f>
        <v>4.414011474616656E-2</v>
      </c>
      <c r="AE130" s="988">
        <f>'00 Summary'!S22</f>
        <v>4.5199186185110131E-2</v>
      </c>
      <c r="AF130" s="988">
        <f>'00 Summary'!T22</f>
        <v>4.2430070138131312E-2</v>
      </c>
      <c r="AG130" s="988">
        <f>'00 Summary'!U22</f>
        <v>5.0006235036843698E-2</v>
      </c>
      <c r="AH130" s="988">
        <f>'00 Summary'!V22</f>
        <v>5.1746621444047042E-2</v>
      </c>
      <c r="AL130" s="754"/>
      <c r="AM130" s="754"/>
    </row>
    <row r="131" spans="1:39" x14ac:dyDescent="0.4">
      <c r="A131" s="900"/>
      <c r="B131" s="900"/>
      <c r="C131" s="900"/>
      <c r="D131" s="900"/>
      <c r="E131" s="900"/>
      <c r="F131" s="900"/>
      <c r="G131" s="900"/>
      <c r="H131" s="900"/>
      <c r="I131" s="900"/>
      <c r="J131" s="900"/>
      <c r="K131" s="900"/>
      <c r="L131" s="900"/>
      <c r="N131" s="988" t="str">
        <f>'00 Summary'!B23</f>
        <v>Oil</v>
      </c>
      <c r="O131" s="988">
        <f>'00 Summary'!C23</f>
        <v>0</v>
      </c>
      <c r="P131" s="988">
        <f>'00 Summary'!D23</f>
        <v>0</v>
      </c>
      <c r="Q131" s="988">
        <f>'00 Summary'!E23</f>
        <v>0</v>
      </c>
      <c r="R131" s="988">
        <f>'00 Summary'!F23</f>
        <v>0</v>
      </c>
      <c r="S131" s="988">
        <f>'00 Summary'!G23</f>
        <v>0</v>
      </c>
      <c r="T131" s="988">
        <f>'00 Summary'!H23</f>
        <v>0</v>
      </c>
      <c r="U131" s="988">
        <f>'00 Summary'!I23</f>
        <v>0</v>
      </c>
      <c r="V131" s="988">
        <f>'00 Summary'!J23</f>
        <v>0</v>
      </c>
      <c r="W131" s="988">
        <f>'00 Summary'!K23</f>
        <v>0</v>
      </c>
      <c r="X131" s="988">
        <f>'00 Summary'!L23</f>
        <v>0</v>
      </c>
      <c r="Y131" s="988">
        <f>'00 Summary'!M23</f>
        <v>0</v>
      </c>
      <c r="Z131" s="988">
        <f>'00 Summary'!N23</f>
        <v>5.9170228375500004E-2</v>
      </c>
      <c r="AA131" s="988">
        <f>'00 Summary'!O23</f>
        <v>5.0701844689599998E-2</v>
      </c>
      <c r="AB131" s="988">
        <f>'00 Summary'!P23</f>
        <v>5.1348695320073232E-2</v>
      </c>
      <c r="AC131" s="988">
        <f>'00 Summary'!Q23</f>
        <v>5.2285235352885331E-2</v>
      </c>
      <c r="AD131" s="988">
        <f>'00 Summary'!R23</f>
        <v>5.2178775311027235E-2</v>
      </c>
      <c r="AE131" s="988">
        <f>'00 Summary'!S23</f>
        <v>5.1830123051968671E-2</v>
      </c>
      <c r="AF131" s="988">
        <f>'00 Summary'!T23</f>
        <v>5.3135753838727477E-2</v>
      </c>
      <c r="AG131" s="988">
        <f>'00 Summary'!U23</f>
        <v>4.8798036625735397E-2</v>
      </c>
      <c r="AH131" s="988">
        <f>'00 Summary'!V23</f>
        <v>4.8391268709835698E-2</v>
      </c>
      <c r="AL131" s="754"/>
      <c r="AM131" s="754"/>
    </row>
    <row r="132" spans="1:39" ht="18" x14ac:dyDescent="0.55000000000000004">
      <c r="A132" s="900"/>
      <c r="B132" s="900"/>
      <c r="C132" s="900"/>
      <c r="D132" s="900"/>
      <c r="E132" s="900"/>
      <c r="F132" s="900"/>
      <c r="G132" s="900"/>
      <c r="H132" s="900"/>
      <c r="I132" s="900"/>
      <c r="J132" s="900"/>
      <c r="K132" s="900"/>
      <c r="L132" s="900"/>
      <c r="N132" s="912"/>
      <c r="O132" s="925"/>
      <c r="AL132" s="754"/>
      <c r="AM132" s="754"/>
    </row>
    <row r="133" spans="1:39" ht="18" x14ac:dyDescent="0.55000000000000004">
      <c r="A133" s="900"/>
      <c r="B133" s="900"/>
      <c r="C133" s="900"/>
      <c r="D133" s="900"/>
      <c r="E133" s="900"/>
      <c r="F133" s="900"/>
      <c r="G133" s="900"/>
      <c r="H133" s="900"/>
      <c r="I133" s="900"/>
      <c r="J133" s="900"/>
      <c r="K133" s="900"/>
      <c r="L133" s="900"/>
      <c r="N133" s="912"/>
      <c r="O133" s="925"/>
      <c r="AL133" s="754"/>
      <c r="AM133" s="754"/>
    </row>
    <row r="134" spans="1:39" ht="18" x14ac:dyDescent="0.55000000000000004">
      <c r="A134" s="900"/>
      <c r="B134" s="900"/>
      <c r="C134" s="900"/>
      <c r="D134" s="900"/>
      <c r="E134" s="900"/>
      <c r="F134" s="900"/>
      <c r="G134" s="900"/>
      <c r="H134" s="900"/>
      <c r="I134" s="900"/>
      <c r="J134" s="900"/>
      <c r="K134" s="900"/>
      <c r="L134" s="900"/>
      <c r="N134" s="912"/>
      <c r="O134" s="925"/>
      <c r="AL134" s="754"/>
      <c r="AM134" s="754"/>
    </row>
    <row r="135" spans="1:39" ht="18" x14ac:dyDescent="0.55000000000000004">
      <c r="A135" s="900"/>
      <c r="B135" s="900"/>
      <c r="C135" s="900"/>
      <c r="D135" s="900"/>
      <c r="E135" s="900"/>
      <c r="F135" s="900"/>
      <c r="G135" s="900"/>
      <c r="H135" s="900"/>
      <c r="I135" s="900"/>
      <c r="J135" s="900"/>
      <c r="K135" s="900"/>
      <c r="L135" s="900"/>
      <c r="N135" s="912"/>
      <c r="O135" s="925"/>
      <c r="AL135" s="754"/>
      <c r="AM135" s="754"/>
    </row>
    <row r="136" spans="1:39" ht="18" x14ac:dyDescent="0.55000000000000004">
      <c r="A136" s="900"/>
      <c r="B136" s="900"/>
      <c r="C136" s="900"/>
      <c r="D136" s="900"/>
      <c r="E136" s="900"/>
      <c r="F136" s="900"/>
      <c r="G136" s="900"/>
      <c r="H136" s="900"/>
      <c r="I136" s="900"/>
      <c r="J136" s="900"/>
      <c r="K136" s="900"/>
      <c r="L136" s="900"/>
      <c r="N136" s="912"/>
      <c r="O136" s="925"/>
      <c r="AL136" s="754"/>
      <c r="AM136" s="754"/>
    </row>
    <row r="137" spans="1:39" ht="18" x14ac:dyDescent="0.55000000000000004">
      <c r="A137" s="900"/>
      <c r="B137" s="900"/>
      <c r="C137" s="900"/>
      <c r="D137" s="900"/>
      <c r="E137" s="900"/>
      <c r="F137" s="900"/>
      <c r="G137" s="900"/>
      <c r="H137" s="900"/>
      <c r="I137" s="900"/>
      <c r="J137" s="900"/>
      <c r="K137" s="900"/>
      <c r="L137" s="900"/>
      <c r="N137" s="912"/>
      <c r="O137" s="925"/>
      <c r="AL137" s="754"/>
      <c r="AM137" s="754"/>
    </row>
    <row r="138" spans="1:39" ht="18" x14ac:dyDescent="0.55000000000000004">
      <c r="A138" s="900"/>
      <c r="B138" s="900"/>
      <c r="C138" s="900"/>
      <c r="D138" s="900"/>
      <c r="E138" s="900"/>
      <c r="F138" s="900"/>
      <c r="G138" s="900"/>
      <c r="H138" s="900"/>
      <c r="I138" s="900"/>
      <c r="J138" s="900"/>
      <c r="K138" s="900"/>
      <c r="L138" s="900"/>
      <c r="N138" s="912"/>
      <c r="O138" s="925"/>
      <c r="AL138" s="754"/>
      <c r="AM138" s="754"/>
    </row>
    <row r="139" spans="1:39" ht="18" x14ac:dyDescent="0.55000000000000004">
      <c r="A139" s="900"/>
      <c r="B139" s="900"/>
      <c r="C139" s="900"/>
      <c r="D139" s="900"/>
      <c r="E139" s="900"/>
      <c r="F139" s="900"/>
      <c r="G139" s="900"/>
      <c r="H139" s="900"/>
      <c r="I139" s="900"/>
      <c r="J139" s="900"/>
      <c r="K139" s="900"/>
      <c r="L139" s="900"/>
      <c r="N139" s="912"/>
      <c r="O139" s="925"/>
      <c r="AL139" s="754"/>
      <c r="AM139" s="754"/>
    </row>
    <row r="140" spans="1:39" ht="15.4" x14ac:dyDescent="0.55000000000000004">
      <c r="A140" s="900"/>
      <c r="B140" s="905" t="s">
        <v>1864</v>
      </c>
      <c r="C140" s="905" t="s">
        <v>1865</v>
      </c>
      <c r="D140" s="900"/>
      <c r="E140" s="900"/>
      <c r="F140" s="900"/>
      <c r="G140" s="900"/>
      <c r="H140" s="900"/>
      <c r="I140" s="900"/>
      <c r="J140" s="900"/>
      <c r="K140" s="900"/>
      <c r="L140" s="900"/>
      <c r="N140" s="925" t="s">
        <v>1878</v>
      </c>
      <c r="O140" s="925"/>
      <c r="AL140" s="754"/>
      <c r="AM140" s="754"/>
    </row>
    <row r="141" spans="1:39" x14ac:dyDescent="0.4">
      <c r="A141" s="900"/>
      <c r="B141" s="900"/>
      <c r="C141" s="900"/>
      <c r="D141" s="900"/>
      <c r="E141" s="900"/>
      <c r="F141" s="900"/>
      <c r="G141" s="900"/>
      <c r="H141" s="900"/>
      <c r="I141" s="900"/>
      <c r="J141" s="900"/>
      <c r="K141" s="900"/>
      <c r="L141" s="900"/>
      <c r="N141" s="946" t="str">
        <f>'00 Summary'!B26</f>
        <v>IA. ENERGY INDUSTRIAL AND COMMERCIAL</v>
      </c>
      <c r="O141" s="946">
        <f>'00 Summary'!C16</f>
        <v>1990</v>
      </c>
      <c r="P141" s="946">
        <f>'00 Summary'!D16</f>
        <v>2000</v>
      </c>
      <c r="Q141" s="946">
        <f>'00 Summary'!E16</f>
        <v>2001</v>
      </c>
      <c r="R141" s="946">
        <f>'00 Summary'!F16</f>
        <v>2002</v>
      </c>
      <c r="S141" s="946">
        <f>'00 Summary'!G16</f>
        <v>2003</v>
      </c>
      <c r="T141" s="946">
        <f>'00 Summary'!H16</f>
        <v>2004</v>
      </c>
      <c r="U141" s="946">
        <f>'00 Summary'!I16</f>
        <v>2005</v>
      </c>
      <c r="V141" s="946">
        <f>'00 Summary'!J16</f>
        <v>2006</v>
      </c>
      <c r="W141" s="946">
        <f>'00 Summary'!K16</f>
        <v>2007</v>
      </c>
      <c r="X141" s="946">
        <f>'00 Summary'!L16</f>
        <v>2008</v>
      </c>
      <c r="Y141" s="946">
        <f>'00 Summary'!M16</f>
        <v>2009</v>
      </c>
      <c r="Z141" s="946">
        <f>'00 Summary'!N16</f>
        <v>2010</v>
      </c>
      <c r="AA141" s="946">
        <f>'00 Summary'!O16</f>
        <v>2011</v>
      </c>
      <c r="AB141" s="946">
        <f>'00 Summary'!P16</f>
        <v>2012</v>
      </c>
      <c r="AC141" s="946">
        <f>'00 Summary'!Q16</f>
        <v>2013</v>
      </c>
      <c r="AD141" s="946">
        <f>'00 Summary'!R16</f>
        <v>2014</v>
      </c>
      <c r="AE141" s="946">
        <f>'00 Summary'!S16</f>
        <v>2015</v>
      </c>
      <c r="AF141" s="946">
        <f>'00 Summary'!T16</f>
        <v>2016</v>
      </c>
      <c r="AG141" s="946">
        <f>'00 Summary'!U16</f>
        <v>2017</v>
      </c>
      <c r="AH141" s="946">
        <f>'00 Summary'!V16</f>
        <v>2018</v>
      </c>
      <c r="AL141" s="754"/>
      <c r="AM141" s="754"/>
    </row>
    <row r="142" spans="1:39" x14ac:dyDescent="0.4">
      <c r="A142" s="900"/>
      <c r="B142" s="900"/>
      <c r="C142" s="900"/>
      <c r="D142" s="900"/>
      <c r="E142" s="900"/>
      <c r="F142" s="900"/>
      <c r="G142" s="900"/>
      <c r="H142" s="900"/>
      <c r="I142" s="900"/>
      <c r="J142" s="900"/>
      <c r="K142" s="900"/>
      <c r="L142" s="900"/>
      <c r="N142" s="988" t="str">
        <f>'00 Summary'!B27</f>
        <v>Gas</v>
      </c>
      <c r="O142" s="988">
        <f>'00 Summary'!C27</f>
        <v>0</v>
      </c>
      <c r="P142" s="988">
        <f>'00 Summary'!D27</f>
        <v>6.3776900000000003</v>
      </c>
      <c r="Q142" s="988">
        <f>'00 Summary'!E27</f>
        <v>6.1624141325996131</v>
      </c>
      <c r="R142" s="988">
        <f>'00 Summary'!F27</f>
        <v>5.6663258412998063</v>
      </c>
      <c r="S142" s="988">
        <f>'00 Summary'!G27</f>
        <v>5.1702375499999995</v>
      </c>
      <c r="T142" s="988">
        <f>'00 Summary'!H27</f>
        <v>6.515408999099999</v>
      </c>
      <c r="U142" s="988">
        <f>'00 Summary'!I27</f>
        <v>5.0811700000000002</v>
      </c>
      <c r="V142" s="988">
        <f>'00 Summary'!J27</f>
        <v>4.8112299999999992</v>
      </c>
      <c r="W142" s="988">
        <f>'00 Summary'!K27</f>
        <v>4.3936400000000004</v>
      </c>
      <c r="X142" s="988">
        <f>'00 Summary'!L27</f>
        <v>4.6283300000000001</v>
      </c>
      <c r="Y142" s="988">
        <f>'00 Summary'!M27</f>
        <v>4.1508199999999995</v>
      </c>
      <c r="Z142" s="988">
        <f>'00 Summary'!N27</f>
        <v>4.622712209108844</v>
      </c>
      <c r="AA142" s="988">
        <f>'00 Summary'!O27</f>
        <v>3.8315263896321357</v>
      </c>
      <c r="AB142" s="988">
        <f>'00 Summary'!P27</f>
        <v>4.1744142462179532</v>
      </c>
      <c r="AC142" s="988">
        <f>'00 Summary'!Q27</f>
        <v>4.1967087284582902</v>
      </c>
      <c r="AD142" s="988">
        <f>'00 Summary'!R27</f>
        <v>3.6228793522777547</v>
      </c>
      <c r="AE142" s="988">
        <f>'00 Summary'!S27</f>
        <v>3.2408422586493257</v>
      </c>
      <c r="AF142" s="988">
        <f>'00 Summary'!T27</f>
        <v>3.6553182445048504</v>
      </c>
      <c r="AG142" s="988">
        <f>'00 Summary'!U27</f>
        <v>3.7974015044924783</v>
      </c>
      <c r="AH142" s="988">
        <f>'00 Summary'!V27</f>
        <v>3.7465674667707853</v>
      </c>
      <c r="AL142" s="754"/>
      <c r="AM142" s="754"/>
    </row>
    <row r="143" spans="1:39" x14ac:dyDescent="0.4">
      <c r="A143" s="900"/>
      <c r="B143" s="900"/>
      <c r="C143" s="900"/>
      <c r="D143" s="900"/>
      <c r="E143" s="900"/>
      <c r="F143" s="900"/>
      <c r="G143" s="900"/>
      <c r="H143" s="900"/>
      <c r="I143" s="900"/>
      <c r="J143" s="900"/>
      <c r="K143" s="900"/>
      <c r="L143" s="900"/>
      <c r="N143" s="988" t="str">
        <f>'00 Summary'!B28</f>
        <v>Electricity</v>
      </c>
      <c r="O143" s="988">
        <f>'00 Summary'!C28</f>
        <v>0</v>
      </c>
      <c r="P143" s="988">
        <f>'00 Summary'!D28</f>
        <v>15.332707368449531</v>
      </c>
      <c r="Q143" s="988">
        <f>'00 Summary'!E28</f>
        <v>13.167000494228747</v>
      </c>
      <c r="R143" s="988">
        <f>'00 Summary'!F28</f>
        <v>13.793682274467599</v>
      </c>
      <c r="S143" s="988">
        <f>'00 Summary'!G28</f>
        <v>14.42036405470645</v>
      </c>
      <c r="T143" s="988">
        <f>'00 Summary'!H28</f>
        <v>12.97232427274</v>
      </c>
      <c r="U143" s="988">
        <f>'00 Summary'!I28</f>
        <v>13.399215935633588</v>
      </c>
      <c r="V143" s="988">
        <f>'00 Summary'!J28</f>
        <v>15.116017344655518</v>
      </c>
      <c r="W143" s="988">
        <f>'00 Summary'!K28</f>
        <v>14.759697344655518</v>
      </c>
      <c r="X143" s="988">
        <f>'00 Summary'!L28</f>
        <v>14.510419294530832</v>
      </c>
      <c r="Y143" s="988">
        <f>'00 Summary'!M28</f>
        <v>12.655919294530831</v>
      </c>
      <c r="Z143" s="988">
        <f>'00 Summary'!N28</f>
        <v>12.898459216804063</v>
      </c>
      <c r="AA143" s="988">
        <f>'00 Summary'!O28</f>
        <v>11.664652415487277</v>
      </c>
      <c r="AB143" s="988">
        <f>'00 Summary'!P28</f>
        <v>13.612870861556264</v>
      </c>
      <c r="AC143" s="988">
        <f>'00 Summary'!Q28</f>
        <v>12.498370635705845</v>
      </c>
      <c r="AD143" s="988">
        <f>'00 Summary'!R28</f>
        <v>11.561717954752838</v>
      </c>
      <c r="AE143" s="988">
        <f>'00 Summary'!S28</f>
        <v>9.4632434644688583</v>
      </c>
      <c r="AF143" s="988">
        <f>'00 Summary'!T28</f>
        <v>7.1099735409886895</v>
      </c>
      <c r="AG143" s="988">
        <f>'00 Summary'!U28</f>
        <v>6.3878532106131543</v>
      </c>
      <c r="AH143" s="988">
        <f>'00 Summary'!V28</f>
        <v>5.8698944661131867</v>
      </c>
      <c r="AL143" s="754"/>
      <c r="AM143" s="754"/>
    </row>
    <row r="144" spans="1:39" x14ac:dyDescent="0.4">
      <c r="A144" s="900"/>
      <c r="B144" s="900"/>
      <c r="C144" s="900"/>
      <c r="D144" s="900"/>
      <c r="E144" s="900"/>
      <c r="F144" s="900"/>
      <c r="G144" s="900"/>
      <c r="H144" s="900"/>
      <c r="I144" s="900"/>
      <c r="J144" s="900"/>
      <c r="K144" s="900"/>
      <c r="L144" s="900"/>
      <c r="N144" s="988" t="str">
        <f>'00 Summary'!B29</f>
        <v>Large industrial</v>
      </c>
      <c r="O144" s="988">
        <f>'00 Summary'!C29</f>
        <v>0</v>
      </c>
      <c r="P144" s="988">
        <f>'00 Summary'!D29</f>
        <v>0</v>
      </c>
      <c r="Q144" s="988">
        <f>'00 Summary'!E29</f>
        <v>0</v>
      </c>
      <c r="R144" s="988">
        <f>'00 Summary'!F29</f>
        <v>0</v>
      </c>
      <c r="S144" s="988">
        <f>'00 Summary'!G29</f>
        <v>0</v>
      </c>
      <c r="T144" s="988">
        <f>'00 Summary'!H29</f>
        <v>0</v>
      </c>
      <c r="U144" s="988">
        <f>'00 Summary'!I29</f>
        <v>0.12858</v>
      </c>
      <c r="V144" s="988">
        <f>'00 Summary'!J29</f>
        <v>0.10432</v>
      </c>
      <c r="W144" s="988">
        <f>'00 Summary'!K29</f>
        <v>9.8180000000000003E-2</v>
      </c>
      <c r="X144" s="988">
        <f>'00 Summary'!L29</f>
        <v>9.8699999999999996E-2</v>
      </c>
      <c r="Y144" s="988">
        <f>'00 Summary'!M29</f>
        <v>9.7269999999999995E-2</v>
      </c>
      <c r="Z144" s="988">
        <f>'00 Summary'!N29</f>
        <v>6.7887657168390833E-2</v>
      </c>
      <c r="AA144" s="988">
        <f>'00 Summary'!O29</f>
        <v>2.3230612481642949E-2</v>
      </c>
      <c r="AB144" s="988">
        <f>'00 Summary'!P29</f>
        <v>3.1015273559303919E-2</v>
      </c>
      <c r="AC144" s="988">
        <f>'00 Summary'!Q29</f>
        <v>3.2036896288963487E-2</v>
      </c>
      <c r="AD144" s="988">
        <f>'00 Summary'!R29</f>
        <v>1.9515064033348482E-2</v>
      </c>
      <c r="AE144" s="988">
        <f>'00 Summary'!S29</f>
        <v>1.8515611237628619E-2</v>
      </c>
      <c r="AF144" s="988">
        <f>'00 Summary'!T29</f>
        <v>1.3472645039280001E-2</v>
      </c>
      <c r="AG144" s="988">
        <f>'00 Summary'!U29</f>
        <v>1.3795750565280002E-2</v>
      </c>
      <c r="AH144" s="988">
        <f>'00 Summary'!V29</f>
        <v>1.3753861391520001E-2</v>
      </c>
      <c r="AL144" s="754"/>
      <c r="AM144" s="754"/>
    </row>
    <row r="145" spans="1:39" x14ac:dyDescent="0.4">
      <c r="A145" s="900"/>
      <c r="B145" s="900"/>
      <c r="C145" s="900"/>
      <c r="D145" s="900"/>
      <c r="E145" s="900"/>
      <c r="F145" s="900"/>
      <c r="G145" s="900"/>
      <c r="H145" s="900"/>
      <c r="I145" s="900"/>
      <c r="J145" s="900"/>
      <c r="K145" s="900"/>
      <c r="L145" s="900"/>
      <c r="N145" s="988" t="str">
        <f>'00 Summary'!B30</f>
        <v>Other</v>
      </c>
      <c r="O145" s="988">
        <f>'00 Summary'!C30</f>
        <v>0</v>
      </c>
      <c r="P145" s="988">
        <f>'00 Summary'!D30</f>
        <v>2.3540000000000001</v>
      </c>
      <c r="Q145" s="988">
        <f>'00 Summary'!E30</f>
        <v>2.427995611576955</v>
      </c>
      <c r="R145" s="988">
        <f>'00 Summary'!F30</f>
        <v>1.6425944360431086</v>
      </c>
      <c r="S145" s="988">
        <f>'00 Summary'!G30</f>
        <v>0.85719326050926181</v>
      </c>
      <c r="T145" s="988">
        <f>'00 Summary'!H30</f>
        <v>0.56688732456668012</v>
      </c>
      <c r="U145" s="988">
        <f>'00 Summary'!I30</f>
        <v>0.62051999999999996</v>
      </c>
      <c r="V145" s="988">
        <f>'00 Summary'!J30</f>
        <v>0.58851999999999993</v>
      </c>
      <c r="W145" s="988">
        <f>'00 Summary'!K30</f>
        <v>0.59575</v>
      </c>
      <c r="X145" s="988">
        <f>'00 Summary'!L30</f>
        <v>0.61424000000000001</v>
      </c>
      <c r="Y145" s="988">
        <f>'00 Summary'!M30</f>
        <v>0.4743</v>
      </c>
      <c r="Z145" s="988">
        <f>'00 Summary'!N30</f>
        <v>0</v>
      </c>
      <c r="AA145" s="988">
        <f>'00 Summary'!O30</f>
        <v>0</v>
      </c>
      <c r="AB145" s="988">
        <f>'00 Summary'!P30</f>
        <v>0</v>
      </c>
      <c r="AC145" s="988">
        <f>'00 Summary'!Q30</f>
        <v>0</v>
      </c>
      <c r="AD145" s="988">
        <f>'00 Summary'!R30</f>
        <v>0</v>
      </c>
      <c r="AE145" s="988">
        <f>'00 Summary'!S30</f>
        <v>0</v>
      </c>
      <c r="AF145" s="988">
        <f>'00 Summary'!T30</f>
        <v>0</v>
      </c>
      <c r="AG145" s="988">
        <f>'00 Summary'!U30</f>
        <v>0</v>
      </c>
      <c r="AH145" s="988">
        <f>'00 Summary'!V30</f>
        <v>0</v>
      </c>
      <c r="AL145" s="754"/>
      <c r="AM145" s="754"/>
    </row>
    <row r="146" spans="1:39" x14ac:dyDescent="0.4">
      <c r="A146" s="900"/>
      <c r="B146" s="900"/>
      <c r="C146" s="900"/>
      <c r="D146" s="900"/>
      <c r="E146" s="900"/>
      <c r="F146" s="900"/>
      <c r="G146" s="900"/>
      <c r="H146" s="900"/>
      <c r="I146" s="900"/>
      <c r="J146" s="900"/>
      <c r="K146" s="900"/>
      <c r="L146" s="900"/>
      <c r="N146" s="988" t="str">
        <f>'00 Summary'!B31</f>
        <v>Coal</v>
      </c>
      <c r="O146" s="988">
        <f>'00 Summary'!C31</f>
        <v>0</v>
      </c>
      <c r="P146" s="988">
        <f>'00 Summary'!D31</f>
        <v>0</v>
      </c>
      <c r="Q146" s="988">
        <f>'00 Summary'!E31</f>
        <v>0</v>
      </c>
      <c r="R146" s="988">
        <f>'00 Summary'!F31</f>
        <v>0</v>
      </c>
      <c r="S146" s="988">
        <f>'00 Summary'!G31</f>
        <v>0</v>
      </c>
      <c r="T146" s="988">
        <f>'00 Summary'!H31</f>
        <v>0</v>
      </c>
      <c r="U146" s="988">
        <f>'00 Summary'!I31</f>
        <v>0</v>
      </c>
      <c r="V146" s="988">
        <f>'00 Summary'!J31</f>
        <v>0</v>
      </c>
      <c r="W146" s="988">
        <f>'00 Summary'!K31</f>
        <v>0</v>
      </c>
      <c r="X146" s="988">
        <f>'00 Summary'!L31</f>
        <v>0</v>
      </c>
      <c r="Y146" s="988">
        <f>'00 Summary'!M31</f>
        <v>0</v>
      </c>
      <c r="Z146" s="988">
        <f>'00 Summary'!N31</f>
        <v>2.1815640992400003E-2</v>
      </c>
      <c r="AA146" s="988">
        <f>'00 Summary'!O31</f>
        <v>2.0311215360800002E-2</v>
      </c>
      <c r="AB146" s="988">
        <f>'00 Summary'!P31</f>
        <v>2.021423443905012E-2</v>
      </c>
      <c r="AC146" s="988">
        <f>'00 Summary'!Q31</f>
        <v>1.2121905726397198E-2</v>
      </c>
      <c r="AD146" s="988">
        <f>'00 Summary'!R31</f>
        <v>1.0206357677209989E-2</v>
      </c>
      <c r="AE146" s="988">
        <f>'00 Summary'!S31</f>
        <v>6.462556867198742E-3</v>
      </c>
      <c r="AF146" s="988">
        <f>'00 Summary'!T31</f>
        <v>1.0395987165782331E-2</v>
      </c>
      <c r="AG146" s="988">
        <f>'00 Summary'!U31</f>
        <v>9.6209903932738556E-3</v>
      </c>
      <c r="AH146" s="988">
        <f>'00 Summary'!V31</f>
        <v>8.6404694800835593E-3</v>
      </c>
      <c r="AL146" s="754"/>
      <c r="AM146" s="754"/>
    </row>
    <row r="147" spans="1:39" x14ac:dyDescent="0.4">
      <c r="A147" s="900"/>
      <c r="B147" s="900"/>
      <c r="C147" s="900"/>
      <c r="D147" s="900"/>
      <c r="E147" s="900"/>
      <c r="F147" s="900"/>
      <c r="G147" s="900"/>
      <c r="H147" s="900"/>
      <c r="I147" s="900"/>
      <c r="J147" s="900"/>
      <c r="K147" s="900"/>
      <c r="L147" s="900"/>
      <c r="N147" s="988" t="str">
        <f>'00 Summary'!B32</f>
        <v>Oil</v>
      </c>
      <c r="O147" s="988">
        <f>'00 Summary'!C32</f>
        <v>0</v>
      </c>
      <c r="P147" s="988">
        <f>'00 Summary'!D32</f>
        <v>0</v>
      </c>
      <c r="Q147" s="988">
        <f>'00 Summary'!E32</f>
        <v>0</v>
      </c>
      <c r="R147" s="988">
        <f>'00 Summary'!F32</f>
        <v>0</v>
      </c>
      <c r="S147" s="988">
        <f>'00 Summary'!G32</f>
        <v>0</v>
      </c>
      <c r="T147" s="988">
        <f>'00 Summary'!H32</f>
        <v>0</v>
      </c>
      <c r="U147" s="988">
        <f>'00 Summary'!I32</f>
        <v>0</v>
      </c>
      <c r="V147" s="988">
        <f>'00 Summary'!J32</f>
        <v>0</v>
      </c>
      <c r="W147" s="988">
        <f>'00 Summary'!K32</f>
        <v>0</v>
      </c>
      <c r="X147" s="988">
        <f>'00 Summary'!L32</f>
        <v>0</v>
      </c>
      <c r="Y147" s="988">
        <f>'00 Summary'!M32</f>
        <v>0</v>
      </c>
      <c r="Z147" s="988">
        <f>'00 Summary'!N32</f>
        <v>0.5897384945226003</v>
      </c>
      <c r="AA147" s="988">
        <f>'00 Summary'!O32</f>
        <v>0.54024544947079989</v>
      </c>
      <c r="AB147" s="988">
        <f>'00 Summary'!P32</f>
        <v>0.52789391796854968</v>
      </c>
      <c r="AC147" s="988">
        <f>'00 Summary'!Q32</f>
        <v>0.50228663536836471</v>
      </c>
      <c r="AD147" s="988">
        <f>'00 Summary'!R32</f>
        <v>0.55850110302180089</v>
      </c>
      <c r="AE147" s="988">
        <f>'00 Summary'!S32</f>
        <v>0.56761134963585269</v>
      </c>
      <c r="AF147" s="988">
        <f>'00 Summary'!T32</f>
        <v>0.63339611420936792</v>
      </c>
      <c r="AG147" s="988">
        <f>'00 Summary'!U32</f>
        <v>0.58711035467044437</v>
      </c>
      <c r="AH147" s="988">
        <f>'00 Summary'!V32</f>
        <v>0.5657541584814888</v>
      </c>
      <c r="AL147" s="754"/>
      <c r="AM147" s="754"/>
    </row>
    <row r="148" spans="1:39" x14ac:dyDescent="0.4">
      <c r="A148" s="900"/>
      <c r="B148" s="900"/>
      <c r="C148" s="900"/>
      <c r="D148" s="900"/>
      <c r="E148" s="900"/>
      <c r="F148" s="900"/>
      <c r="G148" s="900"/>
      <c r="H148" s="900"/>
      <c r="I148" s="900"/>
      <c r="J148" s="900"/>
      <c r="K148" s="900"/>
      <c r="L148" s="900"/>
      <c r="N148" s="988" t="str">
        <f>'00 Summary'!B33</f>
        <v>Waste</v>
      </c>
      <c r="O148" s="988">
        <f>'00 Summary'!C33</f>
        <v>0</v>
      </c>
      <c r="P148" s="988">
        <f>'00 Summary'!D33</f>
        <v>0</v>
      </c>
      <c r="Q148" s="988">
        <f>'00 Summary'!E33</f>
        <v>0</v>
      </c>
      <c r="R148" s="988">
        <f>'00 Summary'!F33</f>
        <v>0</v>
      </c>
      <c r="S148" s="988">
        <f>'00 Summary'!G33</f>
        <v>0</v>
      </c>
      <c r="T148" s="988">
        <f>'00 Summary'!H33</f>
        <v>0</v>
      </c>
      <c r="U148" s="988">
        <f>'00 Summary'!I33</f>
        <v>0</v>
      </c>
      <c r="V148" s="988">
        <f>'00 Summary'!J33</f>
        <v>0</v>
      </c>
      <c r="W148" s="988">
        <f>'00 Summary'!K33</f>
        <v>0</v>
      </c>
      <c r="X148" s="988">
        <f>'00 Summary'!L33</f>
        <v>0</v>
      </c>
      <c r="Y148" s="988">
        <f>'00 Summary'!M33</f>
        <v>0</v>
      </c>
      <c r="Z148" s="988">
        <f>'00 Summary'!N33</f>
        <v>2.2701169184037997E-2</v>
      </c>
      <c r="AA148" s="988">
        <f>'00 Summary'!O33</f>
        <v>3.8970447980301727E-2</v>
      </c>
      <c r="AB148" s="988">
        <f>'00 Summary'!P33</f>
        <v>3.5718205436596449E-2</v>
      </c>
      <c r="AC148" s="988">
        <f>'00 Summary'!Q33</f>
        <v>4.4016591937522685E-2</v>
      </c>
      <c r="AD148" s="988">
        <f>'00 Summary'!R33</f>
        <v>0.21378894220242065</v>
      </c>
      <c r="AE148" s="988">
        <f>'00 Summary'!S33</f>
        <v>0.20120721315927498</v>
      </c>
      <c r="AF148" s="988">
        <f>'00 Summary'!T33</f>
        <v>0.20258482393820468</v>
      </c>
      <c r="AG148" s="988">
        <f>'00 Summary'!U33</f>
        <v>0.19686573439374414</v>
      </c>
      <c r="AH148" s="988">
        <f>'00 Summary'!V33</f>
        <v>0.21485326038940158</v>
      </c>
      <c r="AL148" s="754"/>
      <c r="AM148" s="754"/>
    </row>
    <row r="149" spans="1:39" ht="18" x14ac:dyDescent="0.55000000000000004">
      <c r="A149" s="900"/>
      <c r="B149" s="900"/>
      <c r="C149" s="900"/>
      <c r="D149" s="900"/>
      <c r="E149" s="900"/>
      <c r="F149" s="900"/>
      <c r="G149" s="900"/>
      <c r="H149" s="900"/>
      <c r="I149" s="900"/>
      <c r="J149" s="900"/>
      <c r="K149" s="900"/>
      <c r="L149" s="900"/>
      <c r="N149" s="912"/>
      <c r="O149" s="925"/>
      <c r="AL149" s="754"/>
      <c r="AM149" s="754"/>
    </row>
    <row r="150" spans="1:39" ht="18" x14ac:dyDescent="0.55000000000000004">
      <c r="A150" s="900"/>
      <c r="B150" s="900"/>
      <c r="C150" s="900"/>
      <c r="D150" s="900"/>
      <c r="E150" s="900"/>
      <c r="F150" s="900"/>
      <c r="G150" s="900"/>
      <c r="H150" s="900"/>
      <c r="I150" s="900"/>
      <c r="J150" s="900"/>
      <c r="K150" s="900"/>
      <c r="L150" s="900"/>
      <c r="N150" s="912"/>
      <c r="O150" s="925"/>
      <c r="AL150" s="754"/>
      <c r="AM150" s="754"/>
    </row>
    <row r="151" spans="1:39" ht="18" x14ac:dyDescent="0.55000000000000004">
      <c r="A151" s="900"/>
      <c r="B151" s="900"/>
      <c r="C151" s="900"/>
      <c r="D151" s="900"/>
      <c r="E151" s="900"/>
      <c r="F151" s="900"/>
      <c r="G151" s="900"/>
      <c r="H151" s="900"/>
      <c r="I151" s="900"/>
      <c r="J151" s="900"/>
      <c r="K151" s="900"/>
      <c r="L151" s="900"/>
      <c r="N151" s="912"/>
      <c r="O151" s="925"/>
      <c r="AL151" s="754"/>
      <c r="AM151" s="754"/>
    </row>
    <row r="152" spans="1:39" ht="18" x14ac:dyDescent="0.55000000000000004">
      <c r="A152" s="900"/>
      <c r="B152" s="900"/>
      <c r="C152" s="900"/>
      <c r="D152" s="900"/>
      <c r="E152" s="900"/>
      <c r="F152" s="900"/>
      <c r="G152" s="900"/>
      <c r="H152" s="900"/>
      <c r="I152" s="900"/>
      <c r="J152" s="900"/>
      <c r="K152" s="900"/>
      <c r="L152" s="900"/>
      <c r="N152" s="912"/>
      <c r="O152" s="925"/>
      <c r="AL152" s="754"/>
      <c r="AM152" s="754"/>
    </row>
    <row r="153" spans="1:39" ht="18" x14ac:dyDescent="0.55000000000000004">
      <c r="A153" s="900"/>
      <c r="B153" s="900"/>
      <c r="C153" s="900"/>
      <c r="D153" s="900"/>
      <c r="E153" s="900"/>
      <c r="F153" s="900"/>
      <c r="G153" s="900"/>
      <c r="H153" s="900"/>
      <c r="I153" s="900"/>
      <c r="J153" s="900"/>
      <c r="K153" s="900"/>
      <c r="L153" s="900"/>
      <c r="N153" s="912"/>
      <c r="O153" s="925"/>
      <c r="AL153" s="754"/>
      <c r="AM153" s="754"/>
    </row>
    <row r="154" spans="1:39" ht="18" x14ac:dyDescent="0.55000000000000004">
      <c r="A154" s="900"/>
      <c r="B154" s="900"/>
      <c r="C154" s="900"/>
      <c r="D154" s="900"/>
      <c r="E154" s="900"/>
      <c r="F154" s="900"/>
      <c r="G154" s="900"/>
      <c r="H154" s="900"/>
      <c r="I154" s="900"/>
      <c r="J154" s="900"/>
      <c r="K154" s="900"/>
      <c r="L154" s="900"/>
      <c r="N154" s="912"/>
      <c r="O154" s="925"/>
      <c r="AL154" s="754"/>
      <c r="AM154" s="754"/>
    </row>
    <row r="155" spans="1:39" ht="18" x14ac:dyDescent="0.55000000000000004">
      <c r="A155" s="900"/>
      <c r="B155" s="900"/>
      <c r="C155" s="900"/>
      <c r="D155" s="900"/>
      <c r="E155" s="900"/>
      <c r="F155" s="900"/>
      <c r="G155" s="900"/>
      <c r="H155" s="900"/>
      <c r="I155" s="900"/>
      <c r="J155" s="900"/>
      <c r="K155" s="900"/>
      <c r="L155" s="900"/>
      <c r="N155" s="912"/>
      <c r="O155" s="925"/>
      <c r="AL155" s="754"/>
      <c r="AM155" s="754"/>
    </row>
    <row r="156" spans="1:39" ht="18" x14ac:dyDescent="0.55000000000000004">
      <c r="A156" s="900"/>
      <c r="B156" s="905" t="s">
        <v>1866</v>
      </c>
      <c r="C156" s="905" t="s">
        <v>1867</v>
      </c>
      <c r="D156" s="900"/>
      <c r="E156" s="900"/>
      <c r="F156" s="900"/>
      <c r="G156" s="900"/>
      <c r="H156" s="900"/>
      <c r="I156" s="900"/>
      <c r="J156" s="900"/>
      <c r="K156" s="900"/>
      <c r="L156" s="900"/>
      <c r="N156" s="925" t="s">
        <v>1877</v>
      </c>
      <c r="O156" s="953"/>
      <c r="P156" s="913"/>
      <c r="Q156" s="913"/>
      <c r="R156" s="913"/>
      <c r="S156" s="913"/>
      <c r="T156" s="913"/>
      <c r="U156" s="913"/>
      <c r="V156" s="913"/>
      <c r="W156" s="913"/>
      <c r="X156" s="913"/>
      <c r="Y156" s="913"/>
      <c r="Z156" s="913"/>
      <c r="AA156" s="954"/>
      <c r="AB156" s="913"/>
      <c r="AC156" s="913"/>
      <c r="AD156" s="913"/>
      <c r="AE156" s="913"/>
      <c r="AF156" s="913"/>
      <c r="AG156" s="913"/>
      <c r="AH156" s="913"/>
      <c r="AI156" s="913"/>
      <c r="AJ156" s="913"/>
      <c r="AK156" s="913"/>
      <c r="AL156" s="789"/>
      <c r="AM156" s="789"/>
    </row>
    <row r="157" spans="1:39" x14ac:dyDescent="0.4">
      <c r="A157" s="900"/>
      <c r="B157" s="900"/>
      <c r="C157" s="900"/>
      <c r="D157" s="900"/>
      <c r="E157" s="900"/>
      <c r="F157" s="900"/>
      <c r="G157" s="900"/>
      <c r="H157" s="900"/>
      <c r="I157" s="900"/>
      <c r="J157" s="900"/>
      <c r="K157" s="900"/>
      <c r="L157" s="900"/>
      <c r="N157" s="950" t="str">
        <f>'00 Summary'!B39</f>
        <v>IB. ENERGY TRANSPORT</v>
      </c>
      <c r="O157" s="950">
        <f>'00 Summary'!C16</f>
        <v>1990</v>
      </c>
      <c r="P157" s="950">
        <f>'00 Summary'!D16</f>
        <v>2000</v>
      </c>
      <c r="Q157" s="950">
        <f>'00 Summary'!E16</f>
        <v>2001</v>
      </c>
      <c r="R157" s="950">
        <f>'00 Summary'!F16</f>
        <v>2002</v>
      </c>
      <c r="S157" s="950">
        <f>'00 Summary'!G16</f>
        <v>2003</v>
      </c>
      <c r="T157" s="950">
        <f>'00 Summary'!H16</f>
        <v>2004</v>
      </c>
      <c r="U157" s="950">
        <f>'00 Summary'!I16</f>
        <v>2005</v>
      </c>
      <c r="V157" s="950">
        <f>'00 Summary'!J16</f>
        <v>2006</v>
      </c>
      <c r="W157" s="950">
        <f>'00 Summary'!K16</f>
        <v>2007</v>
      </c>
      <c r="X157" s="950">
        <f>'00 Summary'!L16</f>
        <v>2008</v>
      </c>
      <c r="Y157" s="950">
        <f>'00 Summary'!M16</f>
        <v>2009</v>
      </c>
      <c r="Z157" s="950">
        <f>'00 Summary'!N16</f>
        <v>2010</v>
      </c>
      <c r="AA157" s="950">
        <f>'00 Summary'!O16</f>
        <v>2011</v>
      </c>
      <c r="AB157" s="950">
        <f>'00 Summary'!P16</f>
        <v>2012</v>
      </c>
      <c r="AC157" s="950">
        <f>'00 Summary'!Q16</f>
        <v>2013</v>
      </c>
      <c r="AD157" s="950">
        <f>'00 Summary'!R16</f>
        <v>2014</v>
      </c>
      <c r="AE157" s="950">
        <f>'00 Summary'!S16</f>
        <v>2015</v>
      </c>
      <c r="AF157" s="950">
        <f>'00 Summary'!T16</f>
        <v>2016</v>
      </c>
      <c r="AG157" s="950">
        <f>'00 Summary'!U16</f>
        <v>2017</v>
      </c>
      <c r="AH157" s="950">
        <f>'00 Summary'!V16</f>
        <v>2018</v>
      </c>
      <c r="AI157" s="913"/>
      <c r="AJ157" s="913"/>
      <c r="AK157" s="913"/>
      <c r="AL157" s="789"/>
      <c r="AM157" s="789"/>
    </row>
    <row r="158" spans="1:39" x14ac:dyDescent="0.4">
      <c r="A158" s="900"/>
      <c r="B158" s="900"/>
      <c r="C158" s="900"/>
      <c r="D158" s="900"/>
      <c r="E158" s="900"/>
      <c r="F158" s="900"/>
      <c r="G158" s="900"/>
      <c r="H158" s="900"/>
      <c r="I158" s="900"/>
      <c r="J158" s="900"/>
      <c r="K158" s="900"/>
      <c r="L158" s="900"/>
      <c r="N158" s="989" t="str">
        <f>'00 Summary'!B40</f>
        <v>Road Transport</v>
      </c>
      <c r="O158" s="989">
        <f>'00 Summary'!C40</f>
        <v>7.2198580274391704</v>
      </c>
      <c r="P158" s="989">
        <f>'00 Summary'!D40</f>
        <v>6.6230000000000002</v>
      </c>
      <c r="Q158" s="989">
        <f>'00 Summary'!E40</f>
        <v>7.0018640922424504</v>
      </c>
      <c r="R158" s="989">
        <f>'00 Summary'!F40</f>
        <v>7.2403405461212254</v>
      </c>
      <c r="S158" s="989">
        <f>'00 Summary'!G40</f>
        <v>7.4788170000000003</v>
      </c>
      <c r="T158" s="989">
        <f>'00 Summary'!H40</f>
        <v>7.4316359508488175</v>
      </c>
      <c r="U158" s="989">
        <f>'00 Summary'!I40</f>
        <v>7.3213608571315705</v>
      </c>
      <c r="V158" s="989">
        <f>'00 Summary'!J40</f>
        <v>7.2592374179067614</v>
      </c>
      <c r="W158" s="989">
        <f>'00 Summary'!K40</f>
        <v>7.2592374179067614</v>
      </c>
      <c r="X158" s="989">
        <f>'00 Summary'!L40</f>
        <v>6.981446</v>
      </c>
      <c r="Y158" s="989">
        <f>'00 Summary'!M40</f>
        <v>6.981446</v>
      </c>
      <c r="Z158" s="989">
        <f>'00 Summary'!N40</f>
        <v>6.3921827831954143</v>
      </c>
      <c r="AA158" s="989">
        <f>'00 Summary'!O40</f>
        <v>6.3921827831954143</v>
      </c>
      <c r="AB158" s="989">
        <f>'00 Summary'!P40</f>
        <v>6.3921827831954143</v>
      </c>
      <c r="AC158" s="989">
        <f>'00 Summary'!Q40</f>
        <v>6.356396803538142</v>
      </c>
      <c r="AD158" s="989">
        <f>'00 Summary'!R40</f>
        <v>6.6202188248141747</v>
      </c>
      <c r="AE158" s="989">
        <f>'00 Summary'!S40</f>
        <v>6.4321619599887416</v>
      </c>
      <c r="AF158" s="989">
        <f>'00 Summary'!T40</f>
        <v>6.5258905053600857</v>
      </c>
      <c r="AG158" s="989">
        <f>'00 Summary'!U40</f>
        <v>6.2554560166393234</v>
      </c>
      <c r="AH158" s="989">
        <f>'00 Summary'!V40</f>
        <v>6.2204863894384603</v>
      </c>
      <c r="AI158" s="913"/>
      <c r="AJ158" s="913"/>
      <c r="AK158" s="913"/>
      <c r="AL158" s="789"/>
      <c r="AM158" s="789"/>
    </row>
    <row r="159" spans="1:39" x14ac:dyDescent="0.4">
      <c r="A159" s="900"/>
      <c r="B159" s="900"/>
      <c r="C159" s="900"/>
      <c r="D159" s="900"/>
      <c r="E159" s="900"/>
      <c r="F159" s="900"/>
      <c r="G159" s="900"/>
      <c r="H159" s="900"/>
      <c r="I159" s="900"/>
      <c r="J159" s="900"/>
      <c r="K159" s="900"/>
      <c r="L159" s="900"/>
      <c r="N159" s="989" t="str">
        <f>'00 Summary'!B41</f>
        <v>Rail_diesel</v>
      </c>
      <c r="O159" s="989">
        <f>'00 Summary'!C41</f>
        <v>1.38678591470095</v>
      </c>
      <c r="P159" s="989">
        <f>'00 Summary'!D41</f>
        <v>0.24322470170206273</v>
      </c>
      <c r="Q159" s="989">
        <f>'00 Summary'!E41</f>
        <v>0.70016122219096422</v>
      </c>
      <c r="R159" s="989">
        <f>'00 Summary'!F41</f>
        <v>0.84057263264239745</v>
      </c>
      <c r="S159" s="989">
        <f>'00 Summary'!G41</f>
        <v>0.98098404309383069</v>
      </c>
      <c r="T159" s="989">
        <f>'00 Summary'!H41</f>
        <v>0.18596729283489999</v>
      </c>
      <c r="U159" s="989">
        <f>'00 Summary'!I41</f>
        <v>0.1915460016638694</v>
      </c>
      <c r="V159" s="989">
        <f>'00 Summary'!J41</f>
        <v>0.19154631992269994</v>
      </c>
      <c r="W159" s="989">
        <f>'00 Summary'!K41</f>
        <v>0.19154631992269994</v>
      </c>
      <c r="X159" s="989">
        <f>'00 Summary'!L41</f>
        <v>0.28214885322012995</v>
      </c>
      <c r="Y159" s="989">
        <f>'00 Summary'!M41</f>
        <v>0.28214885322012995</v>
      </c>
      <c r="Z159" s="989">
        <f>'00 Summary'!N41</f>
        <v>0.11117350639241576</v>
      </c>
      <c r="AA159" s="989">
        <f>'00 Summary'!O41</f>
        <v>0.11117350639241576</v>
      </c>
      <c r="AB159" s="989">
        <f>'00 Summary'!P41</f>
        <v>0.11117350639241576</v>
      </c>
      <c r="AC159" s="989">
        <f>'00 Summary'!Q41</f>
        <v>0.12557715980016201</v>
      </c>
      <c r="AD159" s="989">
        <f>'00 Summary'!R41</f>
        <v>8.3949808187274488E-2</v>
      </c>
      <c r="AE159" s="989">
        <f>'00 Summary'!S41</f>
        <v>8.3949808187274488E-2</v>
      </c>
      <c r="AF159" s="989">
        <f>'00 Summary'!T41</f>
        <v>8.137816432801484E-2</v>
      </c>
      <c r="AG159" s="989">
        <f>'00 Summary'!U41</f>
        <v>7.8010084755004774E-2</v>
      </c>
      <c r="AH159" s="989">
        <f>'00 Summary'!V41</f>
        <v>7.7994893509336638E-2</v>
      </c>
      <c r="AI159" s="913"/>
      <c r="AJ159" s="913"/>
      <c r="AK159" s="913"/>
      <c r="AL159" s="789"/>
      <c r="AM159" s="789"/>
    </row>
    <row r="160" spans="1:39" ht="14.25" x14ac:dyDescent="0.4">
      <c r="A160" s="900"/>
      <c r="B160" s="900"/>
      <c r="C160" s="900"/>
      <c r="D160" s="900"/>
      <c r="E160" s="900"/>
      <c r="F160" s="900"/>
      <c r="G160" s="900"/>
      <c r="H160" s="900"/>
      <c r="I160" s="900"/>
      <c r="J160" s="900"/>
      <c r="K160" s="900"/>
      <c r="L160" s="900"/>
      <c r="N160" s="989" t="str">
        <f>'00 Summary'!B42</f>
        <v>Rail_electric</v>
      </c>
      <c r="O160" s="989">
        <f>'00 Summary'!C42</f>
        <v>0</v>
      </c>
      <c r="P160" s="989">
        <f>'00 Summary'!D42</f>
        <v>0.97868344904996896</v>
      </c>
      <c r="Q160" s="989">
        <f>'00 Summary'!E42</f>
        <v>0.84044684005715253</v>
      </c>
      <c r="R160" s="989">
        <f>'00 Summary'!F42</f>
        <v>0.88044780475325091</v>
      </c>
      <c r="S160" s="989">
        <f>'00 Summary'!G42</f>
        <v>0.92044876944934928</v>
      </c>
      <c r="T160" s="989">
        <f>'00 Summary'!H42</f>
        <v>0.82802069826000013</v>
      </c>
      <c r="U160" s="989">
        <f>'00 Summary'!I42</f>
        <v>0.98461406436641197</v>
      </c>
      <c r="V160" s="989">
        <f>'00 Summary'!J42</f>
        <v>0.97870265534448198</v>
      </c>
      <c r="W160" s="989">
        <f>'00 Summary'!K42</f>
        <v>0.97870265534448198</v>
      </c>
      <c r="X160" s="989">
        <f>'00 Summary'!L42</f>
        <v>1.2372607054691678</v>
      </c>
      <c r="Y160" s="989">
        <f>'00 Summary'!M42</f>
        <v>1.2372607054691678</v>
      </c>
      <c r="Z160" s="989">
        <f>'00 Summary'!N42</f>
        <v>1.1211576458406993</v>
      </c>
      <c r="AA160" s="989">
        <f>'00 Summary'!O42</f>
        <v>1.1844945258434656</v>
      </c>
      <c r="AB160" s="989">
        <f>'00 Summary'!P42</f>
        <v>1.1844945258434656</v>
      </c>
      <c r="AC160" s="989">
        <f>'00 Summary'!Q42</f>
        <v>1.1996198300002749</v>
      </c>
      <c r="AD160" s="989">
        <f>'00 Summary'!R42</f>
        <v>0.90829124530733019</v>
      </c>
      <c r="AE160" s="989">
        <f>'00 Summary'!S42</f>
        <v>0.79164554255208264</v>
      </c>
      <c r="AF160" s="989">
        <f>'00 Summary'!T42</f>
        <v>0.6390822095782196</v>
      </c>
      <c r="AG160" s="989">
        <f>'00 Summary'!U42</f>
        <v>0.57938228367663014</v>
      </c>
      <c r="AH160" s="989">
        <f>'00 Summary'!V42</f>
        <v>0.51696111278062928</v>
      </c>
      <c r="AI160" s="913"/>
      <c r="AJ160" s="913"/>
      <c r="AK160" s="913"/>
      <c r="AL160" s="978"/>
      <c r="AM160" s="789"/>
    </row>
    <row r="161" spans="1:39" ht="14.25" x14ac:dyDescent="0.4">
      <c r="A161" s="900"/>
      <c r="B161" s="900"/>
      <c r="C161" s="900"/>
      <c r="D161" s="900"/>
      <c r="E161" s="900"/>
      <c r="F161" s="900"/>
      <c r="G161" s="900"/>
      <c r="H161" s="900"/>
      <c r="I161" s="900"/>
      <c r="J161" s="900"/>
      <c r="K161" s="900"/>
      <c r="L161" s="900"/>
      <c r="N161" s="989" t="str">
        <f>'00 Summary'!B43</f>
        <v>Aviation</v>
      </c>
      <c r="O161" s="989">
        <f>'00 Summary'!C43</f>
        <v>0.857652802635539</v>
      </c>
      <c r="P161" s="989">
        <f>'00 Summary'!D43</f>
        <v>0.85599999999999998</v>
      </c>
      <c r="Q161" s="989">
        <f>'00 Summary'!E43</f>
        <v>0.76137405382977974</v>
      </c>
      <c r="R161" s="989">
        <f>'00 Summary'!F43</f>
        <v>0.91406117986745539</v>
      </c>
      <c r="S161" s="989">
        <f>'00 Summary'!G43</f>
        <v>1.066748305905131</v>
      </c>
      <c r="T161" s="989">
        <f>'00 Summary'!H43</f>
        <v>1.2012669136783831</v>
      </c>
      <c r="U161" s="989">
        <f>'00 Summary'!I43</f>
        <v>1.3568150454926271</v>
      </c>
      <c r="V161" s="989">
        <f>'00 Summary'!J43</f>
        <v>1.3568150454926271</v>
      </c>
      <c r="W161" s="989">
        <f>'00 Summary'!K43</f>
        <v>1.3568150454926271</v>
      </c>
      <c r="X161" s="989">
        <f>'00 Summary'!L43</f>
        <v>1.3870149446322475</v>
      </c>
      <c r="Y161" s="989">
        <f>'00 Summary'!M43</f>
        <v>1.3870149446322475</v>
      </c>
      <c r="Z161" s="989">
        <f>'00 Summary'!N43</f>
        <v>0.87113930912428172</v>
      </c>
      <c r="AA161" s="989">
        <f>'00 Summary'!O43</f>
        <v>0.87113930912428172</v>
      </c>
      <c r="AB161" s="989">
        <f>'00 Summary'!P43</f>
        <v>0.87113930912428172</v>
      </c>
      <c r="AC161" s="989">
        <f>'00 Summary'!Q43</f>
        <v>0.97911973477215308</v>
      </c>
      <c r="AD161" s="989">
        <f>'00 Summary'!R43</f>
        <v>0.93093236312720706</v>
      </c>
      <c r="AE161" s="989">
        <f>'00 Summary'!S43</f>
        <v>0.94284606113427893</v>
      </c>
      <c r="AF161" s="989">
        <f>'00 Summary'!T43</f>
        <v>1.0408009661121822</v>
      </c>
      <c r="AG161" s="989">
        <f>'00 Summary'!U43</f>
        <v>1.0034836484884981</v>
      </c>
      <c r="AH161" s="989">
        <f>'00 Summary'!V43</f>
        <v>1.0162493037802147</v>
      </c>
      <c r="AI161" s="913"/>
      <c r="AJ161" s="913"/>
      <c r="AK161" s="913"/>
      <c r="AL161" s="978"/>
      <c r="AM161" s="789"/>
    </row>
    <row r="162" spans="1:39" ht="14.25" x14ac:dyDescent="0.4">
      <c r="A162" s="900"/>
      <c r="B162" s="900"/>
      <c r="C162" s="900"/>
      <c r="D162" s="900"/>
      <c r="E162" s="900"/>
      <c r="F162" s="900"/>
      <c r="G162" s="900"/>
      <c r="H162" s="900"/>
      <c r="I162" s="900"/>
      <c r="J162" s="900"/>
      <c r="K162" s="900"/>
      <c r="L162" s="900"/>
      <c r="N162" s="989" t="str">
        <f>'00 Summary'!B44</f>
        <v>Shipping</v>
      </c>
      <c r="O162" s="989">
        <f>'00 Summary'!C44</f>
        <v>0.01</v>
      </c>
      <c r="P162" s="989">
        <f>'00 Summary'!D44</f>
        <v>1.2E-2</v>
      </c>
      <c r="Q162" s="989">
        <f>'00 Summary'!E44</f>
        <v>5.13139064592229E-3</v>
      </c>
      <c r="R162" s="989">
        <f>'00 Summary'!F44</f>
        <v>6.1604476335638102E-3</v>
      </c>
      <c r="S162" s="989">
        <f>'00 Summary'!G44</f>
        <v>7.1895046212053313E-3</v>
      </c>
      <c r="T162" s="989">
        <f>'00 Summary'!H44</f>
        <v>7.1570000000000002E-3</v>
      </c>
      <c r="U162" s="989">
        <f>'00 Summary'!I44</f>
        <v>7.261400736176816E-3</v>
      </c>
      <c r="V162" s="989">
        <f>'00 Summary'!J44</f>
        <v>7.2276935E-3</v>
      </c>
      <c r="W162" s="989">
        <f>'00 Summary'!K44</f>
        <v>7.2276935E-3</v>
      </c>
      <c r="X162" s="989">
        <f>'00 Summary'!L44</f>
        <v>7.2276935E-3</v>
      </c>
      <c r="Y162" s="989">
        <f>'00 Summary'!M44</f>
        <v>7.2276935E-3</v>
      </c>
      <c r="Z162" s="989">
        <f>'00 Summary'!N44</f>
        <v>1.9368174180161506E-2</v>
      </c>
      <c r="AA162" s="989">
        <f>'00 Summary'!O44</f>
        <v>1.9368174180161506E-2</v>
      </c>
      <c r="AB162" s="989">
        <f>'00 Summary'!P44</f>
        <v>1.9368174180161506E-2</v>
      </c>
      <c r="AC162" s="989">
        <f>'00 Summary'!Q44</f>
        <v>1.8856281222837393E-2</v>
      </c>
      <c r="AD162" s="989">
        <f>'00 Summary'!R44</f>
        <v>3.1205121066773821E-2</v>
      </c>
      <c r="AE162" s="989">
        <f>'00 Summary'!S44</f>
        <v>3.1806999099130366E-2</v>
      </c>
      <c r="AF162" s="989">
        <f>'00 Summary'!T44</f>
        <v>4.4092880767461887E-2</v>
      </c>
      <c r="AG162" s="989">
        <f>'00 Summary'!U44</f>
        <v>4.2953941506399189E-2</v>
      </c>
      <c r="AH162" s="989">
        <f>'00 Summary'!V44</f>
        <v>4.0106479659647032E-2</v>
      </c>
      <c r="AI162" s="913"/>
      <c r="AJ162" s="913"/>
      <c r="AK162" s="913"/>
      <c r="AL162" s="978"/>
      <c r="AM162" s="789"/>
    </row>
    <row r="163" spans="1:39" ht="14.25" x14ac:dyDescent="0.4">
      <c r="A163" s="900"/>
      <c r="B163" s="900"/>
      <c r="C163" s="900"/>
      <c r="D163" s="900"/>
      <c r="E163" s="900"/>
      <c r="F163" s="900"/>
      <c r="G163" s="900"/>
      <c r="H163" s="900"/>
      <c r="I163" s="900"/>
      <c r="J163" s="900"/>
      <c r="K163" s="900"/>
      <c r="L163" s="900"/>
      <c r="N163" s="989" t="str">
        <f>'00 Summary'!B45</f>
        <v>NRMM</v>
      </c>
      <c r="O163" s="989">
        <f>'00 Summary'!C45</f>
        <v>0</v>
      </c>
      <c r="P163" s="989">
        <f>'00 Summary'!D45</f>
        <v>0</v>
      </c>
      <c r="Q163" s="989">
        <f>'00 Summary'!E45</f>
        <v>0</v>
      </c>
      <c r="R163" s="989">
        <f>'00 Summary'!F45</f>
        <v>0</v>
      </c>
      <c r="S163" s="989">
        <f>'00 Summary'!G45</f>
        <v>0</v>
      </c>
      <c r="T163" s="989">
        <f>'00 Summary'!H45</f>
        <v>0</v>
      </c>
      <c r="U163" s="989">
        <f>'00 Summary'!I45</f>
        <v>0</v>
      </c>
      <c r="V163" s="989">
        <f>'00 Summary'!J45</f>
        <v>0</v>
      </c>
      <c r="W163" s="989">
        <f>'00 Summary'!K45</f>
        <v>0</v>
      </c>
      <c r="X163" s="989">
        <f>'00 Summary'!L45</f>
        <v>0</v>
      </c>
      <c r="Y163" s="989">
        <f>'00 Summary'!M45</f>
        <v>0</v>
      </c>
      <c r="Z163" s="989">
        <f>'00 Summary'!N45</f>
        <v>0</v>
      </c>
      <c r="AA163" s="989">
        <f>'00 Summary'!O45</f>
        <v>0</v>
      </c>
      <c r="AB163" s="989">
        <f>'00 Summary'!P45</f>
        <v>0</v>
      </c>
      <c r="AC163" s="989">
        <f>'00 Summary'!Q45</f>
        <v>0</v>
      </c>
      <c r="AD163" s="989">
        <f>'00 Summary'!R45</f>
        <v>0</v>
      </c>
      <c r="AE163" s="989">
        <f>'00 Summary'!S45</f>
        <v>0</v>
      </c>
      <c r="AF163" s="989">
        <f>'00 Summary'!T45</f>
        <v>0</v>
      </c>
      <c r="AG163" s="989">
        <f>'00 Summary'!U45</f>
        <v>0</v>
      </c>
      <c r="AH163" s="989">
        <f>'00 Summary'!V45</f>
        <v>0.2375850642750314</v>
      </c>
      <c r="AI163" s="913"/>
      <c r="AJ163" s="913"/>
      <c r="AK163" s="913"/>
      <c r="AL163" s="978"/>
      <c r="AM163" s="789"/>
    </row>
    <row r="164" spans="1:39" ht="14.25" x14ac:dyDescent="0.4">
      <c r="A164" s="900"/>
      <c r="B164" s="900"/>
      <c r="C164" s="900"/>
      <c r="D164" s="900"/>
      <c r="E164" s="900"/>
      <c r="F164" s="900"/>
      <c r="G164" s="900"/>
      <c r="H164" s="900"/>
      <c r="I164" s="900"/>
      <c r="J164" s="900"/>
      <c r="K164" s="900"/>
      <c r="L164" s="900"/>
      <c r="N164" s="913"/>
      <c r="O164" s="929"/>
      <c r="P164" s="929"/>
      <c r="Q164" s="929"/>
      <c r="R164" s="929"/>
      <c r="S164" s="929"/>
      <c r="T164" s="929"/>
      <c r="U164" s="930"/>
      <c r="V164" s="930"/>
      <c r="W164" s="930"/>
      <c r="X164" s="930"/>
      <c r="Y164" s="930"/>
      <c r="Z164" s="913"/>
      <c r="AA164" s="913"/>
      <c r="AB164" s="913"/>
      <c r="AC164" s="913"/>
      <c r="AD164" s="913"/>
      <c r="AE164" s="913"/>
      <c r="AF164" s="913"/>
      <c r="AG164" s="913"/>
      <c r="AH164" s="913"/>
      <c r="AI164" s="913"/>
      <c r="AJ164" s="913"/>
      <c r="AK164" s="913"/>
      <c r="AL164" s="978"/>
      <c r="AM164" s="789"/>
    </row>
    <row r="165" spans="1:39" ht="14.25" x14ac:dyDescent="0.4">
      <c r="A165" s="900"/>
      <c r="B165" s="900"/>
      <c r="C165" s="900"/>
      <c r="D165" s="900"/>
      <c r="E165" s="900"/>
      <c r="F165" s="900"/>
      <c r="G165" s="900"/>
      <c r="H165" s="900"/>
      <c r="I165" s="900"/>
      <c r="J165" s="900"/>
      <c r="K165" s="900"/>
      <c r="L165" s="900"/>
      <c r="N165" s="913"/>
      <c r="O165" s="929"/>
      <c r="P165" s="929"/>
      <c r="Q165" s="929"/>
      <c r="R165" s="929"/>
      <c r="S165" s="929"/>
      <c r="T165" s="929"/>
      <c r="U165" s="930"/>
      <c r="V165" s="930"/>
      <c r="W165" s="930"/>
      <c r="X165" s="930"/>
      <c r="Y165" s="930"/>
      <c r="Z165" s="913"/>
      <c r="AA165" s="913"/>
      <c r="AB165" s="913"/>
      <c r="AC165" s="913"/>
      <c r="AD165" s="913"/>
      <c r="AE165" s="913"/>
      <c r="AF165" s="913"/>
      <c r="AG165" s="913"/>
      <c r="AH165" s="913"/>
      <c r="AI165" s="913"/>
      <c r="AJ165" s="913"/>
      <c r="AK165" s="913"/>
      <c r="AL165" s="978"/>
      <c r="AM165" s="789"/>
    </row>
    <row r="166" spans="1:39" ht="14.25" x14ac:dyDescent="0.4">
      <c r="A166" s="900"/>
      <c r="B166" s="900"/>
      <c r="C166" s="900"/>
      <c r="D166" s="900"/>
      <c r="E166" s="900"/>
      <c r="F166" s="900"/>
      <c r="G166" s="900"/>
      <c r="H166" s="900"/>
      <c r="I166" s="900"/>
      <c r="J166" s="900"/>
      <c r="K166" s="900"/>
      <c r="L166" s="900"/>
      <c r="N166" s="913"/>
      <c r="O166" s="929"/>
      <c r="P166" s="929"/>
      <c r="Q166" s="929"/>
      <c r="R166" s="929"/>
      <c r="S166" s="929"/>
      <c r="T166" s="929"/>
      <c r="U166" s="930"/>
      <c r="V166" s="930"/>
      <c r="W166" s="930"/>
      <c r="X166" s="930"/>
      <c r="Y166" s="930"/>
      <c r="Z166" s="913"/>
      <c r="AA166" s="913"/>
      <c r="AB166" s="913"/>
      <c r="AC166" s="913"/>
      <c r="AD166" s="913"/>
      <c r="AE166" s="913"/>
      <c r="AF166" s="913"/>
      <c r="AG166" s="913"/>
      <c r="AH166" s="913"/>
      <c r="AI166" s="913"/>
      <c r="AJ166" s="913"/>
      <c r="AK166" s="913"/>
      <c r="AL166" s="978"/>
      <c r="AM166" s="789"/>
    </row>
    <row r="167" spans="1:39" ht="14.25" x14ac:dyDescent="0.4">
      <c r="A167" s="900"/>
      <c r="B167" s="900"/>
      <c r="C167" s="900"/>
      <c r="D167" s="900"/>
      <c r="E167" s="900"/>
      <c r="F167" s="900"/>
      <c r="G167" s="900"/>
      <c r="H167" s="900"/>
      <c r="I167" s="900"/>
      <c r="J167" s="900"/>
      <c r="K167" s="900"/>
      <c r="L167" s="900"/>
      <c r="N167" s="942"/>
      <c r="O167" s="931"/>
      <c r="P167" s="931"/>
      <c r="Q167" s="931"/>
      <c r="R167" s="931"/>
      <c r="S167" s="931"/>
      <c r="T167" s="931"/>
      <c r="U167" s="932"/>
      <c r="V167" s="932"/>
      <c r="W167" s="932"/>
      <c r="X167" s="932"/>
      <c r="Y167" s="932"/>
      <c r="Z167" s="913"/>
      <c r="AA167" s="913"/>
      <c r="AB167" s="913"/>
      <c r="AC167" s="913"/>
      <c r="AD167" s="913"/>
      <c r="AE167" s="913"/>
      <c r="AF167" s="913"/>
      <c r="AG167" s="913"/>
      <c r="AH167" s="913"/>
      <c r="AI167" s="913"/>
      <c r="AJ167" s="913"/>
      <c r="AK167" s="913"/>
      <c r="AL167" s="978"/>
      <c r="AM167" s="789"/>
    </row>
    <row r="168" spans="1:39" ht="14.25" customHeight="1" x14ac:dyDescent="0.4">
      <c r="A168" s="900"/>
      <c r="B168" s="900"/>
      <c r="C168" s="900"/>
      <c r="D168" s="900"/>
      <c r="E168" s="900"/>
      <c r="F168" s="900"/>
      <c r="G168" s="900"/>
      <c r="H168" s="900"/>
      <c r="I168" s="900"/>
      <c r="J168" s="900"/>
      <c r="K168" s="900"/>
      <c r="L168" s="900"/>
      <c r="N168" s="958"/>
      <c r="O168" s="931"/>
      <c r="P168" s="931"/>
      <c r="Q168" s="933"/>
      <c r="R168" s="933"/>
      <c r="S168" s="933"/>
      <c r="T168" s="933"/>
      <c r="U168" s="933"/>
      <c r="V168" s="933"/>
      <c r="W168" s="933"/>
      <c r="X168" s="933"/>
      <c r="Y168" s="933"/>
      <c r="Z168" s="913"/>
      <c r="AA168" s="913"/>
      <c r="AB168" s="913"/>
      <c r="AC168" s="913"/>
      <c r="AD168" s="913"/>
      <c r="AE168" s="913"/>
      <c r="AF168" s="913"/>
      <c r="AG168" s="913"/>
      <c r="AH168" s="913"/>
      <c r="AI168" s="913"/>
      <c r="AJ168" s="913"/>
      <c r="AK168" s="913"/>
      <c r="AL168" s="978"/>
      <c r="AM168" s="789"/>
    </row>
    <row r="169" spans="1:39" ht="14.25" customHeight="1" x14ac:dyDescent="0.4">
      <c r="A169" s="900"/>
      <c r="B169" s="900"/>
      <c r="C169" s="900"/>
      <c r="D169" s="900"/>
      <c r="E169" s="900"/>
      <c r="F169" s="900"/>
      <c r="G169" s="900"/>
      <c r="H169" s="900"/>
      <c r="I169" s="900"/>
      <c r="J169" s="900"/>
      <c r="K169" s="900"/>
      <c r="L169" s="900"/>
      <c r="N169" s="959"/>
      <c r="O169" s="956"/>
      <c r="P169" s="957"/>
      <c r="Q169" s="957"/>
      <c r="R169" s="957"/>
      <c r="S169" s="957"/>
      <c r="T169" s="957"/>
      <c r="U169" s="957"/>
      <c r="V169" s="957"/>
      <c r="W169" s="957"/>
      <c r="X169" s="957"/>
      <c r="Y169" s="957"/>
      <c r="Z169" s="913"/>
      <c r="AA169" s="913"/>
      <c r="AB169" s="913"/>
      <c r="AC169" s="913"/>
      <c r="AD169" s="913"/>
      <c r="AE169" s="913"/>
      <c r="AF169" s="913"/>
      <c r="AG169" s="913"/>
      <c r="AH169" s="913"/>
      <c r="AI169" s="913"/>
      <c r="AJ169" s="913"/>
      <c r="AK169" s="913"/>
      <c r="AL169" s="871"/>
      <c r="AM169" s="789"/>
    </row>
    <row r="170" spans="1:39" ht="14.25" customHeight="1" x14ac:dyDescent="0.4">
      <c r="A170" s="900"/>
      <c r="B170" s="900"/>
      <c r="C170" s="900"/>
      <c r="D170" s="900"/>
      <c r="E170" s="900"/>
      <c r="F170" s="900"/>
      <c r="G170" s="900"/>
      <c r="H170" s="900"/>
      <c r="I170" s="900"/>
      <c r="J170" s="900"/>
      <c r="K170" s="900"/>
      <c r="L170" s="900"/>
      <c r="N170" s="958"/>
      <c r="O170" s="929"/>
      <c r="P170" s="929"/>
      <c r="Q170" s="929"/>
      <c r="R170" s="929"/>
      <c r="S170" s="929"/>
      <c r="T170" s="929"/>
      <c r="U170" s="930"/>
      <c r="V170" s="930"/>
      <c r="W170" s="930"/>
      <c r="X170" s="930"/>
      <c r="Y170" s="930"/>
      <c r="Z170" s="913"/>
      <c r="AA170" s="913"/>
      <c r="AB170" s="913"/>
      <c r="AC170" s="913"/>
      <c r="AD170" s="913"/>
      <c r="AE170" s="913"/>
      <c r="AF170" s="913"/>
      <c r="AG170" s="913"/>
      <c r="AH170" s="913"/>
      <c r="AI170" s="913"/>
      <c r="AJ170" s="913"/>
      <c r="AK170" s="913"/>
      <c r="AL170" s="871"/>
      <c r="AM170" s="789"/>
    </row>
    <row r="171" spans="1:39" ht="14.25" customHeight="1" x14ac:dyDescent="0.4">
      <c r="A171" s="900"/>
      <c r="B171" s="900"/>
      <c r="C171" s="900"/>
      <c r="D171" s="900"/>
      <c r="E171" s="900"/>
      <c r="F171" s="900"/>
      <c r="G171" s="900"/>
      <c r="H171" s="900"/>
      <c r="I171" s="900"/>
      <c r="J171" s="900"/>
      <c r="K171" s="900"/>
      <c r="L171" s="900"/>
      <c r="N171" s="958"/>
      <c r="O171" s="929"/>
      <c r="P171" s="929"/>
      <c r="Q171" s="929"/>
      <c r="R171" s="929"/>
      <c r="S171" s="929"/>
      <c r="T171" s="929"/>
      <c r="U171" s="930"/>
      <c r="V171" s="930"/>
      <c r="W171" s="930"/>
      <c r="X171" s="930"/>
      <c r="Y171" s="930"/>
      <c r="Z171" s="913"/>
      <c r="AA171" s="913"/>
      <c r="AB171" s="913"/>
      <c r="AC171" s="913"/>
      <c r="AD171" s="913"/>
      <c r="AE171" s="913"/>
      <c r="AF171" s="913"/>
      <c r="AG171" s="913"/>
      <c r="AH171" s="913"/>
      <c r="AI171" s="913"/>
      <c r="AJ171" s="913"/>
      <c r="AK171" s="913"/>
      <c r="AL171" s="871"/>
      <c r="AM171" s="789"/>
    </row>
    <row r="172" spans="1:39" ht="14.25" customHeight="1" x14ac:dyDescent="0.4">
      <c r="A172" s="900"/>
      <c r="B172" s="900"/>
      <c r="C172" s="900"/>
      <c r="D172" s="900"/>
      <c r="E172" s="900"/>
      <c r="F172" s="900"/>
      <c r="G172" s="900"/>
      <c r="H172" s="900"/>
      <c r="I172" s="900"/>
      <c r="J172" s="900"/>
      <c r="K172" s="900"/>
      <c r="L172" s="900"/>
      <c r="N172" s="958"/>
      <c r="O172" s="929"/>
      <c r="P172" s="929"/>
      <c r="Q172" s="929"/>
      <c r="R172" s="929"/>
      <c r="S172" s="929"/>
      <c r="T172" s="929"/>
      <c r="U172" s="930"/>
      <c r="V172" s="930"/>
      <c r="W172" s="930"/>
      <c r="X172" s="930"/>
      <c r="Y172" s="930"/>
      <c r="Z172" s="913"/>
      <c r="AA172" s="913"/>
      <c r="AB172" s="913"/>
      <c r="AC172" s="913"/>
      <c r="AD172" s="913"/>
      <c r="AE172" s="913"/>
      <c r="AF172" s="913"/>
      <c r="AG172" s="913"/>
      <c r="AH172" s="913"/>
      <c r="AI172" s="913"/>
      <c r="AJ172" s="913"/>
      <c r="AK172" s="913"/>
      <c r="AL172" s="871"/>
      <c r="AM172" s="789"/>
    </row>
    <row r="173" spans="1:39" ht="14.25" customHeight="1" x14ac:dyDescent="0.55000000000000004">
      <c r="A173" s="900"/>
      <c r="B173" s="905" t="s">
        <v>1868</v>
      </c>
      <c r="C173" s="905" t="s">
        <v>1869</v>
      </c>
      <c r="D173" s="900"/>
      <c r="E173" s="900"/>
      <c r="F173" s="900"/>
      <c r="G173" s="900"/>
      <c r="H173" s="900"/>
      <c r="I173" s="900"/>
      <c r="J173" s="900"/>
      <c r="K173" s="900"/>
      <c r="L173" s="900"/>
      <c r="N173" s="925" t="s">
        <v>1876</v>
      </c>
      <c r="O173" s="913"/>
      <c r="P173" s="929"/>
      <c r="Q173" s="929"/>
      <c r="R173" s="929"/>
      <c r="S173" s="929"/>
      <c r="T173" s="929"/>
      <c r="U173" s="930"/>
      <c r="V173" s="930"/>
      <c r="W173" s="930"/>
      <c r="X173" s="930"/>
      <c r="Y173" s="930"/>
      <c r="Z173" s="913"/>
      <c r="AA173" s="913"/>
      <c r="AB173" s="913"/>
      <c r="AC173" s="913"/>
      <c r="AD173" s="913"/>
      <c r="AE173" s="913"/>
      <c r="AF173" s="913"/>
      <c r="AG173" s="913"/>
      <c r="AH173" s="913"/>
      <c r="AI173" s="913"/>
      <c r="AJ173" s="913"/>
      <c r="AK173" s="913"/>
      <c r="AL173" s="871"/>
      <c r="AM173" s="789"/>
    </row>
    <row r="174" spans="1:39" ht="14.25" customHeight="1" x14ac:dyDescent="0.4">
      <c r="A174" s="900"/>
      <c r="B174" s="900"/>
      <c r="C174" s="900"/>
      <c r="D174" s="900"/>
      <c r="E174" s="900"/>
      <c r="F174" s="900"/>
      <c r="G174" s="900"/>
      <c r="H174" s="900"/>
      <c r="I174" s="900"/>
      <c r="J174" s="900"/>
      <c r="K174" s="900"/>
      <c r="L174" s="900"/>
      <c r="N174" s="990" t="str">
        <f>'00 Summary'!B48</f>
        <v xml:space="preserve">II. INDUSTRIAL PROCESSES &amp; PRODUCT USE </v>
      </c>
      <c r="O174" s="950">
        <f>'00 Summary'!C16</f>
        <v>1990</v>
      </c>
      <c r="P174" s="950">
        <f>'00 Summary'!D16</f>
        <v>2000</v>
      </c>
      <c r="Q174" s="950">
        <f>'00 Summary'!E16</f>
        <v>2001</v>
      </c>
      <c r="R174" s="950">
        <f>'00 Summary'!F16</f>
        <v>2002</v>
      </c>
      <c r="S174" s="950">
        <f>'00 Summary'!G16</f>
        <v>2003</v>
      </c>
      <c r="T174" s="950">
        <f>'00 Summary'!H16</f>
        <v>2004</v>
      </c>
      <c r="U174" s="950">
        <f>'00 Summary'!I16</f>
        <v>2005</v>
      </c>
      <c r="V174" s="950">
        <f>'00 Summary'!J16</f>
        <v>2006</v>
      </c>
      <c r="W174" s="950">
        <f>'00 Summary'!K16</f>
        <v>2007</v>
      </c>
      <c r="X174" s="950">
        <f>'00 Summary'!L16</f>
        <v>2008</v>
      </c>
      <c r="Y174" s="950">
        <f>'00 Summary'!M16</f>
        <v>2009</v>
      </c>
      <c r="Z174" s="950">
        <f>'00 Summary'!N16</f>
        <v>2010</v>
      </c>
      <c r="AA174" s="950">
        <f>'00 Summary'!O16</f>
        <v>2011</v>
      </c>
      <c r="AB174" s="950">
        <f>'00 Summary'!P16</f>
        <v>2012</v>
      </c>
      <c r="AC174" s="950">
        <f>'00 Summary'!Q16</f>
        <v>2013</v>
      </c>
      <c r="AD174" s="950">
        <f>'00 Summary'!R16</f>
        <v>2014</v>
      </c>
      <c r="AE174" s="950">
        <f>'00 Summary'!S16</f>
        <v>2015</v>
      </c>
      <c r="AF174" s="950">
        <f>'00 Summary'!T16</f>
        <v>2016</v>
      </c>
      <c r="AG174" s="950">
        <f>'00 Summary'!U16</f>
        <v>2017</v>
      </c>
      <c r="AH174" s="950">
        <f>'00 Summary'!V16</f>
        <v>2018</v>
      </c>
      <c r="AI174" s="913"/>
      <c r="AJ174" s="913"/>
      <c r="AK174" s="913"/>
      <c r="AL174" s="871"/>
      <c r="AM174" s="789"/>
    </row>
    <row r="175" spans="1:39" ht="14.25" customHeight="1" x14ac:dyDescent="0.4">
      <c r="A175" s="900"/>
      <c r="B175" s="900"/>
      <c r="C175" s="900"/>
      <c r="D175" s="900"/>
      <c r="E175" s="900"/>
      <c r="F175" s="900"/>
      <c r="G175" s="900"/>
      <c r="H175" s="900"/>
      <c r="I175" s="900"/>
      <c r="J175" s="900"/>
      <c r="K175" s="900"/>
      <c r="L175" s="900"/>
      <c r="N175" s="991" t="str">
        <f>'00 Summary'!B49</f>
        <v>Industrial Processes</v>
      </c>
      <c r="O175" s="991" t="str">
        <f>'00 Summary'!C49</f>
        <v>NO</v>
      </c>
      <c r="P175" s="991" t="str">
        <f>'00 Summary'!D49</f>
        <v>NO</v>
      </c>
      <c r="Q175" s="991" t="str">
        <f>'00 Summary'!E49</f>
        <v>NO</v>
      </c>
      <c r="R175" s="991" t="str">
        <f>'00 Summary'!F49</f>
        <v>NO</v>
      </c>
      <c r="S175" s="991" t="str">
        <f>'00 Summary'!G49</f>
        <v>NO</v>
      </c>
      <c r="T175" s="991" t="str">
        <f>'00 Summary'!H49</f>
        <v>NO</v>
      </c>
      <c r="U175" s="991" t="str">
        <f>'00 Summary'!I49</f>
        <v>NO</v>
      </c>
      <c r="V175" s="991" t="str">
        <f>'00 Summary'!J49</f>
        <v>NO</v>
      </c>
      <c r="W175" s="991" t="str">
        <f>'00 Summary'!K49</f>
        <v>NO</v>
      </c>
      <c r="X175" s="991" t="str">
        <f>'00 Summary'!L49</f>
        <v>NO</v>
      </c>
      <c r="Y175" s="991" t="str">
        <f>'00 Summary'!M49</f>
        <v>NO</v>
      </c>
      <c r="Z175" s="991" t="str">
        <f>'00 Summary'!N49</f>
        <v>NO</v>
      </c>
      <c r="AA175" s="991" t="str">
        <f>'00 Summary'!O49</f>
        <v>NO</v>
      </c>
      <c r="AB175" s="991" t="str">
        <f>'00 Summary'!P49</f>
        <v>NO</v>
      </c>
      <c r="AC175" s="991" t="str">
        <f>'00 Summary'!Q49</f>
        <v>NO</v>
      </c>
      <c r="AD175" s="991" t="str">
        <f>'00 Summary'!R49</f>
        <v>NO</v>
      </c>
      <c r="AE175" s="991" t="str">
        <f>'00 Summary'!S49</f>
        <v>NO</v>
      </c>
      <c r="AF175" s="991" t="str">
        <f>'00 Summary'!T49</f>
        <v>NO</v>
      </c>
      <c r="AG175" s="991" t="str">
        <f>'00 Summary'!U49</f>
        <v>NO</v>
      </c>
      <c r="AH175" s="991" t="str">
        <f>'00 Summary'!V49</f>
        <v>NO</v>
      </c>
      <c r="AI175" s="913"/>
      <c r="AJ175" s="913"/>
      <c r="AK175" s="913"/>
      <c r="AL175" s="871"/>
      <c r="AM175" s="789"/>
    </row>
    <row r="176" spans="1:39" ht="14.25" customHeight="1" x14ac:dyDescent="0.4">
      <c r="A176" s="900"/>
      <c r="B176" s="900"/>
      <c r="C176" s="900"/>
      <c r="D176" s="900"/>
      <c r="E176" s="900"/>
      <c r="F176" s="900"/>
      <c r="G176" s="900"/>
      <c r="H176" s="900"/>
      <c r="I176" s="900"/>
      <c r="J176" s="900"/>
      <c r="K176" s="900"/>
      <c r="L176" s="900"/>
      <c r="N176" s="991" t="str">
        <f>'00 Summary'!B50</f>
        <v>Product Use</v>
      </c>
      <c r="O176" s="991">
        <f>'00 Summary'!C50</f>
        <v>0.1353614480747207</v>
      </c>
      <c r="P176" s="991">
        <f>'00 Summary'!D50</f>
        <v>0</v>
      </c>
      <c r="Q176" s="991">
        <f>'00 Summary'!E50</f>
        <v>0</v>
      </c>
      <c r="R176" s="991">
        <f>'00 Summary'!F50</f>
        <v>0</v>
      </c>
      <c r="S176" s="991">
        <f>'00 Summary'!G50</f>
        <v>1.504689896339201</v>
      </c>
      <c r="T176" s="991">
        <f>'00 Summary'!H50</f>
        <v>1.647091885301589</v>
      </c>
      <c r="U176" s="991">
        <f>'00 Summary'!I50</f>
        <v>1.8176196885080351</v>
      </c>
      <c r="V176" s="991">
        <f>'00 Summary'!J50</f>
        <v>1.9187888333323815</v>
      </c>
      <c r="W176" s="991">
        <f>'00 Summary'!K50</f>
        <v>2.0151516298772565</v>
      </c>
      <c r="X176" s="991">
        <f>'00 Summary'!L50</f>
        <v>2.0776144178820997</v>
      </c>
      <c r="Y176" s="991">
        <f>'00 Summary'!M50</f>
        <v>2.1595778697555623</v>
      </c>
      <c r="Z176" s="991">
        <f>'00 Summary'!N50</f>
        <v>2.2869816644319361</v>
      </c>
      <c r="AA176" s="991">
        <f>'00 Summary'!O50</f>
        <v>2.0713508781937842</v>
      </c>
      <c r="AB176" s="991">
        <f>'00 Summary'!P50</f>
        <v>2.145738402109032</v>
      </c>
      <c r="AC176" s="991">
        <f>'00 Summary'!Q50</f>
        <v>2.1839809917178226</v>
      </c>
      <c r="AD176" s="991">
        <f>'00 Summary'!R50</f>
        <v>2.2130468519393287</v>
      </c>
      <c r="AE176" s="991">
        <f>'00 Summary'!S50</f>
        <v>2.2115426661086151</v>
      </c>
      <c r="AF176" s="991">
        <f>'00 Summary'!T50</f>
        <v>2.1121711517106307</v>
      </c>
      <c r="AG176" s="991">
        <f>'00 Summary'!U50</f>
        <v>1.969070478008512</v>
      </c>
      <c r="AH176" s="991">
        <f>'00 Summary'!V50</f>
        <v>1.825695847836674</v>
      </c>
      <c r="AI176" s="934"/>
      <c r="AJ176" s="934"/>
      <c r="AK176" s="934"/>
      <c r="AL176" s="871"/>
      <c r="AM176" s="789"/>
    </row>
    <row r="177" spans="1:39" ht="14.25" customHeight="1" x14ac:dyDescent="0.4">
      <c r="A177" s="900"/>
      <c r="B177" s="900"/>
      <c r="C177" s="900"/>
      <c r="D177" s="900"/>
      <c r="E177" s="900"/>
      <c r="F177" s="900"/>
      <c r="G177" s="900"/>
      <c r="H177" s="900"/>
      <c r="I177" s="900"/>
      <c r="J177" s="900"/>
      <c r="K177" s="900"/>
      <c r="L177" s="900"/>
      <c r="N177" s="942"/>
      <c r="O177" s="931"/>
      <c r="P177" s="931"/>
      <c r="Q177" s="931"/>
      <c r="R177" s="931"/>
      <c r="S177" s="931"/>
      <c r="T177" s="931"/>
      <c r="U177" s="932"/>
      <c r="V177" s="932"/>
      <c r="W177" s="932"/>
      <c r="X177" s="932"/>
      <c r="Y177" s="932"/>
      <c r="Z177" s="932"/>
      <c r="AA177" s="932"/>
      <c r="AB177" s="932"/>
      <c r="AC177" s="932"/>
      <c r="AD177" s="932"/>
      <c r="AE177" s="932"/>
      <c r="AF177" s="932"/>
      <c r="AG177" s="932"/>
      <c r="AH177" s="960"/>
      <c r="AI177" s="934"/>
      <c r="AJ177" s="934"/>
      <c r="AK177" s="934"/>
      <c r="AL177" s="871"/>
      <c r="AM177" s="789"/>
    </row>
    <row r="178" spans="1:39" ht="14.25" customHeight="1" x14ac:dyDescent="0.4">
      <c r="A178" s="900"/>
      <c r="B178" s="900"/>
      <c r="C178" s="900"/>
      <c r="D178" s="900"/>
      <c r="E178" s="900"/>
      <c r="F178" s="900"/>
      <c r="G178" s="900"/>
      <c r="H178" s="900"/>
      <c r="I178" s="900"/>
      <c r="J178" s="900"/>
      <c r="K178" s="900"/>
      <c r="L178" s="900"/>
      <c r="N178" s="958"/>
      <c r="O178" s="931"/>
      <c r="P178" s="931"/>
      <c r="Q178" s="933"/>
      <c r="R178" s="933"/>
      <c r="S178" s="933"/>
      <c r="T178" s="933"/>
      <c r="U178" s="933"/>
      <c r="V178" s="933"/>
      <c r="W178" s="933"/>
      <c r="X178" s="933"/>
      <c r="Y178" s="933"/>
      <c r="Z178" s="933"/>
      <c r="AA178" s="933"/>
      <c r="AB178" s="933"/>
      <c r="AC178" s="933"/>
      <c r="AD178" s="933"/>
      <c r="AE178" s="933"/>
      <c r="AF178" s="933"/>
      <c r="AG178" s="933"/>
      <c r="AH178" s="961"/>
      <c r="AI178" s="934"/>
      <c r="AJ178" s="934"/>
      <c r="AK178" s="934"/>
      <c r="AL178" s="871"/>
      <c r="AM178" s="789"/>
    </row>
    <row r="179" spans="1:39" ht="14.25" customHeight="1" x14ac:dyDescent="0.4">
      <c r="A179" s="900"/>
      <c r="B179" s="900"/>
      <c r="C179" s="900"/>
      <c r="D179" s="900"/>
      <c r="E179" s="900"/>
      <c r="F179" s="900"/>
      <c r="G179" s="900"/>
      <c r="H179" s="900"/>
      <c r="I179" s="900"/>
      <c r="J179" s="900"/>
      <c r="K179" s="900"/>
      <c r="L179" s="900"/>
      <c r="N179" s="959"/>
      <c r="O179" s="956"/>
      <c r="P179" s="957"/>
      <c r="Q179" s="957"/>
      <c r="R179" s="957"/>
      <c r="S179" s="957"/>
      <c r="T179" s="957"/>
      <c r="U179" s="957"/>
      <c r="V179" s="957"/>
      <c r="W179" s="957"/>
      <c r="X179" s="957"/>
      <c r="Y179" s="957"/>
      <c r="Z179" s="956"/>
      <c r="AA179" s="957"/>
      <c r="AB179" s="957"/>
      <c r="AC179" s="957"/>
      <c r="AD179" s="957"/>
      <c r="AE179" s="957"/>
      <c r="AF179" s="957"/>
      <c r="AG179" s="957"/>
      <c r="AH179" s="962"/>
      <c r="AI179" s="934"/>
      <c r="AJ179" s="934"/>
      <c r="AK179" s="934"/>
      <c r="AL179" s="871"/>
      <c r="AM179" s="789"/>
    </row>
    <row r="180" spans="1:39" ht="14.25" customHeight="1" x14ac:dyDescent="0.4">
      <c r="A180" s="900"/>
      <c r="B180" s="900"/>
      <c r="C180" s="900"/>
      <c r="D180" s="900"/>
      <c r="E180" s="900"/>
      <c r="F180" s="900"/>
      <c r="G180" s="900"/>
      <c r="H180" s="900"/>
      <c r="I180" s="900"/>
      <c r="J180" s="900"/>
      <c r="K180" s="900"/>
      <c r="L180" s="900"/>
      <c r="N180" s="958"/>
      <c r="O180" s="929"/>
      <c r="P180" s="929"/>
      <c r="Q180" s="929"/>
      <c r="R180" s="929"/>
      <c r="S180" s="929"/>
      <c r="T180" s="929"/>
      <c r="U180" s="929"/>
      <c r="V180" s="929"/>
      <c r="W180" s="929"/>
      <c r="X180" s="929"/>
      <c r="Y180" s="929"/>
      <c r="Z180" s="930"/>
      <c r="AA180" s="930"/>
      <c r="AB180" s="930"/>
      <c r="AC180" s="930"/>
      <c r="AD180" s="930"/>
      <c r="AE180" s="930"/>
      <c r="AF180" s="930"/>
      <c r="AG180" s="930"/>
      <c r="AH180" s="963"/>
      <c r="AI180" s="934"/>
      <c r="AJ180" s="934"/>
      <c r="AK180" s="934"/>
      <c r="AL180" s="871"/>
      <c r="AM180" s="789"/>
    </row>
    <row r="181" spans="1:39" ht="14.25" customHeight="1" x14ac:dyDescent="0.4">
      <c r="A181" s="900"/>
      <c r="B181" s="900"/>
      <c r="C181" s="900"/>
      <c r="D181" s="900"/>
      <c r="E181" s="900"/>
      <c r="F181" s="900"/>
      <c r="G181" s="900"/>
      <c r="H181" s="900"/>
      <c r="I181" s="900"/>
      <c r="J181" s="900"/>
      <c r="K181" s="900"/>
      <c r="L181" s="900"/>
      <c r="N181" s="958"/>
      <c r="O181" s="929"/>
      <c r="P181" s="929"/>
      <c r="Q181" s="929"/>
      <c r="R181" s="929"/>
      <c r="S181" s="929"/>
      <c r="T181" s="929"/>
      <c r="U181" s="929"/>
      <c r="V181" s="929"/>
      <c r="W181" s="929"/>
      <c r="X181" s="929"/>
      <c r="Y181" s="929"/>
      <c r="Z181" s="930"/>
      <c r="AA181" s="930"/>
      <c r="AB181" s="930"/>
      <c r="AC181" s="930"/>
      <c r="AD181" s="930"/>
      <c r="AE181" s="930"/>
      <c r="AF181" s="930"/>
      <c r="AG181" s="930"/>
      <c r="AH181" s="963"/>
      <c r="AI181" s="934"/>
      <c r="AJ181" s="934"/>
      <c r="AK181" s="934"/>
      <c r="AL181" s="871"/>
      <c r="AM181" s="789"/>
    </row>
    <row r="182" spans="1:39" ht="14.25" customHeight="1" x14ac:dyDescent="0.4">
      <c r="A182" s="900"/>
      <c r="B182" s="900"/>
      <c r="C182" s="900"/>
      <c r="D182" s="900"/>
      <c r="E182" s="900"/>
      <c r="F182" s="900"/>
      <c r="G182" s="900"/>
      <c r="H182" s="900"/>
      <c r="I182" s="900"/>
      <c r="J182" s="900"/>
      <c r="K182" s="900"/>
      <c r="L182" s="900"/>
      <c r="N182" s="958"/>
      <c r="O182" s="913"/>
      <c r="P182" s="929"/>
      <c r="Q182" s="929"/>
      <c r="R182" s="929"/>
      <c r="S182" s="929"/>
      <c r="T182" s="929"/>
      <c r="U182" s="929"/>
      <c r="V182" s="929"/>
      <c r="W182" s="929"/>
      <c r="X182" s="929"/>
      <c r="Y182" s="929"/>
      <c r="Z182" s="930"/>
      <c r="AA182" s="930"/>
      <c r="AB182" s="930"/>
      <c r="AC182" s="930"/>
      <c r="AD182" s="930"/>
      <c r="AE182" s="930"/>
      <c r="AF182" s="930"/>
      <c r="AG182" s="930"/>
      <c r="AH182" s="964"/>
      <c r="AI182" s="934"/>
      <c r="AJ182" s="934"/>
      <c r="AK182" s="934"/>
      <c r="AL182" s="871"/>
      <c r="AM182" s="789"/>
    </row>
    <row r="183" spans="1:39" ht="14.25" customHeight="1" x14ac:dyDescent="0.4">
      <c r="A183" s="900"/>
      <c r="B183" s="900"/>
      <c r="C183" s="900"/>
      <c r="D183" s="900"/>
      <c r="E183" s="900"/>
      <c r="F183" s="900"/>
      <c r="G183" s="900"/>
      <c r="H183" s="900"/>
      <c r="I183" s="900"/>
      <c r="J183" s="900"/>
      <c r="K183" s="900"/>
      <c r="L183" s="900"/>
      <c r="N183" s="958"/>
      <c r="O183" s="929"/>
      <c r="P183" s="929"/>
      <c r="Q183" s="929"/>
      <c r="R183" s="929"/>
      <c r="S183" s="929"/>
      <c r="T183" s="929"/>
      <c r="U183" s="929"/>
      <c r="V183" s="929"/>
      <c r="W183" s="929"/>
      <c r="X183" s="929"/>
      <c r="Y183" s="929"/>
      <c r="Z183" s="930"/>
      <c r="AA183" s="930"/>
      <c r="AB183" s="930"/>
      <c r="AC183" s="930"/>
      <c r="AD183" s="930"/>
      <c r="AE183" s="930"/>
      <c r="AF183" s="930"/>
      <c r="AG183" s="930"/>
      <c r="AH183" s="963"/>
      <c r="AI183" s="934"/>
      <c r="AJ183" s="934"/>
      <c r="AK183" s="934"/>
      <c r="AL183" s="871"/>
      <c r="AM183" s="789"/>
    </row>
    <row r="184" spans="1:39" ht="14.25" customHeight="1" x14ac:dyDescent="0.4">
      <c r="A184" s="900"/>
      <c r="B184" s="900"/>
      <c r="C184" s="900"/>
      <c r="D184" s="900"/>
      <c r="E184" s="900"/>
      <c r="F184" s="900"/>
      <c r="G184" s="900"/>
      <c r="H184" s="900"/>
      <c r="I184" s="900"/>
      <c r="J184" s="900"/>
      <c r="K184" s="900"/>
      <c r="L184" s="900"/>
      <c r="N184" s="958"/>
      <c r="O184" s="929"/>
      <c r="P184" s="929"/>
      <c r="Q184" s="929"/>
      <c r="R184" s="929"/>
      <c r="S184" s="929"/>
      <c r="T184" s="929"/>
      <c r="U184" s="929"/>
      <c r="V184" s="929"/>
      <c r="W184" s="929"/>
      <c r="X184" s="929"/>
      <c r="Y184" s="929"/>
      <c r="Z184" s="930"/>
      <c r="AA184" s="930"/>
      <c r="AB184" s="930"/>
      <c r="AC184" s="930"/>
      <c r="AD184" s="930"/>
      <c r="AE184" s="930"/>
      <c r="AF184" s="930"/>
      <c r="AG184" s="930"/>
      <c r="AH184" s="963"/>
      <c r="AI184" s="934"/>
      <c r="AJ184" s="934"/>
      <c r="AK184" s="934"/>
      <c r="AL184" s="871"/>
      <c r="AM184" s="789"/>
    </row>
    <row r="185" spans="1:39" ht="14.25" customHeight="1" x14ac:dyDescent="0.4">
      <c r="A185" s="900"/>
      <c r="B185" s="900"/>
      <c r="C185" s="900"/>
      <c r="D185" s="900"/>
      <c r="E185" s="900"/>
      <c r="F185" s="900"/>
      <c r="G185" s="900"/>
      <c r="H185" s="900"/>
      <c r="I185" s="900"/>
      <c r="J185" s="900"/>
      <c r="K185" s="900"/>
      <c r="L185" s="900"/>
      <c r="N185" s="958"/>
      <c r="O185" s="930"/>
      <c r="P185" s="930"/>
      <c r="Q185" s="930"/>
      <c r="R185" s="930"/>
      <c r="S185" s="930"/>
      <c r="T185" s="930"/>
      <c r="U185" s="930"/>
      <c r="V185" s="930"/>
      <c r="W185" s="930"/>
      <c r="X185" s="930"/>
      <c r="Y185" s="930"/>
      <c r="Z185" s="930"/>
      <c r="AA185" s="930"/>
      <c r="AB185" s="930"/>
      <c r="AC185" s="930"/>
      <c r="AD185" s="930"/>
      <c r="AE185" s="930"/>
      <c r="AF185" s="930"/>
      <c r="AG185" s="930"/>
      <c r="AH185" s="963"/>
      <c r="AI185" s="934"/>
      <c r="AJ185" s="934"/>
      <c r="AK185" s="934"/>
      <c r="AL185" s="871"/>
      <c r="AM185" s="789"/>
    </row>
    <row r="186" spans="1:39" ht="14.25" customHeight="1" x14ac:dyDescent="0.4">
      <c r="A186" s="900"/>
      <c r="B186" s="900"/>
      <c r="C186" s="900"/>
      <c r="D186" s="900"/>
      <c r="E186" s="900"/>
      <c r="F186" s="900"/>
      <c r="G186" s="900"/>
      <c r="H186" s="900"/>
      <c r="I186" s="900"/>
      <c r="J186" s="900"/>
      <c r="K186" s="900"/>
      <c r="L186" s="900"/>
      <c r="N186" s="959"/>
      <c r="O186" s="931"/>
      <c r="P186" s="931"/>
      <c r="Q186" s="931"/>
      <c r="R186" s="931"/>
      <c r="S186" s="931"/>
      <c r="T186" s="931"/>
      <c r="U186" s="932"/>
      <c r="V186" s="932"/>
      <c r="W186" s="932"/>
      <c r="X186" s="932"/>
      <c r="Y186" s="932"/>
      <c r="Z186" s="932"/>
      <c r="AA186" s="932"/>
      <c r="AB186" s="932"/>
      <c r="AC186" s="932"/>
      <c r="AD186" s="932"/>
      <c r="AE186" s="932"/>
      <c r="AF186" s="932"/>
      <c r="AG186" s="932"/>
      <c r="AH186" s="932"/>
      <c r="AI186" s="934"/>
      <c r="AJ186" s="934"/>
      <c r="AK186" s="934"/>
      <c r="AL186" s="871"/>
      <c r="AM186" s="789"/>
    </row>
    <row r="187" spans="1:39" ht="18.75" customHeight="1" x14ac:dyDescent="0.4">
      <c r="A187" s="900"/>
      <c r="B187" s="900"/>
      <c r="C187" s="900"/>
      <c r="D187" s="900"/>
      <c r="E187" s="900"/>
      <c r="F187" s="900"/>
      <c r="G187" s="900"/>
      <c r="H187" s="900"/>
      <c r="I187" s="900"/>
      <c r="J187" s="900"/>
      <c r="K187" s="900"/>
      <c r="L187" s="900"/>
      <c r="N187" s="958"/>
      <c r="O187" s="931"/>
      <c r="P187" s="931"/>
      <c r="Q187" s="933"/>
      <c r="R187" s="933"/>
      <c r="S187" s="933"/>
      <c r="T187" s="933"/>
      <c r="U187" s="933"/>
      <c r="V187" s="933"/>
      <c r="W187" s="933"/>
      <c r="X187" s="933"/>
      <c r="Y187" s="933"/>
      <c r="Z187" s="933"/>
      <c r="AA187" s="933"/>
      <c r="AB187" s="933"/>
      <c r="AC187" s="933"/>
      <c r="AD187" s="933"/>
      <c r="AE187" s="933"/>
      <c r="AF187" s="933"/>
      <c r="AG187" s="933"/>
      <c r="AH187" s="961"/>
      <c r="AI187" s="934"/>
      <c r="AJ187" s="934"/>
      <c r="AK187" s="934"/>
      <c r="AL187" s="871"/>
      <c r="AM187" s="789"/>
    </row>
    <row r="188" spans="1:39" ht="18.75" customHeight="1" x14ac:dyDescent="0.4">
      <c r="A188" s="900"/>
      <c r="B188" s="900"/>
      <c r="C188" s="900"/>
      <c r="D188" s="900"/>
      <c r="E188" s="900"/>
      <c r="F188" s="900"/>
      <c r="G188" s="900"/>
      <c r="H188" s="900"/>
      <c r="I188" s="900"/>
      <c r="J188" s="900"/>
      <c r="K188" s="900"/>
      <c r="L188" s="900"/>
      <c r="N188" s="942"/>
      <c r="O188" s="931"/>
      <c r="P188" s="931"/>
      <c r="Q188" s="933"/>
      <c r="R188" s="933"/>
      <c r="S188" s="933"/>
      <c r="T188" s="933"/>
      <c r="U188" s="933"/>
      <c r="V188" s="933"/>
      <c r="W188" s="933"/>
      <c r="X188" s="933"/>
      <c r="Y188" s="933"/>
      <c r="Z188" s="933"/>
      <c r="AA188" s="933"/>
      <c r="AB188" s="933"/>
      <c r="AC188" s="933"/>
      <c r="AD188" s="933"/>
      <c r="AE188" s="933"/>
      <c r="AF188" s="933"/>
      <c r="AG188" s="933"/>
      <c r="AH188" s="934"/>
      <c r="AI188" s="934"/>
      <c r="AJ188" s="934"/>
      <c r="AK188" s="934"/>
      <c r="AL188" s="871"/>
      <c r="AM188" s="789"/>
    </row>
    <row r="189" spans="1:39" ht="18.75" customHeight="1" x14ac:dyDescent="0.55000000000000004">
      <c r="A189" s="900"/>
      <c r="B189" s="905" t="s">
        <v>1870</v>
      </c>
      <c r="C189" s="905" t="s">
        <v>1871</v>
      </c>
      <c r="D189" s="900"/>
      <c r="E189" s="900"/>
      <c r="F189" s="900"/>
      <c r="G189" s="900"/>
      <c r="H189" s="900"/>
      <c r="I189" s="900"/>
      <c r="J189" s="900"/>
      <c r="K189" s="900"/>
      <c r="L189" s="900"/>
      <c r="N189" s="925" t="s">
        <v>1875</v>
      </c>
      <c r="O189" s="929"/>
      <c r="P189" s="929"/>
      <c r="Q189" s="933"/>
      <c r="R189" s="929"/>
      <c r="S189" s="929"/>
      <c r="T189" s="933"/>
      <c r="U189" s="929"/>
      <c r="V189" s="929"/>
      <c r="W189" s="933"/>
      <c r="X189" s="929"/>
      <c r="Y189" s="929"/>
      <c r="Z189" s="933"/>
      <c r="AA189" s="929"/>
      <c r="AB189" s="929"/>
      <c r="AC189" s="933"/>
      <c r="AD189" s="929"/>
      <c r="AE189" s="929"/>
      <c r="AF189" s="933"/>
      <c r="AG189" s="929"/>
      <c r="AH189" s="929"/>
      <c r="AI189" s="934"/>
      <c r="AJ189" s="934"/>
      <c r="AK189" s="934"/>
      <c r="AL189" s="871"/>
      <c r="AM189" s="789"/>
    </row>
    <row r="190" spans="1:39" ht="18.75" customHeight="1" x14ac:dyDescent="0.4">
      <c r="A190" s="900"/>
      <c r="B190" s="900"/>
      <c r="C190" s="900"/>
      <c r="D190" s="900"/>
      <c r="E190" s="900"/>
      <c r="F190" s="900"/>
      <c r="G190" s="900"/>
      <c r="H190" s="900"/>
      <c r="I190" s="900"/>
      <c r="J190" s="900"/>
      <c r="K190" s="900"/>
      <c r="L190" s="900"/>
      <c r="N190" s="990" t="str">
        <f>'00 Summary'!B53</f>
        <v>III. AGRICULTURE</v>
      </c>
      <c r="O190" s="992">
        <f>'00 Summary'!C16</f>
        <v>1990</v>
      </c>
      <c r="P190" s="992">
        <f>'00 Summary'!D16</f>
        <v>2000</v>
      </c>
      <c r="Q190" s="992">
        <f>'00 Summary'!E16</f>
        <v>2001</v>
      </c>
      <c r="R190" s="992">
        <f>'00 Summary'!F16</f>
        <v>2002</v>
      </c>
      <c r="S190" s="992">
        <f>'00 Summary'!G16</f>
        <v>2003</v>
      </c>
      <c r="T190" s="992">
        <f>'00 Summary'!H16</f>
        <v>2004</v>
      </c>
      <c r="U190" s="992">
        <f>'00 Summary'!I16</f>
        <v>2005</v>
      </c>
      <c r="V190" s="992">
        <f>'00 Summary'!J16</f>
        <v>2006</v>
      </c>
      <c r="W190" s="992">
        <f>'00 Summary'!K16</f>
        <v>2007</v>
      </c>
      <c r="X190" s="992">
        <f>'00 Summary'!L16</f>
        <v>2008</v>
      </c>
      <c r="Y190" s="992">
        <f>'00 Summary'!M16</f>
        <v>2009</v>
      </c>
      <c r="Z190" s="992">
        <f>'00 Summary'!N16</f>
        <v>2010</v>
      </c>
      <c r="AA190" s="992">
        <f>'00 Summary'!O16</f>
        <v>2011</v>
      </c>
      <c r="AB190" s="992">
        <f>'00 Summary'!P16</f>
        <v>2012</v>
      </c>
      <c r="AC190" s="992">
        <f>'00 Summary'!Q16</f>
        <v>2013</v>
      </c>
      <c r="AD190" s="992">
        <f>'00 Summary'!R16</f>
        <v>2014</v>
      </c>
      <c r="AE190" s="992">
        <f>'00 Summary'!S16</f>
        <v>2015</v>
      </c>
      <c r="AF190" s="992">
        <f>'00 Summary'!T16</f>
        <v>2016</v>
      </c>
      <c r="AG190" s="992">
        <f>'00 Summary'!U16</f>
        <v>2017</v>
      </c>
      <c r="AH190" s="992">
        <f>'00 Summary'!V16</f>
        <v>2018</v>
      </c>
      <c r="AI190" s="934"/>
      <c r="AJ190" s="934"/>
      <c r="AK190" s="934"/>
      <c r="AL190" s="871"/>
      <c r="AM190" s="789"/>
    </row>
    <row r="191" spans="1:39" ht="18.75" customHeight="1" x14ac:dyDescent="0.4">
      <c r="A191" s="900"/>
      <c r="B191" s="900"/>
      <c r="C191" s="900"/>
      <c r="D191" s="900"/>
      <c r="E191" s="900"/>
      <c r="F191" s="900"/>
      <c r="G191" s="900"/>
      <c r="H191" s="900"/>
      <c r="I191" s="900"/>
      <c r="J191" s="900"/>
      <c r="K191" s="900"/>
      <c r="L191" s="900"/>
      <c r="N191" s="991" t="str">
        <f>'00 Summary'!B54</f>
        <v>Livestock</v>
      </c>
      <c r="O191" s="991">
        <f>'00 Summary'!C54</f>
        <v>2.8358997655622085E-2</v>
      </c>
      <c r="P191" s="991">
        <f>'00 Summary'!D54</f>
        <v>2.1443250716666765E-2</v>
      </c>
      <c r="Q191" s="991">
        <f>'00 Summary'!E54</f>
        <v>2.0121423678405387E-2</v>
      </c>
      <c r="R191" s="991">
        <f>'00 Summary'!F54</f>
        <v>1.864775759492308E-2</v>
      </c>
      <c r="S191" s="991">
        <f>'00 Summary'!G54</f>
        <v>1.7569016696668827E-2</v>
      </c>
      <c r="T191" s="991">
        <f>'00 Summary'!H54</f>
        <v>1.7870952368564744E-2</v>
      </c>
      <c r="U191" s="991">
        <f>'00 Summary'!I54</f>
        <v>1.3147487363629468E-2</v>
      </c>
      <c r="V191" s="991">
        <f>'00 Summary'!J54</f>
        <v>1.2955266564111329E-2</v>
      </c>
      <c r="W191" s="991">
        <f>'00 Summary'!K54</f>
        <v>1.1235466535935766E-2</v>
      </c>
      <c r="X191" s="991">
        <f>'00 Summary'!L54</f>
        <v>1.138026822326885E-2</v>
      </c>
      <c r="Y191" s="991">
        <f>'00 Summary'!M54</f>
        <v>1.16203113576504E-2</v>
      </c>
      <c r="Z191" s="991">
        <f>'00 Summary'!N54</f>
        <v>1.3361898717437492E-2</v>
      </c>
      <c r="AA191" s="991">
        <f>'00 Summary'!O54</f>
        <v>1.2955426234678442E-2</v>
      </c>
      <c r="AB191" s="991">
        <f>'00 Summary'!P54</f>
        <v>1.2563089616518619E-2</v>
      </c>
      <c r="AC191" s="991">
        <f>'00 Summary'!Q54</f>
        <v>1.1839146322238567E-2</v>
      </c>
      <c r="AD191" s="991">
        <f>'00 Summary'!R54</f>
        <v>1.0645547008260928E-2</v>
      </c>
      <c r="AE191" s="991">
        <f>'00 Summary'!S54</f>
        <v>1.0300334107414828E-2</v>
      </c>
      <c r="AF191" s="991">
        <f>'00 Summary'!T54</f>
        <v>1.0242812518309951E-2</v>
      </c>
      <c r="AG191" s="991">
        <f>'00 Summary'!U54</f>
        <v>1.0130796780762428E-2</v>
      </c>
      <c r="AH191" s="991">
        <f>'00 Summary'!V54</f>
        <v>1.0356521475130005E-2</v>
      </c>
      <c r="AI191" s="934"/>
      <c r="AJ191" s="934"/>
      <c r="AK191" s="934"/>
      <c r="AL191" s="871"/>
      <c r="AM191" s="789"/>
    </row>
    <row r="192" spans="1:39" x14ac:dyDescent="0.4">
      <c r="A192" s="900"/>
      <c r="B192" s="900"/>
      <c r="C192" s="900"/>
      <c r="D192" s="900"/>
      <c r="E192" s="900"/>
      <c r="F192" s="900"/>
      <c r="G192" s="900"/>
      <c r="H192" s="900"/>
      <c r="I192" s="900"/>
      <c r="J192" s="900"/>
      <c r="K192" s="900"/>
      <c r="L192" s="900"/>
      <c r="N192" s="991" t="str">
        <f>'00 Summary'!B55</f>
        <v>Land</v>
      </c>
      <c r="O192" s="991">
        <f>'00 Summary'!C55</f>
        <v>0.13665979189079658</v>
      </c>
      <c r="P192" s="991">
        <f>'00 Summary'!D55</f>
        <v>0.12932166970719453</v>
      </c>
      <c r="Q192" s="991">
        <f>'00 Summary'!E55</f>
        <v>0.12730634529926266</v>
      </c>
      <c r="R192" s="991">
        <f>'00 Summary'!F55</f>
        <v>0.12581040652407827</v>
      </c>
      <c r="S192" s="991">
        <f>'00 Summary'!G55</f>
        <v>0.12398263593252648</v>
      </c>
      <c r="T192" s="991">
        <f>'00 Summary'!H55</f>
        <v>0.1205075798884533</v>
      </c>
      <c r="U192" s="991">
        <f>'00 Summary'!I55</f>
        <v>0.11955126992171697</v>
      </c>
      <c r="V192" s="991">
        <f>'00 Summary'!J55</f>
        <v>0.1171267859305356</v>
      </c>
      <c r="W192" s="991">
        <f>'00 Summary'!K55</f>
        <v>0.11564482361576663</v>
      </c>
      <c r="X192" s="991">
        <f>'00 Summary'!L55</f>
        <v>0.11377004886058774</v>
      </c>
      <c r="Y192" s="991">
        <f>'00 Summary'!M55</f>
        <v>0.11259781977377388</v>
      </c>
      <c r="Z192" s="991">
        <f>'00 Summary'!N55</f>
        <v>0.11161635465942349</v>
      </c>
      <c r="AA192" s="991">
        <f>'00 Summary'!O55</f>
        <v>0.11046022416247736</v>
      </c>
      <c r="AB192" s="991">
        <f>'00 Summary'!P55</f>
        <v>0.10881792511973541</v>
      </c>
      <c r="AC192" s="991">
        <f>'00 Summary'!Q55</f>
        <v>0.10654469524127952</v>
      </c>
      <c r="AD192" s="991">
        <f>'00 Summary'!R55</f>
        <v>0.10984624341071941</v>
      </c>
      <c r="AE192" s="991">
        <f>'00 Summary'!S55</f>
        <v>0.10478077164963315</v>
      </c>
      <c r="AF192" s="991">
        <f>'00 Summary'!T55</f>
        <v>0.10569714389842726</v>
      </c>
      <c r="AG192" s="991">
        <f>'00 Summary'!U55</f>
        <v>0.10324654382285642</v>
      </c>
      <c r="AH192" s="991">
        <f>'00 Summary'!V55</f>
        <v>0.10236322178856604</v>
      </c>
      <c r="AI192" s="932"/>
      <c r="AJ192" s="913"/>
      <c r="AK192" s="913"/>
      <c r="AL192" s="789"/>
      <c r="AM192" s="789"/>
    </row>
    <row r="193" spans="1:39" x14ac:dyDescent="0.4">
      <c r="A193" s="900"/>
      <c r="B193" s="900"/>
      <c r="C193" s="900"/>
      <c r="D193" s="900"/>
      <c r="E193" s="900"/>
      <c r="F193" s="900"/>
      <c r="G193" s="900"/>
      <c r="H193" s="900"/>
      <c r="I193" s="900"/>
      <c r="J193" s="900"/>
      <c r="K193" s="900"/>
      <c r="L193" s="900"/>
      <c r="N193" s="991" t="str">
        <f>'00 Summary'!B56</f>
        <v>Aggregate Sources and Non-CO2 Emissions Sources on Land</v>
      </c>
      <c r="O193" s="991">
        <f>'00 Summary'!C56</f>
        <v>2.3073093372078172E-4</v>
      </c>
      <c r="P193" s="991">
        <f>'00 Summary'!D56</f>
        <v>0</v>
      </c>
      <c r="Q193" s="991">
        <f>'00 Summary'!E56</f>
        <v>0</v>
      </c>
      <c r="R193" s="991">
        <f>'00 Summary'!F56</f>
        <v>0</v>
      </c>
      <c r="S193" s="991">
        <f>'00 Summary'!G56</f>
        <v>0</v>
      </c>
      <c r="T193" s="991">
        <f>'00 Summary'!H56</f>
        <v>0</v>
      </c>
      <c r="U193" s="991">
        <f>'00 Summary'!I56</f>
        <v>0</v>
      </c>
      <c r="V193" s="991">
        <f>'00 Summary'!J56</f>
        <v>0</v>
      </c>
      <c r="W193" s="991">
        <f>'00 Summary'!K56</f>
        <v>0</v>
      </c>
      <c r="X193" s="991">
        <f>'00 Summary'!L56</f>
        <v>0</v>
      </c>
      <c r="Y193" s="991">
        <f>'00 Summary'!M56</f>
        <v>0</v>
      </c>
      <c r="Z193" s="991">
        <f>'00 Summary'!N56</f>
        <v>0</v>
      </c>
      <c r="AA193" s="991">
        <f>'00 Summary'!O56</f>
        <v>0</v>
      </c>
      <c r="AB193" s="991">
        <f>'00 Summary'!P56</f>
        <v>0</v>
      </c>
      <c r="AC193" s="991">
        <f>'00 Summary'!Q56</f>
        <v>0</v>
      </c>
      <c r="AD193" s="991">
        <f>'00 Summary'!R56</f>
        <v>0</v>
      </c>
      <c r="AE193" s="991">
        <f>'00 Summary'!S56</f>
        <v>0</v>
      </c>
      <c r="AF193" s="991">
        <f>'00 Summary'!T56</f>
        <v>0</v>
      </c>
      <c r="AG193" s="991">
        <f>'00 Summary'!U56</f>
        <v>0</v>
      </c>
      <c r="AH193" s="991">
        <f>'00 Summary'!V56</f>
        <v>0</v>
      </c>
      <c r="AI193" s="936"/>
      <c r="AJ193" s="913"/>
      <c r="AK193" s="913"/>
      <c r="AL193" s="789"/>
      <c r="AM193" s="789"/>
    </row>
    <row r="194" spans="1:39" x14ac:dyDescent="0.4">
      <c r="A194" s="900"/>
      <c r="B194" s="900"/>
      <c r="C194" s="900"/>
      <c r="D194" s="900"/>
      <c r="E194" s="900"/>
      <c r="F194" s="900"/>
      <c r="G194" s="900"/>
      <c r="H194" s="900"/>
      <c r="I194" s="900"/>
      <c r="J194" s="900"/>
      <c r="K194" s="900"/>
      <c r="L194" s="900"/>
      <c r="N194" s="991" t="str">
        <f>'00 Summary'!B57</f>
        <v>Other</v>
      </c>
      <c r="O194" s="991">
        <f>'00 Summary'!C57</f>
        <v>9.886184656308885E-3</v>
      </c>
      <c r="P194" s="991">
        <f>'00 Summary'!D57</f>
        <v>8.3771062208103653E-3</v>
      </c>
      <c r="Q194" s="991">
        <f>'00 Summary'!E57</f>
        <v>7.5283287831450591E-3</v>
      </c>
      <c r="R194" s="991">
        <f>'00 Summary'!F57</f>
        <v>7.3351517372419687E-3</v>
      </c>
      <c r="S194" s="991">
        <f>'00 Summary'!G57</f>
        <v>7.3181826388705688E-3</v>
      </c>
      <c r="T194" s="991">
        <f>'00 Summary'!H57</f>
        <v>6.8690117759108776E-3</v>
      </c>
      <c r="U194" s="991">
        <f>'00 Summary'!I57</f>
        <v>7.089151665911805E-3</v>
      </c>
      <c r="V194" s="991">
        <f>'00 Summary'!J57</f>
        <v>7.7843653910415174E-3</v>
      </c>
      <c r="W194" s="991">
        <f>'00 Summary'!K57</f>
        <v>5.9424759554059193E-3</v>
      </c>
      <c r="X194" s="991">
        <f>'00 Summary'!L57</f>
        <v>6.6130885181524077E-3</v>
      </c>
      <c r="Y194" s="991">
        <f>'00 Summary'!M57</f>
        <v>5.8695691537471789E-3</v>
      </c>
      <c r="Z194" s="991">
        <f>'00 Summary'!N57</f>
        <v>6.7016826096160881E-3</v>
      </c>
      <c r="AA194" s="991">
        <f>'00 Summary'!O57</f>
        <v>6.6430068472611717E-3</v>
      </c>
      <c r="AB194" s="991">
        <f>'00 Summary'!P57</f>
        <v>7.2109759895467142E-3</v>
      </c>
      <c r="AC194" s="991">
        <f>'00 Summary'!Q57</f>
        <v>6.6016606876922457E-3</v>
      </c>
      <c r="AD194" s="991">
        <f>'00 Summary'!R57</f>
        <v>7.1956235971829697E-3</v>
      </c>
      <c r="AE194" s="991">
        <f>'00 Summary'!S57</f>
        <v>6.9585995437638579E-3</v>
      </c>
      <c r="AF194" s="991">
        <f>'00 Summary'!T57</f>
        <v>6.3958097506563536E-3</v>
      </c>
      <c r="AG194" s="991">
        <f>'00 Summary'!U57</f>
        <v>5.9678364394213984E-3</v>
      </c>
      <c r="AH194" s="991">
        <f>'00 Summary'!V57</f>
        <v>6.4362579149010966E-3</v>
      </c>
      <c r="AI194" s="955"/>
      <c r="AJ194" s="913"/>
      <c r="AK194" s="913"/>
      <c r="AL194" s="789"/>
      <c r="AM194" s="789"/>
    </row>
    <row r="195" spans="1:39" x14ac:dyDescent="0.4">
      <c r="A195" s="900"/>
      <c r="B195" s="900"/>
      <c r="C195" s="900"/>
      <c r="D195" s="900"/>
      <c r="E195" s="900"/>
      <c r="F195" s="900"/>
      <c r="G195" s="900"/>
      <c r="H195" s="900"/>
      <c r="I195" s="900"/>
      <c r="J195" s="900"/>
      <c r="K195" s="900"/>
      <c r="L195" s="900"/>
      <c r="N195" s="958"/>
      <c r="O195" s="931"/>
      <c r="P195" s="931"/>
      <c r="Q195" s="933"/>
      <c r="R195" s="933"/>
      <c r="S195" s="933"/>
      <c r="T195" s="933"/>
      <c r="U195" s="933"/>
      <c r="V195" s="933"/>
      <c r="W195" s="933"/>
      <c r="X195" s="933"/>
      <c r="Y195" s="933"/>
      <c r="Z195" s="933"/>
      <c r="AA195" s="933"/>
      <c r="AB195" s="933"/>
      <c r="AC195" s="933"/>
      <c r="AD195" s="933"/>
      <c r="AE195" s="933"/>
      <c r="AF195" s="933"/>
      <c r="AG195" s="933"/>
      <c r="AH195" s="934"/>
      <c r="AI195" s="955"/>
      <c r="AJ195" s="913"/>
      <c r="AK195" s="913"/>
      <c r="AL195" s="789"/>
      <c r="AM195" s="789"/>
    </row>
    <row r="196" spans="1:39" x14ac:dyDescent="0.4">
      <c r="A196" s="900"/>
      <c r="B196" s="900"/>
      <c r="C196" s="900"/>
      <c r="D196" s="900"/>
      <c r="E196" s="900"/>
      <c r="F196" s="900"/>
      <c r="G196" s="900"/>
      <c r="H196" s="900"/>
      <c r="I196" s="900"/>
      <c r="J196" s="900"/>
      <c r="K196" s="900"/>
      <c r="L196" s="900"/>
      <c r="N196" s="958"/>
      <c r="O196" s="966"/>
      <c r="P196" s="929"/>
      <c r="Q196" s="929"/>
      <c r="R196" s="929"/>
      <c r="S196" s="929"/>
      <c r="T196" s="929"/>
      <c r="U196" s="929"/>
      <c r="V196" s="929"/>
      <c r="W196" s="929"/>
      <c r="X196" s="929"/>
      <c r="Y196" s="929"/>
      <c r="Z196" s="929"/>
      <c r="AA196" s="929"/>
      <c r="AB196" s="929"/>
      <c r="AC196" s="929"/>
      <c r="AD196" s="929"/>
      <c r="AE196" s="929"/>
      <c r="AF196" s="929"/>
      <c r="AG196" s="929"/>
      <c r="AH196" s="929"/>
      <c r="AI196" s="913"/>
      <c r="AJ196" s="913"/>
      <c r="AK196" s="913"/>
      <c r="AL196" s="789"/>
      <c r="AM196" s="789"/>
    </row>
    <row r="197" spans="1:39" s="754" customFormat="1" x14ac:dyDescent="0.4">
      <c r="A197" s="900"/>
      <c r="B197" s="900"/>
      <c r="C197" s="900"/>
      <c r="D197" s="900"/>
      <c r="E197" s="900"/>
      <c r="F197" s="900"/>
      <c r="G197" s="900"/>
      <c r="H197" s="900"/>
      <c r="I197" s="900"/>
      <c r="J197" s="900"/>
      <c r="K197" s="900"/>
      <c r="L197" s="900"/>
      <c r="M197" s="983"/>
      <c r="N197" s="958"/>
      <c r="O197" s="935"/>
      <c r="P197" s="935"/>
      <c r="Q197" s="937"/>
      <c r="R197" s="937"/>
      <c r="S197" s="937"/>
      <c r="T197" s="937"/>
      <c r="U197" s="937"/>
      <c r="V197" s="937"/>
      <c r="W197" s="937"/>
      <c r="X197" s="937"/>
      <c r="Y197" s="937"/>
      <c r="Z197" s="937"/>
      <c r="AA197" s="937"/>
      <c r="AB197" s="937"/>
      <c r="AC197" s="937"/>
      <c r="AD197" s="937"/>
      <c r="AE197" s="937"/>
      <c r="AF197" s="937"/>
      <c r="AG197" s="937"/>
      <c r="AH197" s="967"/>
      <c r="AI197" s="913"/>
      <c r="AJ197" s="913"/>
      <c r="AK197" s="913"/>
      <c r="AL197" s="789"/>
      <c r="AM197" s="789"/>
    </row>
    <row r="198" spans="1:39" s="754" customFormat="1" x14ac:dyDescent="0.4">
      <c r="A198" s="900"/>
      <c r="B198" s="900"/>
      <c r="C198" s="900"/>
      <c r="D198" s="900"/>
      <c r="E198" s="900"/>
      <c r="F198" s="900"/>
      <c r="G198" s="900"/>
      <c r="H198" s="900"/>
      <c r="I198" s="900"/>
      <c r="J198" s="900"/>
      <c r="K198" s="900"/>
      <c r="L198" s="900"/>
      <c r="M198" s="983"/>
      <c r="N198" s="942"/>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13"/>
      <c r="AJ198" s="913"/>
      <c r="AK198" s="913"/>
      <c r="AL198" s="789"/>
      <c r="AM198" s="789"/>
    </row>
    <row r="199" spans="1:39" s="754" customFormat="1" x14ac:dyDescent="0.4">
      <c r="A199" s="900"/>
      <c r="B199" s="900"/>
      <c r="C199" s="900"/>
      <c r="D199" s="900"/>
      <c r="E199" s="900"/>
      <c r="F199" s="900"/>
      <c r="G199" s="900"/>
      <c r="H199" s="900"/>
      <c r="I199" s="900"/>
      <c r="J199" s="900"/>
      <c r="K199" s="900"/>
      <c r="L199" s="900"/>
      <c r="M199" s="983"/>
      <c r="N199" s="958"/>
      <c r="O199" s="931"/>
      <c r="P199" s="931"/>
      <c r="Q199" s="933"/>
      <c r="R199" s="933"/>
      <c r="S199" s="933"/>
      <c r="T199" s="933"/>
      <c r="U199" s="933"/>
      <c r="V199" s="933"/>
      <c r="W199" s="933"/>
      <c r="X199" s="933"/>
      <c r="Y199" s="933"/>
      <c r="Z199" s="933"/>
      <c r="AA199" s="933"/>
      <c r="AB199" s="933"/>
      <c r="AC199" s="933"/>
      <c r="AD199" s="933"/>
      <c r="AE199" s="933"/>
      <c r="AF199" s="933"/>
      <c r="AG199" s="933"/>
      <c r="AH199" s="933"/>
      <c r="AI199" s="938"/>
      <c r="AJ199" s="955"/>
      <c r="AK199" s="913"/>
      <c r="AL199" s="789"/>
      <c r="AM199" s="789"/>
    </row>
    <row r="200" spans="1:39" s="754" customFormat="1" x14ac:dyDescent="0.4">
      <c r="A200" s="900"/>
      <c r="B200" s="900"/>
      <c r="C200" s="900"/>
      <c r="D200" s="900"/>
      <c r="E200" s="900"/>
      <c r="F200" s="900"/>
      <c r="G200" s="900"/>
      <c r="H200" s="900"/>
      <c r="I200" s="900"/>
      <c r="J200" s="900"/>
      <c r="K200" s="900"/>
      <c r="L200" s="900"/>
      <c r="M200" s="983"/>
      <c r="N200" s="942"/>
      <c r="O200" s="931"/>
      <c r="P200" s="931"/>
      <c r="Q200" s="933"/>
      <c r="R200" s="933"/>
      <c r="S200" s="933"/>
      <c r="T200" s="933"/>
      <c r="U200" s="933"/>
      <c r="V200" s="933"/>
      <c r="W200" s="933"/>
      <c r="X200" s="933"/>
      <c r="Y200" s="933"/>
      <c r="Z200" s="933"/>
      <c r="AA200" s="933"/>
      <c r="AB200" s="933"/>
      <c r="AC200" s="933"/>
      <c r="AD200" s="933"/>
      <c r="AE200" s="933"/>
      <c r="AF200" s="933"/>
      <c r="AG200" s="933"/>
      <c r="AH200" s="934"/>
      <c r="AI200" s="938"/>
      <c r="AJ200" s="955"/>
      <c r="AK200" s="913"/>
      <c r="AL200" s="789"/>
      <c r="AM200" s="789"/>
    </row>
    <row r="201" spans="1:39" s="754" customFormat="1" x14ac:dyDescent="0.4">
      <c r="A201" s="900"/>
      <c r="B201" s="900"/>
      <c r="C201" s="900"/>
      <c r="D201" s="900"/>
      <c r="E201" s="900"/>
      <c r="F201" s="900"/>
      <c r="G201" s="900"/>
      <c r="H201" s="900"/>
      <c r="I201" s="900"/>
      <c r="J201" s="900"/>
      <c r="K201" s="900"/>
      <c r="L201" s="900"/>
      <c r="M201" s="983"/>
      <c r="N201" s="958"/>
      <c r="O201" s="931"/>
      <c r="P201" s="931"/>
      <c r="Q201" s="933"/>
      <c r="R201" s="933"/>
      <c r="S201" s="933"/>
      <c r="T201" s="933"/>
      <c r="U201" s="933"/>
      <c r="V201" s="933"/>
      <c r="W201" s="933"/>
      <c r="X201" s="933"/>
      <c r="Y201" s="933"/>
      <c r="Z201" s="933"/>
      <c r="AA201" s="933"/>
      <c r="AB201" s="933"/>
      <c r="AC201" s="933"/>
      <c r="AD201" s="933"/>
      <c r="AE201" s="933"/>
      <c r="AF201" s="933"/>
      <c r="AG201" s="933"/>
      <c r="AH201" s="934"/>
      <c r="AI201" s="938"/>
      <c r="AJ201" s="955"/>
      <c r="AK201" s="913"/>
      <c r="AL201" s="789"/>
      <c r="AM201" s="789"/>
    </row>
    <row r="202" spans="1:39" s="754" customFormat="1" ht="18.75" customHeight="1" x14ac:dyDescent="0.4">
      <c r="A202" s="900"/>
      <c r="B202" s="900"/>
      <c r="C202" s="900"/>
      <c r="D202" s="900"/>
      <c r="E202" s="900"/>
      <c r="F202" s="900"/>
      <c r="G202" s="900"/>
      <c r="H202" s="900"/>
      <c r="I202" s="900"/>
      <c r="J202" s="900"/>
      <c r="K202" s="900"/>
      <c r="L202" s="900"/>
      <c r="M202" s="983"/>
      <c r="N202" s="958"/>
      <c r="O202" s="931"/>
      <c r="P202" s="931"/>
      <c r="Q202" s="933"/>
      <c r="R202" s="933"/>
      <c r="S202" s="933"/>
      <c r="T202" s="933"/>
      <c r="U202" s="933"/>
      <c r="V202" s="933"/>
      <c r="W202" s="933"/>
      <c r="X202" s="933"/>
      <c r="Y202" s="933"/>
      <c r="Z202" s="933"/>
      <c r="AA202" s="933"/>
      <c r="AB202" s="933"/>
      <c r="AC202" s="933"/>
      <c r="AD202" s="933"/>
      <c r="AE202" s="933"/>
      <c r="AF202" s="933"/>
      <c r="AG202" s="933"/>
      <c r="AH202" s="934"/>
      <c r="AI202" s="913"/>
      <c r="AJ202" s="913"/>
      <c r="AK202" s="913"/>
      <c r="AL202" s="789"/>
      <c r="AM202" s="789"/>
    </row>
    <row r="203" spans="1:39" s="754" customFormat="1" x14ac:dyDescent="0.4">
      <c r="A203" s="900"/>
      <c r="B203" s="900"/>
      <c r="C203" s="900"/>
      <c r="D203" s="900"/>
      <c r="E203" s="900"/>
      <c r="F203" s="900"/>
      <c r="G203" s="900"/>
      <c r="H203" s="900"/>
      <c r="I203" s="900"/>
      <c r="J203" s="900"/>
      <c r="K203" s="900"/>
      <c r="L203" s="900"/>
      <c r="M203" s="983"/>
      <c r="N203" s="958"/>
      <c r="O203" s="931"/>
      <c r="P203" s="931"/>
      <c r="Q203" s="933"/>
      <c r="R203" s="933"/>
      <c r="S203" s="933"/>
      <c r="T203" s="933"/>
      <c r="U203" s="933"/>
      <c r="V203" s="933"/>
      <c r="W203" s="933"/>
      <c r="X203" s="933"/>
      <c r="Y203" s="933"/>
      <c r="Z203" s="933"/>
      <c r="AA203" s="933"/>
      <c r="AB203" s="933"/>
      <c r="AC203" s="933"/>
      <c r="AD203" s="933"/>
      <c r="AE203" s="933"/>
      <c r="AF203" s="933"/>
      <c r="AG203" s="933"/>
      <c r="AH203" s="934"/>
      <c r="AI203" s="913"/>
      <c r="AJ203" s="913"/>
      <c r="AK203" s="913"/>
      <c r="AL203" s="789"/>
      <c r="AM203" s="789"/>
    </row>
    <row r="204" spans="1:39" x14ac:dyDescent="0.4">
      <c r="A204" s="900"/>
      <c r="B204" s="900"/>
      <c r="C204" s="900"/>
      <c r="D204" s="900"/>
      <c r="E204" s="900"/>
      <c r="F204" s="900"/>
      <c r="G204" s="900"/>
      <c r="H204" s="900"/>
      <c r="I204" s="900"/>
      <c r="J204" s="900"/>
      <c r="K204" s="900"/>
      <c r="L204" s="900"/>
      <c r="N204" s="958"/>
      <c r="O204" s="931"/>
      <c r="P204" s="931"/>
      <c r="Q204" s="933"/>
      <c r="R204" s="933"/>
      <c r="S204" s="933"/>
      <c r="T204" s="933"/>
      <c r="U204" s="933"/>
      <c r="V204" s="933"/>
      <c r="W204" s="933"/>
      <c r="X204" s="933"/>
      <c r="Y204" s="933"/>
      <c r="Z204" s="933"/>
      <c r="AA204" s="933"/>
      <c r="AB204" s="933"/>
      <c r="AC204" s="933"/>
      <c r="AD204" s="933"/>
      <c r="AE204" s="933"/>
      <c r="AF204" s="933"/>
      <c r="AG204" s="933"/>
      <c r="AH204" s="934"/>
      <c r="AI204" s="913"/>
      <c r="AJ204" s="913"/>
      <c r="AK204" s="913"/>
      <c r="AL204" s="789"/>
      <c r="AM204" s="789"/>
    </row>
    <row r="205" spans="1:39" x14ac:dyDescent="0.4">
      <c r="A205" s="900"/>
      <c r="B205" s="900"/>
      <c r="C205" s="900"/>
      <c r="D205" s="900"/>
      <c r="E205" s="900"/>
      <c r="F205" s="900"/>
      <c r="G205" s="900"/>
      <c r="H205" s="900"/>
      <c r="I205" s="900"/>
      <c r="J205" s="900"/>
      <c r="K205" s="900"/>
      <c r="L205" s="900"/>
      <c r="N205" s="942"/>
      <c r="O205" s="931"/>
      <c r="P205" s="931"/>
      <c r="Q205" s="933"/>
      <c r="R205" s="933"/>
      <c r="S205" s="933"/>
      <c r="T205" s="933"/>
      <c r="U205" s="933"/>
      <c r="V205" s="933"/>
      <c r="W205" s="933"/>
      <c r="X205" s="933"/>
      <c r="Y205" s="933"/>
      <c r="Z205" s="933"/>
      <c r="AA205" s="933"/>
      <c r="AB205" s="933"/>
      <c r="AC205" s="933"/>
      <c r="AD205" s="933"/>
      <c r="AE205" s="933"/>
      <c r="AF205" s="933"/>
      <c r="AG205" s="933"/>
      <c r="AH205" s="934"/>
      <c r="AI205" s="913"/>
      <c r="AJ205" s="913"/>
      <c r="AK205" s="913"/>
      <c r="AL205" s="789"/>
      <c r="AM205" s="789"/>
    </row>
    <row r="206" spans="1:39" s="807" customFormat="1" ht="15.4" x14ac:dyDescent="0.55000000000000004">
      <c r="A206" s="907"/>
      <c r="B206" s="1201" t="s">
        <v>1872</v>
      </c>
      <c r="C206" s="1201" t="s">
        <v>1873</v>
      </c>
      <c r="D206" s="907"/>
      <c r="E206" s="907"/>
      <c r="F206" s="907"/>
      <c r="G206" s="907"/>
      <c r="H206" s="907"/>
      <c r="I206" s="907"/>
      <c r="J206" s="907"/>
      <c r="K206" s="907"/>
      <c r="L206" s="907"/>
      <c r="M206" s="986"/>
      <c r="N206" s="925" t="s">
        <v>1874</v>
      </c>
      <c r="O206" s="931"/>
      <c r="P206" s="931"/>
      <c r="Q206" s="933"/>
      <c r="R206" s="933"/>
      <c r="S206" s="933"/>
      <c r="T206" s="933"/>
      <c r="U206" s="933"/>
      <c r="V206" s="933"/>
      <c r="W206" s="933"/>
      <c r="X206" s="933"/>
      <c r="Y206" s="933"/>
      <c r="Z206" s="937"/>
      <c r="AA206" s="937"/>
      <c r="AB206" s="937"/>
      <c r="AC206" s="937"/>
      <c r="AD206" s="937"/>
      <c r="AE206" s="937"/>
      <c r="AF206" s="937"/>
      <c r="AG206" s="937"/>
      <c r="AH206" s="934"/>
      <c r="AI206" s="968"/>
      <c r="AJ206" s="968"/>
      <c r="AK206" s="968"/>
      <c r="AL206" s="969"/>
      <c r="AM206" s="969"/>
    </row>
    <row r="207" spans="1:39" x14ac:dyDescent="0.4">
      <c r="A207" s="900"/>
      <c r="B207" s="900"/>
      <c r="C207" s="900"/>
      <c r="D207" s="900"/>
      <c r="E207" s="900"/>
      <c r="F207" s="900"/>
      <c r="G207" s="900"/>
      <c r="H207" s="900"/>
      <c r="I207" s="900"/>
      <c r="J207" s="900"/>
      <c r="K207" s="900"/>
      <c r="L207" s="900"/>
      <c r="N207" s="995" t="str">
        <f>'00 Summary'!B61</f>
        <v>IV. WASTE</v>
      </c>
      <c r="O207" s="993">
        <f>'00 Summary'!C16</f>
        <v>1990</v>
      </c>
      <c r="P207" s="993">
        <f>'00 Summary'!D16</f>
        <v>2000</v>
      </c>
      <c r="Q207" s="993">
        <f>'00 Summary'!E16</f>
        <v>2001</v>
      </c>
      <c r="R207" s="993">
        <f>'00 Summary'!F16</f>
        <v>2002</v>
      </c>
      <c r="S207" s="993">
        <f>'00 Summary'!G16</f>
        <v>2003</v>
      </c>
      <c r="T207" s="993">
        <f>'00 Summary'!H16</f>
        <v>2004</v>
      </c>
      <c r="U207" s="993">
        <f>'00 Summary'!I16</f>
        <v>2005</v>
      </c>
      <c r="V207" s="993">
        <f>'00 Summary'!J16</f>
        <v>2006</v>
      </c>
      <c r="W207" s="993">
        <f>'00 Summary'!K16</f>
        <v>2007</v>
      </c>
      <c r="X207" s="993">
        <f>'00 Summary'!L16</f>
        <v>2008</v>
      </c>
      <c r="Y207" s="993">
        <f>'00 Summary'!M16</f>
        <v>2009</v>
      </c>
      <c r="Z207" s="993">
        <f>'00 Summary'!N16</f>
        <v>2010</v>
      </c>
      <c r="AA207" s="993">
        <f>'00 Summary'!O16</f>
        <v>2011</v>
      </c>
      <c r="AB207" s="993">
        <f>'00 Summary'!P16</f>
        <v>2012</v>
      </c>
      <c r="AC207" s="993">
        <f>'00 Summary'!Q16</f>
        <v>2013</v>
      </c>
      <c r="AD207" s="993">
        <f>'00 Summary'!R16</f>
        <v>2014</v>
      </c>
      <c r="AE207" s="993">
        <f>'00 Summary'!S16</f>
        <v>2015</v>
      </c>
      <c r="AF207" s="993">
        <f>'00 Summary'!T16</f>
        <v>2016</v>
      </c>
      <c r="AG207" s="993">
        <f>'00 Summary'!U16</f>
        <v>2017</v>
      </c>
      <c r="AH207" s="993">
        <f>'00 Summary'!V16</f>
        <v>2018</v>
      </c>
      <c r="AI207" s="913"/>
      <c r="AJ207" s="913"/>
      <c r="AK207" s="913"/>
      <c r="AL207" s="789"/>
      <c r="AM207" s="789"/>
    </row>
    <row r="208" spans="1:39" x14ac:dyDescent="0.4">
      <c r="A208" s="900"/>
      <c r="B208" s="900"/>
      <c r="C208" s="900"/>
      <c r="D208" s="900"/>
      <c r="E208" s="900"/>
      <c r="F208" s="900"/>
      <c r="G208" s="900"/>
      <c r="H208" s="900"/>
      <c r="I208" s="900"/>
      <c r="J208" s="900"/>
      <c r="K208" s="900"/>
      <c r="L208" s="900"/>
      <c r="N208" s="994" t="str">
        <f>'00 Summary'!B62</f>
        <v>Solid waste disposal</v>
      </c>
      <c r="O208" s="994"/>
      <c r="P208" s="994">
        <f>'00 Summary'!D62</f>
        <v>0</v>
      </c>
      <c r="Q208" s="994">
        <f>'00 Summary'!E62</f>
        <v>0</v>
      </c>
      <c r="R208" s="994">
        <f>'00 Summary'!F62</f>
        <v>0</v>
      </c>
      <c r="S208" s="994">
        <f>'00 Summary'!G62</f>
        <v>0</v>
      </c>
      <c r="T208" s="994">
        <f>'00 Summary'!H62</f>
        <v>0</v>
      </c>
      <c r="U208" s="994">
        <f>'00 Summary'!I62</f>
        <v>0</v>
      </c>
      <c r="V208" s="994">
        <f>'00 Summary'!J62</f>
        <v>0</v>
      </c>
      <c r="W208" s="994">
        <f>'00 Summary'!K62</f>
        <v>0</v>
      </c>
      <c r="X208" s="994">
        <f>'00 Summary'!L62</f>
        <v>0.69020713027510983</v>
      </c>
      <c r="Y208" s="994">
        <f>'00 Summary'!M62</f>
        <v>0.67180502596569047</v>
      </c>
      <c r="Z208" s="994">
        <f>'00 Summary'!N62</f>
        <v>0.65031794749618133</v>
      </c>
      <c r="AA208" s="994">
        <f>'00 Summary'!O62</f>
        <v>0.6291802372083598</v>
      </c>
      <c r="AB208" s="994">
        <f>'00 Summary'!P62</f>
        <v>0.60769623971258402</v>
      </c>
      <c r="AC208" s="994">
        <f>'00 Summary'!Q62</f>
        <v>0.62467422843073006</v>
      </c>
      <c r="AD208" s="994">
        <f>'00 Summary'!R62</f>
        <v>0.63926400724353138</v>
      </c>
      <c r="AE208" s="994">
        <f>'00 Summary'!S62</f>
        <v>0.65005597473555887</v>
      </c>
      <c r="AF208" s="994">
        <f>'00 Summary'!T62</f>
        <v>0.65852303930209355</v>
      </c>
      <c r="AG208" s="994">
        <f>'00 Summary'!U62</f>
        <v>0.68476181595461927</v>
      </c>
      <c r="AH208" s="994">
        <f>'00 Summary'!V62</f>
        <v>0.67500000000000004</v>
      </c>
      <c r="AI208" s="955"/>
      <c r="AJ208" s="955"/>
      <c r="AK208" s="913"/>
      <c r="AL208" s="789"/>
      <c r="AM208" s="789"/>
    </row>
    <row r="209" spans="1:39" x14ac:dyDescent="0.4">
      <c r="A209" s="900"/>
      <c r="B209" s="900"/>
      <c r="C209" s="900"/>
      <c r="D209" s="900"/>
      <c r="E209" s="900"/>
      <c r="F209" s="900"/>
      <c r="G209" s="900"/>
      <c r="H209" s="900"/>
      <c r="I209" s="900"/>
      <c r="J209" s="900"/>
      <c r="K209" s="900"/>
      <c r="L209" s="900"/>
      <c r="N209" s="994" t="str">
        <f>'00 Summary'!B63</f>
        <v>Biological treatment of waste</v>
      </c>
      <c r="O209" s="994"/>
      <c r="P209" s="994">
        <f>'00 Summary'!D63</f>
        <v>0</v>
      </c>
      <c r="Q209" s="994">
        <f>'00 Summary'!E63</f>
        <v>0</v>
      </c>
      <c r="R209" s="994">
        <f>'00 Summary'!F63</f>
        <v>0</v>
      </c>
      <c r="S209" s="994">
        <f>'00 Summary'!G63</f>
        <v>0</v>
      </c>
      <c r="T209" s="994">
        <f>'00 Summary'!H63</f>
        <v>0</v>
      </c>
      <c r="U209" s="994">
        <f>'00 Summary'!I63</f>
        <v>0</v>
      </c>
      <c r="V209" s="994">
        <f>'00 Summary'!J63</f>
        <v>0</v>
      </c>
      <c r="W209" s="994">
        <f>'00 Summary'!K63</f>
        <v>0</v>
      </c>
      <c r="X209" s="994">
        <f>'00 Summary'!L63</f>
        <v>0</v>
      </c>
      <c r="Y209" s="994">
        <f>'00 Summary'!M63</f>
        <v>0</v>
      </c>
      <c r="Z209" s="994">
        <f>'00 Summary'!N63</f>
        <v>0</v>
      </c>
      <c r="AA209" s="994">
        <f>'00 Summary'!O63</f>
        <v>0</v>
      </c>
      <c r="AB209" s="994">
        <f>'00 Summary'!P63</f>
        <v>0</v>
      </c>
      <c r="AC209" s="994">
        <f>'00 Summary'!Q63</f>
        <v>0</v>
      </c>
      <c r="AD209" s="994">
        <f>'00 Summary'!R63</f>
        <v>0</v>
      </c>
      <c r="AE209" s="994">
        <f>'00 Summary'!S63</f>
        <v>0</v>
      </c>
      <c r="AF209" s="994">
        <f>'00 Summary'!T63</f>
        <v>0</v>
      </c>
      <c r="AG209" s="994">
        <f>'00 Summary'!U63</f>
        <v>1.6105436200000003E-2</v>
      </c>
      <c r="AH209" s="994">
        <f>'00 Summary'!V63</f>
        <v>2.8922562187199991E-2</v>
      </c>
      <c r="AI209" s="971"/>
      <c r="AJ209" s="913"/>
      <c r="AK209" s="913"/>
      <c r="AL209" s="789"/>
      <c r="AM209" s="789"/>
    </row>
    <row r="210" spans="1:39" x14ac:dyDescent="0.4">
      <c r="A210" s="900"/>
      <c r="B210" s="900"/>
      <c r="C210" s="900"/>
      <c r="D210" s="900"/>
      <c r="E210" s="900"/>
      <c r="F210" s="900"/>
      <c r="G210" s="900"/>
      <c r="H210" s="900"/>
      <c r="I210" s="900"/>
      <c r="J210" s="900"/>
      <c r="K210" s="900"/>
      <c r="L210" s="900"/>
      <c r="N210" s="994" t="str">
        <f>'00 Summary'!B64</f>
        <v>Wastewater treatment and discharge</v>
      </c>
      <c r="O210" s="994"/>
      <c r="P210" s="994">
        <f>'00 Summary'!D64</f>
        <v>0</v>
      </c>
      <c r="Q210" s="994">
        <f>'00 Summary'!E64</f>
        <v>0</v>
      </c>
      <c r="R210" s="994">
        <f>'00 Summary'!F64</f>
        <v>0</v>
      </c>
      <c r="S210" s="994">
        <f>'00 Summary'!G64</f>
        <v>0</v>
      </c>
      <c r="T210" s="994">
        <f>'00 Summary'!H64</f>
        <v>0</v>
      </c>
      <c r="U210" s="994">
        <f>'00 Summary'!I64</f>
        <v>0</v>
      </c>
      <c r="V210" s="994">
        <f>'00 Summary'!J64</f>
        <v>0</v>
      </c>
      <c r="W210" s="994">
        <f>'00 Summary'!K64</f>
        <v>0</v>
      </c>
      <c r="X210" s="994">
        <f>'00 Summary'!L64</f>
        <v>0</v>
      </c>
      <c r="Y210" s="994">
        <f>'00 Summary'!M64</f>
        <v>0</v>
      </c>
      <c r="Z210" s="994">
        <f>'00 Summary'!N64</f>
        <v>0</v>
      </c>
      <c r="AA210" s="994">
        <f>'00 Summary'!O64</f>
        <v>0</v>
      </c>
      <c r="AB210" s="994">
        <f>'00 Summary'!P64</f>
        <v>0</v>
      </c>
      <c r="AC210" s="994">
        <f>'00 Summary'!Q64</f>
        <v>0.47029456773775485</v>
      </c>
      <c r="AD210" s="994">
        <f>'00 Summary'!R64</f>
        <v>0.47438967059509912</v>
      </c>
      <c r="AE210" s="994">
        <f>'00 Summary'!S64</f>
        <v>0.47256470717359872</v>
      </c>
      <c r="AF210" s="994">
        <f>'00 Summary'!T64</f>
        <v>0.47804249045331743</v>
      </c>
      <c r="AG210" s="994">
        <f>'00 Summary'!U64</f>
        <v>0.47789872137765177</v>
      </c>
      <c r="AH210" s="994">
        <f>'00 Summary'!V64</f>
        <v>0.46298820000000002</v>
      </c>
      <c r="AI210" s="972"/>
      <c r="AJ210" s="913"/>
      <c r="AK210" s="913"/>
      <c r="AL210" s="789"/>
      <c r="AM210" s="789"/>
    </row>
    <row r="211" spans="1:39" x14ac:dyDescent="0.4">
      <c r="A211" s="900"/>
      <c r="B211" s="900"/>
      <c r="C211" s="900"/>
      <c r="D211" s="900"/>
      <c r="E211" s="900"/>
      <c r="F211" s="900"/>
      <c r="G211" s="900"/>
      <c r="H211" s="900"/>
      <c r="I211" s="900"/>
      <c r="J211" s="900"/>
      <c r="K211" s="900"/>
      <c r="L211" s="900"/>
      <c r="AI211" s="913"/>
      <c r="AJ211" s="913"/>
      <c r="AK211" s="913"/>
      <c r="AL211" s="789"/>
      <c r="AM211" s="789"/>
    </row>
    <row r="212" spans="1:39" x14ac:dyDescent="0.4">
      <c r="A212" s="900"/>
      <c r="B212" s="900"/>
      <c r="C212" s="900"/>
      <c r="D212" s="900"/>
      <c r="E212" s="900"/>
      <c r="F212" s="900"/>
      <c r="G212" s="900"/>
      <c r="H212" s="900"/>
      <c r="I212" s="900"/>
      <c r="J212" s="900"/>
      <c r="K212" s="900"/>
      <c r="L212" s="900"/>
      <c r="N212" s="965"/>
      <c r="O212" s="913"/>
      <c r="P212" s="939"/>
      <c r="Q212" s="939"/>
      <c r="R212" s="939"/>
      <c r="S212" s="939"/>
      <c r="T212" s="939"/>
      <c r="U212" s="939"/>
      <c r="V212" s="939"/>
      <c r="W212" s="939"/>
      <c r="X212" s="939"/>
      <c r="Y212" s="939"/>
      <c r="Z212" s="940"/>
      <c r="AA212" s="940"/>
      <c r="AB212" s="940"/>
      <c r="AC212" s="940"/>
      <c r="AD212" s="940"/>
      <c r="AE212" s="940"/>
      <c r="AF212" s="940"/>
      <c r="AG212" s="940"/>
      <c r="AH212" s="955"/>
      <c r="AI212" s="913"/>
      <c r="AJ212" s="913"/>
      <c r="AK212" s="913"/>
      <c r="AL212" s="789"/>
      <c r="AM212" s="789"/>
    </row>
    <row r="213" spans="1:39" x14ac:dyDescent="0.4">
      <c r="A213" s="900"/>
      <c r="B213" s="900"/>
      <c r="C213" s="900"/>
      <c r="D213" s="900"/>
      <c r="E213" s="900"/>
      <c r="F213" s="900"/>
      <c r="G213" s="900"/>
      <c r="H213" s="900"/>
      <c r="I213" s="900"/>
      <c r="J213" s="900"/>
      <c r="K213" s="900"/>
      <c r="L213" s="900"/>
      <c r="N213" s="958"/>
      <c r="O213" s="913"/>
      <c r="P213" s="913"/>
      <c r="Q213" s="939"/>
      <c r="R213" s="939"/>
      <c r="S213" s="939"/>
      <c r="T213" s="939"/>
      <c r="U213" s="939"/>
      <c r="V213" s="939"/>
      <c r="W213" s="939"/>
      <c r="X213" s="939"/>
      <c r="Y213" s="939"/>
      <c r="Z213" s="940"/>
      <c r="AA213" s="940"/>
      <c r="AB213" s="940"/>
      <c r="AC213" s="940"/>
      <c r="AD213" s="940"/>
      <c r="AE213" s="940"/>
      <c r="AF213" s="940"/>
      <c r="AG213" s="940"/>
      <c r="AH213" s="955"/>
      <c r="AI213" s="913"/>
      <c r="AJ213" s="913"/>
      <c r="AK213" s="913"/>
      <c r="AL213" s="789"/>
      <c r="AM213" s="789"/>
    </row>
    <row r="214" spans="1:39" x14ac:dyDescent="0.4">
      <c r="A214" s="900"/>
      <c r="B214" s="900"/>
      <c r="C214" s="900"/>
      <c r="D214" s="900"/>
      <c r="E214" s="900"/>
      <c r="F214" s="900"/>
      <c r="G214" s="900"/>
      <c r="H214" s="900"/>
      <c r="I214" s="900"/>
      <c r="J214" s="900"/>
      <c r="K214" s="900"/>
      <c r="L214" s="900"/>
      <c r="N214" s="958"/>
      <c r="O214" s="941"/>
      <c r="P214" s="941"/>
      <c r="Q214" s="941"/>
      <c r="R214" s="941"/>
      <c r="S214" s="941"/>
      <c r="T214" s="941"/>
      <c r="U214" s="941"/>
      <c r="V214" s="941"/>
      <c r="W214" s="941"/>
      <c r="X214" s="941"/>
      <c r="Y214" s="941"/>
      <c r="Z214" s="941"/>
      <c r="AA214" s="941"/>
      <c r="AB214" s="941"/>
      <c r="AC214" s="941"/>
      <c r="AD214" s="941"/>
      <c r="AE214" s="941"/>
      <c r="AF214" s="941"/>
      <c r="AG214" s="973"/>
      <c r="AH214" s="974"/>
      <c r="AI214" s="913"/>
      <c r="AJ214" s="913"/>
      <c r="AK214" s="913"/>
      <c r="AL214" s="789"/>
      <c r="AM214" s="789"/>
    </row>
    <row r="215" spans="1:39" x14ac:dyDescent="0.4">
      <c r="A215" s="900"/>
      <c r="B215" s="900"/>
      <c r="C215" s="900"/>
      <c r="D215" s="900"/>
      <c r="E215" s="900"/>
      <c r="F215" s="900"/>
      <c r="G215" s="900"/>
      <c r="H215" s="900"/>
      <c r="I215" s="900"/>
      <c r="J215" s="900"/>
      <c r="K215" s="900"/>
      <c r="L215" s="900"/>
      <c r="N215" s="958"/>
      <c r="O215" s="975"/>
      <c r="P215" s="929"/>
      <c r="Q215" s="929"/>
      <c r="R215" s="929"/>
      <c r="S215" s="929"/>
      <c r="T215" s="929"/>
      <c r="U215" s="929"/>
      <c r="V215" s="929"/>
      <c r="W215" s="929"/>
      <c r="X215" s="929"/>
      <c r="Y215" s="929"/>
      <c r="Z215" s="929"/>
      <c r="AA215" s="929"/>
      <c r="AB215" s="929"/>
      <c r="AC215" s="929"/>
      <c r="AD215" s="929"/>
      <c r="AE215" s="929"/>
      <c r="AF215" s="929"/>
      <c r="AG215" s="929"/>
      <c r="AH215" s="955"/>
      <c r="AI215" s="976"/>
      <c r="AJ215" s="913"/>
      <c r="AK215" s="913"/>
      <c r="AL215" s="789"/>
      <c r="AM215" s="789"/>
    </row>
    <row r="216" spans="1:39" x14ac:dyDescent="0.4">
      <c r="A216" s="900"/>
      <c r="B216" s="900"/>
      <c r="C216" s="900"/>
      <c r="D216" s="900"/>
      <c r="E216" s="900"/>
      <c r="F216" s="900"/>
      <c r="G216" s="900"/>
      <c r="H216" s="900"/>
      <c r="I216" s="900"/>
      <c r="J216" s="900"/>
      <c r="K216" s="900"/>
      <c r="L216" s="900"/>
      <c r="N216" s="958"/>
      <c r="O216" s="975"/>
      <c r="P216" s="975"/>
      <c r="Q216" s="975"/>
      <c r="R216" s="975"/>
      <c r="S216" s="975"/>
      <c r="T216" s="975"/>
      <c r="U216" s="975"/>
      <c r="V216" s="975"/>
      <c r="W216" s="975"/>
      <c r="X216" s="975"/>
      <c r="Y216" s="975"/>
      <c r="Z216" s="975"/>
      <c r="AA216" s="975"/>
      <c r="AB216" s="975"/>
      <c r="AC216" s="975"/>
      <c r="AD216" s="975"/>
      <c r="AE216" s="975"/>
      <c r="AF216" s="975"/>
      <c r="AG216" s="975"/>
      <c r="AH216" s="940"/>
      <c r="AI216" s="955"/>
      <c r="AJ216" s="913"/>
      <c r="AK216" s="913"/>
      <c r="AL216" s="789"/>
      <c r="AM216" s="789"/>
    </row>
    <row r="217" spans="1:39" x14ac:dyDescent="0.4">
      <c r="A217" s="900"/>
      <c r="B217" s="900"/>
      <c r="C217" s="900"/>
      <c r="D217" s="900"/>
      <c r="E217" s="900"/>
      <c r="F217" s="900"/>
      <c r="G217" s="900"/>
      <c r="H217" s="900"/>
      <c r="I217" s="900"/>
      <c r="J217" s="900"/>
      <c r="K217" s="900"/>
      <c r="L217" s="900"/>
      <c r="N217" s="942"/>
      <c r="O217" s="931"/>
      <c r="P217" s="931"/>
      <c r="Q217" s="931"/>
      <c r="R217" s="931"/>
      <c r="S217" s="931"/>
      <c r="T217" s="931"/>
      <c r="U217" s="931"/>
      <c r="V217" s="931"/>
      <c r="W217" s="931"/>
      <c r="X217" s="929"/>
      <c r="Y217" s="929"/>
      <c r="Z217" s="913"/>
      <c r="AA217" s="913"/>
      <c r="AB217" s="913"/>
      <c r="AC217" s="913"/>
      <c r="AD217" s="913"/>
      <c r="AE217" s="913"/>
      <c r="AF217" s="913"/>
      <c r="AG217" s="940"/>
      <c r="AH217" s="977"/>
      <c r="AI217" s="913"/>
      <c r="AJ217" s="913"/>
      <c r="AK217" s="913"/>
      <c r="AL217" s="789"/>
      <c r="AM217" s="789"/>
    </row>
    <row r="218" spans="1:39" x14ac:dyDescent="0.4">
      <c r="A218" s="900"/>
      <c r="B218" s="900"/>
      <c r="C218" s="900"/>
      <c r="D218" s="900"/>
      <c r="E218" s="900"/>
      <c r="F218" s="900"/>
      <c r="G218" s="900"/>
      <c r="H218" s="900"/>
      <c r="I218" s="900"/>
      <c r="J218" s="900"/>
      <c r="K218" s="900"/>
      <c r="L218" s="900"/>
      <c r="N218" s="2218"/>
      <c r="O218" s="2219"/>
      <c r="P218" s="2219"/>
      <c r="Q218" s="2219"/>
      <c r="R218" s="2219"/>
      <c r="S218" s="2219"/>
      <c r="T218" s="2219"/>
      <c r="U218" s="2219"/>
      <c r="V218" s="2219"/>
      <c r="W218" s="2219"/>
      <c r="X218" s="2219"/>
      <c r="Y218" s="2219"/>
      <c r="Z218" s="2219"/>
      <c r="AA218" s="2219"/>
      <c r="AB218" s="2219"/>
      <c r="AC218" s="2219"/>
      <c r="AD218" s="2219"/>
      <c r="AE218" s="2219"/>
      <c r="AF218" s="2219"/>
      <c r="AG218" s="2219"/>
      <c r="AH218" s="977"/>
      <c r="AI218" s="972"/>
      <c r="AJ218" s="913"/>
      <c r="AK218" s="913"/>
      <c r="AL218" s="789"/>
      <c r="AM218" s="789"/>
    </row>
    <row r="219" spans="1:39" x14ac:dyDescent="0.4">
      <c r="A219" s="900"/>
      <c r="B219" s="900"/>
      <c r="C219" s="900"/>
      <c r="D219" s="900"/>
      <c r="E219" s="900"/>
      <c r="F219" s="900"/>
      <c r="G219" s="900"/>
      <c r="H219" s="900"/>
      <c r="I219" s="900"/>
      <c r="J219" s="900"/>
      <c r="K219" s="900"/>
      <c r="L219" s="900"/>
      <c r="N219" s="2219"/>
      <c r="O219" s="2219"/>
      <c r="P219" s="2219"/>
      <c r="Q219" s="2219"/>
      <c r="R219" s="2219"/>
      <c r="S219" s="2219"/>
      <c r="T219" s="2219"/>
      <c r="U219" s="2219"/>
      <c r="V219" s="2219"/>
      <c r="W219" s="2219"/>
      <c r="X219" s="2219"/>
      <c r="Y219" s="2219"/>
      <c r="Z219" s="2219"/>
      <c r="AA219" s="2219"/>
      <c r="AB219" s="2219"/>
      <c r="AC219" s="2219"/>
      <c r="AD219" s="2219"/>
      <c r="AE219" s="2219"/>
      <c r="AF219" s="2219"/>
      <c r="AG219" s="2219"/>
      <c r="AH219" s="940"/>
      <c r="AI219" s="913"/>
      <c r="AJ219" s="913"/>
      <c r="AK219" s="913"/>
      <c r="AL219" s="789"/>
      <c r="AM219" s="789"/>
    </row>
    <row r="220" spans="1:39" x14ac:dyDescent="0.4">
      <c r="A220" s="900"/>
      <c r="B220" s="900"/>
      <c r="C220" s="900"/>
      <c r="D220" s="900"/>
      <c r="E220" s="900"/>
      <c r="F220" s="900"/>
      <c r="G220" s="900"/>
      <c r="H220" s="900"/>
      <c r="I220" s="900"/>
      <c r="J220" s="900"/>
      <c r="K220" s="900"/>
      <c r="L220" s="900"/>
      <c r="N220" s="913"/>
      <c r="O220" s="913"/>
      <c r="P220" s="913"/>
      <c r="Q220" s="913"/>
      <c r="R220" s="913"/>
      <c r="S220" s="913"/>
      <c r="T220" s="913"/>
      <c r="U220" s="913"/>
      <c r="V220" s="913"/>
      <c r="W220" s="913"/>
      <c r="X220" s="913"/>
      <c r="Y220" s="913"/>
      <c r="Z220" s="913"/>
      <c r="AA220" s="913"/>
      <c r="AB220" s="913"/>
      <c r="AC220" s="913"/>
      <c r="AD220" s="913"/>
      <c r="AE220" s="913"/>
      <c r="AF220" s="913"/>
      <c r="AG220" s="940"/>
      <c r="AH220" s="913"/>
      <c r="AI220" s="913"/>
      <c r="AJ220" s="913"/>
      <c r="AL220" s="754"/>
      <c r="AM220" s="754"/>
    </row>
    <row r="221" spans="1:39" x14ac:dyDescent="0.4">
      <c r="A221" s="900"/>
      <c r="B221" s="900"/>
      <c r="C221" s="900"/>
      <c r="D221" s="900"/>
      <c r="E221" s="900"/>
      <c r="F221" s="900"/>
      <c r="G221" s="900"/>
      <c r="H221" s="900"/>
      <c r="I221" s="900"/>
      <c r="J221" s="900"/>
      <c r="K221" s="900"/>
      <c r="L221" s="900"/>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L221" s="754"/>
      <c r="AM221" s="754"/>
    </row>
    <row r="222" spans="1:39" ht="18" x14ac:dyDescent="0.55000000000000004">
      <c r="A222" s="900"/>
      <c r="B222" s="900"/>
      <c r="C222" s="900"/>
      <c r="D222" s="900"/>
      <c r="E222" s="900"/>
      <c r="F222" s="900"/>
      <c r="G222" s="900"/>
      <c r="H222" s="900"/>
      <c r="I222" s="900"/>
      <c r="J222" s="900"/>
      <c r="K222" s="900"/>
      <c r="L222" s="900"/>
      <c r="N222" s="953"/>
      <c r="O222" s="95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L222" s="754"/>
      <c r="AM222" s="754"/>
    </row>
    <row r="223" spans="1:39" x14ac:dyDescent="0.4">
      <c r="A223" s="900"/>
      <c r="B223" s="900"/>
      <c r="C223" s="900"/>
      <c r="D223" s="900"/>
      <c r="E223" s="900"/>
      <c r="F223" s="900"/>
      <c r="G223" s="900"/>
      <c r="H223" s="900"/>
      <c r="I223" s="900"/>
      <c r="J223" s="900"/>
      <c r="K223" s="900"/>
      <c r="L223" s="900"/>
      <c r="N223" s="942"/>
      <c r="O223" s="931"/>
      <c r="P223" s="943"/>
      <c r="Q223" s="943"/>
      <c r="R223" s="943"/>
      <c r="S223" s="943"/>
      <c r="T223" s="943"/>
      <c r="U223" s="943"/>
      <c r="V223" s="943"/>
      <c r="W223" s="943"/>
      <c r="X223" s="929"/>
      <c r="Y223" s="929"/>
      <c r="Z223" s="913"/>
      <c r="AA223" s="913"/>
      <c r="AB223" s="913"/>
      <c r="AC223" s="913"/>
      <c r="AD223" s="913"/>
      <c r="AE223" s="913"/>
      <c r="AF223" s="913"/>
      <c r="AG223" s="913"/>
      <c r="AH223" s="913"/>
      <c r="AI223" s="913"/>
      <c r="AJ223" s="913"/>
      <c r="AL223" s="754"/>
      <c r="AM223" s="754"/>
    </row>
    <row r="224" spans="1:39" x14ac:dyDescent="0.4">
      <c r="A224" s="900"/>
      <c r="B224" s="900"/>
      <c r="C224" s="900"/>
      <c r="D224" s="900"/>
      <c r="E224" s="900"/>
      <c r="F224" s="900"/>
      <c r="G224" s="900"/>
      <c r="H224" s="900"/>
      <c r="I224" s="900"/>
      <c r="J224" s="900"/>
      <c r="K224" s="900"/>
      <c r="L224" s="900"/>
      <c r="N224" s="970"/>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55"/>
      <c r="AJ224" s="955"/>
      <c r="AL224" s="754"/>
      <c r="AM224" s="754"/>
    </row>
    <row r="225" spans="1:39" ht="18" x14ac:dyDescent="0.55000000000000004">
      <c r="A225" s="900"/>
      <c r="B225" s="900"/>
      <c r="C225" s="900"/>
      <c r="D225" s="900"/>
      <c r="E225" s="900"/>
      <c r="F225" s="900"/>
      <c r="G225" s="900"/>
      <c r="H225" s="900"/>
      <c r="I225" s="900"/>
      <c r="J225" s="900"/>
      <c r="K225" s="900"/>
      <c r="L225" s="900"/>
      <c r="N225" s="953"/>
      <c r="O225" s="2171"/>
      <c r="P225" s="2171"/>
      <c r="Q225" s="2171"/>
      <c r="R225" s="2171"/>
      <c r="S225" s="2171"/>
      <c r="T225" s="2171"/>
      <c r="U225" s="2171"/>
      <c r="V225" s="2171"/>
      <c r="W225" s="2171"/>
      <c r="X225" s="2171"/>
      <c r="Y225" s="2171"/>
      <c r="Z225" s="2171"/>
      <c r="AA225" s="2171"/>
      <c r="AB225" s="2171"/>
      <c r="AC225" s="2171"/>
      <c r="AD225" s="2171"/>
      <c r="AE225" s="2171"/>
      <c r="AF225" s="2171"/>
      <c r="AG225" s="2171"/>
      <c r="AH225" s="2171"/>
      <c r="AI225" s="913"/>
      <c r="AJ225" s="972"/>
      <c r="AK225" s="928"/>
      <c r="AL225" s="754"/>
      <c r="AM225" s="754"/>
    </row>
    <row r="226" spans="1:39" x14ac:dyDescent="0.4">
      <c r="A226" s="900"/>
      <c r="B226" s="900"/>
      <c r="C226" s="900"/>
      <c r="D226" s="900"/>
      <c r="E226" s="900"/>
      <c r="F226" s="900"/>
      <c r="G226" s="900"/>
      <c r="H226" s="900"/>
      <c r="I226" s="900"/>
      <c r="J226" s="900"/>
      <c r="K226" s="900"/>
      <c r="L226" s="900"/>
      <c r="N226" s="913"/>
      <c r="O226" s="2174"/>
      <c r="P226" s="2175"/>
      <c r="Q226" s="2172"/>
      <c r="R226" s="2172"/>
      <c r="S226" s="2172"/>
      <c r="T226" s="2172"/>
      <c r="U226" s="2172"/>
      <c r="V226" s="2172"/>
      <c r="W226" s="2172"/>
      <c r="X226" s="2172"/>
      <c r="Y226" s="2172"/>
      <c r="Z226" s="2172"/>
      <c r="AA226" s="2172"/>
      <c r="AB226" s="2172"/>
      <c r="AC226" s="2172"/>
      <c r="AD226" s="2172"/>
      <c r="AE226" s="2172"/>
      <c r="AF226" s="2172"/>
      <c r="AG226" s="2172"/>
      <c r="AH226" s="2172"/>
      <c r="AI226" s="913"/>
      <c r="AJ226" s="913"/>
      <c r="AL226" s="754"/>
      <c r="AM226" s="754"/>
    </row>
    <row r="227" spans="1:39" x14ac:dyDescent="0.4">
      <c r="A227" s="900"/>
      <c r="B227" s="900"/>
      <c r="C227" s="900"/>
      <c r="D227" s="900"/>
      <c r="E227" s="900"/>
      <c r="F227" s="900"/>
      <c r="G227" s="900"/>
      <c r="H227" s="900"/>
      <c r="I227" s="900"/>
      <c r="J227" s="900"/>
      <c r="K227" s="900"/>
      <c r="L227" s="900"/>
      <c r="N227" s="913"/>
      <c r="O227" s="956"/>
      <c r="P227" s="2175"/>
      <c r="Q227" s="2173"/>
      <c r="R227" s="2173"/>
      <c r="S227" s="2173"/>
      <c r="T227" s="2173"/>
      <c r="U227" s="2173"/>
      <c r="V227" s="2173"/>
      <c r="W227" s="2173"/>
      <c r="X227" s="2173"/>
      <c r="Y227" s="2173"/>
      <c r="Z227" s="2173"/>
      <c r="AA227" s="2173"/>
      <c r="AB227" s="2173"/>
      <c r="AC227" s="2173"/>
      <c r="AD227" s="2173"/>
      <c r="AE227" s="2173"/>
      <c r="AF227" s="2173"/>
      <c r="AG227" s="2173"/>
      <c r="AH227" s="2173"/>
      <c r="AI227" s="913"/>
      <c r="AJ227" s="913"/>
      <c r="AL227" s="754"/>
      <c r="AM227" s="754"/>
    </row>
    <row r="228" spans="1:39" x14ac:dyDescent="0.4">
      <c r="A228" s="900"/>
      <c r="B228" s="900"/>
      <c r="C228" s="900"/>
      <c r="D228" s="900"/>
      <c r="E228" s="900"/>
      <c r="F228" s="900"/>
      <c r="G228" s="900"/>
      <c r="H228" s="900"/>
      <c r="I228" s="900"/>
      <c r="J228" s="900"/>
      <c r="K228" s="900"/>
      <c r="L228" s="900"/>
      <c r="N228" s="913"/>
      <c r="O228" s="941"/>
      <c r="P228" s="2176"/>
      <c r="Q228" s="2172"/>
      <c r="R228" s="2172"/>
      <c r="S228" s="2172"/>
      <c r="T228" s="2172"/>
      <c r="U228" s="2172"/>
      <c r="V228" s="2172"/>
      <c r="W228" s="2172"/>
      <c r="X228" s="2172"/>
      <c r="Y228" s="2172"/>
      <c r="Z228" s="2172"/>
      <c r="AA228" s="2172"/>
      <c r="AB228" s="2172"/>
      <c r="AC228" s="2172"/>
      <c r="AD228" s="2172"/>
      <c r="AE228" s="2172"/>
      <c r="AF228" s="2172"/>
      <c r="AG228" s="2172"/>
      <c r="AH228" s="2172"/>
      <c r="AI228" s="913"/>
      <c r="AJ228" s="913"/>
      <c r="AL228" s="754"/>
      <c r="AM228" s="754"/>
    </row>
    <row r="229" spans="1:39" s="754" customFormat="1" x14ac:dyDescent="0.4">
      <c r="A229" s="900"/>
      <c r="B229" s="900"/>
      <c r="C229" s="900"/>
      <c r="D229" s="900"/>
      <c r="E229" s="900"/>
      <c r="F229" s="900"/>
      <c r="G229" s="900"/>
      <c r="H229" s="900"/>
      <c r="I229" s="900"/>
      <c r="J229" s="900"/>
      <c r="K229" s="900"/>
      <c r="L229" s="900"/>
      <c r="M229" s="983"/>
      <c r="N229" s="913"/>
      <c r="O229" s="941"/>
      <c r="P229" s="2176"/>
      <c r="Q229" s="2172"/>
      <c r="R229" s="2172"/>
      <c r="S229" s="2172"/>
      <c r="T229" s="2172"/>
      <c r="U229" s="2172"/>
      <c r="V229" s="2172"/>
      <c r="W229" s="2172"/>
      <c r="X229" s="2172"/>
      <c r="Y229" s="2172"/>
      <c r="Z229" s="2172"/>
      <c r="AA229" s="2172"/>
      <c r="AB229" s="2172"/>
      <c r="AC229" s="2172"/>
      <c r="AD229" s="2172"/>
      <c r="AE229" s="2172"/>
      <c r="AF229" s="2172"/>
      <c r="AG229" s="2172"/>
      <c r="AH229" s="2172"/>
      <c r="AI229" s="913"/>
      <c r="AJ229" s="913"/>
      <c r="AK229" s="911"/>
    </row>
    <row r="230" spans="1:39" x14ac:dyDescent="0.4">
      <c r="A230" s="900"/>
      <c r="B230" s="900"/>
      <c r="C230" s="900"/>
      <c r="D230" s="900"/>
      <c r="E230" s="900"/>
      <c r="F230" s="900"/>
      <c r="G230" s="900"/>
      <c r="H230" s="900"/>
      <c r="I230" s="900"/>
      <c r="J230" s="900"/>
      <c r="K230" s="900"/>
      <c r="L230" s="900"/>
      <c r="N230" s="954"/>
      <c r="O230" s="2128"/>
      <c r="P230" s="2128"/>
      <c r="Q230" s="2129"/>
      <c r="R230" s="2129"/>
      <c r="S230" s="2129"/>
      <c r="T230" s="2129"/>
      <c r="U230" s="2129"/>
      <c r="V230" s="2129"/>
      <c r="W230" s="2129"/>
      <c r="X230" s="2129"/>
      <c r="Y230" s="2129"/>
      <c r="Z230" s="2129"/>
      <c r="AA230" s="2129"/>
      <c r="AB230" s="2129"/>
      <c r="AC230" s="2129"/>
      <c r="AD230" s="2129"/>
      <c r="AE230" s="2129"/>
      <c r="AF230" s="2129"/>
      <c r="AG230" s="2129"/>
      <c r="AH230" s="2129"/>
      <c r="AI230" s="913"/>
      <c r="AJ230" s="913"/>
    </row>
    <row r="231" spans="1:39" x14ac:dyDescent="0.4">
      <c r="A231" s="900"/>
      <c r="B231" s="900"/>
      <c r="C231" s="900"/>
      <c r="D231" s="900"/>
      <c r="E231" s="900"/>
      <c r="F231" s="900"/>
      <c r="G231" s="900"/>
      <c r="H231" s="900"/>
      <c r="I231" s="900"/>
      <c r="J231" s="900"/>
      <c r="K231" s="900"/>
      <c r="L231" s="900"/>
      <c r="N231" s="913"/>
      <c r="O231" s="941"/>
      <c r="P231" s="941"/>
      <c r="Q231" s="941"/>
      <c r="R231" s="941"/>
      <c r="S231" s="941"/>
      <c r="T231" s="941"/>
      <c r="U231" s="941"/>
      <c r="V231" s="941"/>
      <c r="W231" s="941"/>
      <c r="X231" s="941"/>
      <c r="Y231" s="941"/>
      <c r="Z231" s="941"/>
      <c r="AA231" s="941"/>
      <c r="AB231" s="941"/>
      <c r="AC231" s="941"/>
      <c r="AD231" s="941"/>
      <c r="AE231" s="941"/>
      <c r="AF231" s="941"/>
      <c r="AG231" s="941"/>
      <c r="AH231" s="972"/>
      <c r="AI231" s="913"/>
      <c r="AJ231" s="913"/>
    </row>
    <row r="232" spans="1:39" x14ac:dyDescent="0.4">
      <c r="A232" s="900"/>
      <c r="B232" s="900"/>
      <c r="C232" s="900"/>
      <c r="D232" s="900"/>
      <c r="E232" s="900"/>
      <c r="F232" s="900"/>
      <c r="G232" s="900"/>
      <c r="H232" s="900"/>
      <c r="I232" s="900"/>
      <c r="J232" s="900"/>
      <c r="K232" s="900"/>
      <c r="L232" s="900"/>
      <c r="N232" s="959"/>
      <c r="O232" s="944"/>
      <c r="P232" s="944"/>
      <c r="Q232" s="944"/>
      <c r="R232" s="944"/>
      <c r="S232" s="944"/>
      <c r="T232" s="944"/>
      <c r="U232" s="944"/>
      <c r="V232" s="944"/>
      <c r="W232" s="944"/>
      <c r="X232" s="944"/>
      <c r="Y232" s="944"/>
      <c r="Z232" s="944"/>
      <c r="AA232" s="944"/>
      <c r="AB232" s="944"/>
      <c r="AC232" s="944"/>
      <c r="AD232" s="944"/>
      <c r="AE232" s="944"/>
      <c r="AF232" s="944"/>
      <c r="AG232" s="944"/>
      <c r="AH232" s="944"/>
      <c r="AI232" s="913"/>
      <c r="AJ232" s="913"/>
    </row>
    <row r="233" spans="1:39" x14ac:dyDescent="0.4">
      <c r="A233" s="900"/>
      <c r="B233" s="900"/>
      <c r="C233" s="900"/>
      <c r="D233" s="900"/>
      <c r="E233" s="900"/>
      <c r="F233" s="900"/>
      <c r="G233" s="900"/>
      <c r="H233" s="900"/>
      <c r="I233" s="900"/>
      <c r="J233" s="900"/>
      <c r="K233" s="900"/>
      <c r="L233" s="900"/>
      <c r="N233" s="959"/>
      <c r="O233" s="956"/>
      <c r="P233" s="956"/>
      <c r="Q233" s="956"/>
      <c r="R233" s="956"/>
      <c r="S233" s="956"/>
      <c r="T233" s="956"/>
      <c r="U233" s="956"/>
      <c r="V233" s="956"/>
      <c r="W233" s="956"/>
      <c r="X233" s="929"/>
      <c r="Y233" s="929"/>
      <c r="Z233" s="933"/>
      <c r="AA233" s="933"/>
      <c r="AB233" s="933"/>
      <c r="AC233" s="933"/>
      <c r="AD233" s="933"/>
      <c r="AE233" s="933"/>
      <c r="AF233" s="933"/>
      <c r="AG233" s="980"/>
      <c r="AH233" s="913"/>
      <c r="AI233" s="913"/>
      <c r="AJ233" s="913"/>
    </row>
    <row r="234" spans="1:39" x14ac:dyDescent="0.4">
      <c r="A234" s="900"/>
      <c r="B234" s="900"/>
      <c r="C234" s="900"/>
      <c r="D234" s="900"/>
      <c r="E234" s="900"/>
      <c r="F234" s="900"/>
      <c r="G234" s="900"/>
      <c r="H234" s="900"/>
      <c r="I234" s="900"/>
      <c r="J234" s="900"/>
      <c r="K234" s="900"/>
      <c r="L234" s="900"/>
      <c r="N234" s="958"/>
      <c r="O234" s="941"/>
      <c r="P234" s="941"/>
      <c r="Q234" s="941"/>
      <c r="R234" s="941"/>
      <c r="S234" s="941"/>
      <c r="T234" s="941"/>
      <c r="U234" s="941"/>
      <c r="V234" s="941"/>
      <c r="W234" s="941"/>
      <c r="X234" s="941"/>
      <c r="Y234" s="941"/>
      <c r="Z234" s="941"/>
      <c r="AA234" s="941"/>
      <c r="AB234" s="941"/>
      <c r="AC234" s="941"/>
      <c r="AD234" s="941"/>
      <c r="AE234" s="941"/>
      <c r="AF234" s="941"/>
      <c r="AG234" s="941"/>
      <c r="AH234" s="972"/>
      <c r="AI234" s="913"/>
      <c r="AJ234" s="913"/>
    </row>
    <row r="235" spans="1:39" x14ac:dyDescent="0.4">
      <c r="A235" s="900"/>
      <c r="B235" s="900"/>
      <c r="C235" s="900"/>
      <c r="D235" s="900"/>
      <c r="E235" s="900"/>
      <c r="F235" s="900"/>
      <c r="G235" s="900"/>
      <c r="H235" s="900"/>
      <c r="I235" s="900"/>
      <c r="J235" s="900"/>
      <c r="K235" s="900"/>
      <c r="L235" s="900"/>
      <c r="N235" s="958"/>
      <c r="O235" s="941"/>
      <c r="P235" s="941"/>
      <c r="Q235" s="941"/>
      <c r="R235" s="941"/>
      <c r="S235" s="941"/>
      <c r="T235" s="941"/>
      <c r="U235" s="941"/>
      <c r="V235" s="941"/>
      <c r="W235" s="941"/>
      <c r="X235" s="941"/>
      <c r="Y235" s="941"/>
      <c r="Z235" s="941"/>
      <c r="AA235" s="941"/>
      <c r="AB235" s="941"/>
      <c r="AC235" s="941"/>
      <c r="AD235" s="941"/>
      <c r="AE235" s="941"/>
      <c r="AF235" s="941"/>
      <c r="AG235" s="941"/>
      <c r="AH235" s="972"/>
      <c r="AI235" s="913"/>
      <c r="AJ235" s="913"/>
    </row>
    <row r="236" spans="1:39" x14ac:dyDescent="0.4">
      <c r="A236" s="900"/>
      <c r="B236" s="900"/>
      <c r="C236" s="900"/>
      <c r="D236" s="900"/>
      <c r="E236" s="900"/>
      <c r="F236" s="900"/>
      <c r="G236" s="900"/>
      <c r="H236" s="900"/>
      <c r="I236" s="900"/>
      <c r="J236" s="900"/>
      <c r="K236" s="900"/>
      <c r="L236" s="900"/>
      <c r="N236" s="958"/>
      <c r="O236" s="941"/>
      <c r="P236" s="941"/>
      <c r="Q236" s="941"/>
      <c r="R236" s="941"/>
      <c r="S236" s="941"/>
      <c r="T236" s="941"/>
      <c r="U236" s="941"/>
      <c r="V236" s="941"/>
      <c r="W236" s="941"/>
      <c r="X236" s="941"/>
      <c r="Y236" s="941"/>
      <c r="Z236" s="941"/>
      <c r="AA236" s="941"/>
      <c r="AB236" s="941"/>
      <c r="AC236" s="941"/>
      <c r="AD236" s="941"/>
      <c r="AE236" s="941"/>
      <c r="AF236" s="941"/>
      <c r="AG236" s="941"/>
      <c r="AH236" s="913"/>
      <c r="AI236" s="913"/>
      <c r="AJ236" s="913"/>
    </row>
    <row r="237" spans="1:39" x14ac:dyDescent="0.4">
      <c r="A237" s="900"/>
      <c r="B237" s="900"/>
      <c r="C237" s="900"/>
      <c r="D237" s="900"/>
      <c r="E237" s="900"/>
      <c r="F237" s="900"/>
      <c r="G237" s="900"/>
      <c r="H237" s="900"/>
      <c r="I237" s="900"/>
      <c r="J237" s="900"/>
      <c r="K237" s="900"/>
      <c r="L237" s="900"/>
      <c r="N237" s="958"/>
      <c r="O237" s="941"/>
      <c r="P237" s="941"/>
      <c r="Q237" s="941"/>
      <c r="R237" s="941"/>
      <c r="S237" s="941"/>
      <c r="T237" s="941"/>
      <c r="U237" s="941"/>
      <c r="V237" s="941"/>
      <c r="W237" s="941"/>
      <c r="X237" s="941"/>
      <c r="Y237" s="941"/>
      <c r="Z237" s="941"/>
      <c r="AA237" s="941"/>
      <c r="AB237" s="941"/>
      <c r="AC237" s="941"/>
      <c r="AD237" s="941"/>
      <c r="AE237" s="941"/>
      <c r="AF237" s="941"/>
      <c r="AG237" s="941"/>
      <c r="AH237" s="972"/>
      <c r="AI237" s="913"/>
      <c r="AJ237" s="913"/>
    </row>
    <row r="238" spans="1:39" x14ac:dyDescent="0.4">
      <c r="A238" s="900"/>
      <c r="B238" s="900"/>
      <c r="C238" s="900"/>
      <c r="D238" s="900"/>
      <c r="E238" s="900"/>
      <c r="F238" s="900"/>
      <c r="G238" s="900"/>
      <c r="H238" s="900"/>
      <c r="I238" s="900"/>
      <c r="J238" s="900"/>
      <c r="K238" s="900"/>
      <c r="L238" s="900"/>
      <c r="N238" s="958"/>
      <c r="O238" s="941"/>
      <c r="P238" s="941"/>
      <c r="Q238" s="941"/>
      <c r="R238" s="941"/>
      <c r="S238" s="941"/>
      <c r="T238" s="941"/>
      <c r="U238" s="941"/>
      <c r="V238" s="941"/>
      <c r="W238" s="941"/>
      <c r="X238" s="941"/>
      <c r="Y238" s="941"/>
      <c r="Z238" s="941"/>
      <c r="AA238" s="941"/>
      <c r="AB238" s="941"/>
      <c r="AC238" s="941"/>
      <c r="AD238" s="941"/>
      <c r="AE238" s="941"/>
      <c r="AF238" s="941"/>
      <c r="AG238" s="941"/>
      <c r="AH238" s="972"/>
      <c r="AI238" s="913"/>
      <c r="AJ238" s="913"/>
    </row>
    <row r="239" spans="1:39" x14ac:dyDescent="0.4">
      <c r="A239" s="900"/>
      <c r="B239" s="900"/>
      <c r="C239" s="900"/>
      <c r="D239" s="900"/>
      <c r="E239" s="900"/>
      <c r="F239" s="900"/>
      <c r="G239" s="900"/>
      <c r="H239" s="900"/>
      <c r="I239" s="900"/>
      <c r="J239" s="900"/>
      <c r="K239" s="900"/>
      <c r="L239" s="900"/>
      <c r="N239" s="958"/>
      <c r="O239" s="941"/>
      <c r="P239" s="941"/>
      <c r="Q239" s="941"/>
      <c r="R239" s="941"/>
      <c r="S239" s="941"/>
      <c r="T239" s="941"/>
      <c r="U239" s="941"/>
      <c r="V239" s="941"/>
      <c r="W239" s="941"/>
      <c r="X239" s="941"/>
      <c r="Y239" s="941"/>
      <c r="Z239" s="941"/>
      <c r="AA239" s="941"/>
      <c r="AB239" s="941"/>
      <c r="AC239" s="941"/>
      <c r="AD239" s="941"/>
      <c r="AE239" s="941"/>
      <c r="AF239" s="941"/>
      <c r="AG239" s="941"/>
      <c r="AH239" s="972"/>
      <c r="AI239" s="913"/>
      <c r="AJ239" s="913"/>
    </row>
    <row r="240" spans="1:39" ht="13.5" thickBot="1" x14ac:dyDescent="0.45">
      <c r="A240" s="900"/>
      <c r="B240" s="900"/>
      <c r="C240" s="900"/>
      <c r="D240" s="900"/>
      <c r="E240" s="900"/>
      <c r="F240" s="900"/>
      <c r="G240" s="900"/>
      <c r="H240" s="900"/>
      <c r="I240" s="900"/>
      <c r="J240" s="900"/>
      <c r="K240" s="900"/>
      <c r="L240" s="900"/>
      <c r="N240" s="959"/>
      <c r="O240" s="944"/>
      <c r="P240" s="944"/>
      <c r="Q240" s="944"/>
      <c r="R240" s="944"/>
      <c r="S240" s="944"/>
      <c r="T240" s="944"/>
      <c r="U240" s="944"/>
      <c r="V240" s="944"/>
      <c r="W240" s="944"/>
      <c r="X240" s="944"/>
      <c r="Y240" s="944"/>
      <c r="Z240" s="944"/>
      <c r="AA240" s="944"/>
      <c r="AB240" s="944"/>
      <c r="AC240" s="944"/>
      <c r="AD240" s="944"/>
      <c r="AE240" s="944"/>
      <c r="AF240" s="944"/>
      <c r="AG240" s="944"/>
      <c r="AH240" s="944"/>
      <c r="AI240" s="913"/>
      <c r="AJ240" s="913"/>
    </row>
    <row r="241" spans="1:36" ht="13.5" thickBot="1" x14ac:dyDescent="0.45">
      <c r="A241" s="900"/>
      <c r="B241" s="900"/>
      <c r="C241" s="900"/>
      <c r="D241" s="900"/>
      <c r="E241" s="900"/>
      <c r="F241" s="900"/>
      <c r="G241" s="900"/>
      <c r="H241" s="900"/>
      <c r="I241" s="900"/>
      <c r="J241" s="900"/>
      <c r="K241" s="900"/>
      <c r="L241" s="900"/>
      <c r="N241" s="2140"/>
      <c r="Q241" s="2144"/>
      <c r="R241" s="956"/>
      <c r="S241" s="956"/>
      <c r="T241" s="956"/>
      <c r="U241" s="956"/>
      <c r="V241" s="956"/>
      <c r="W241" s="956"/>
      <c r="X241" s="929"/>
      <c r="Y241" s="929"/>
      <c r="Z241" s="980"/>
      <c r="AA241" s="980"/>
      <c r="AB241" s="980"/>
      <c r="AC241" s="980"/>
      <c r="AD241" s="980"/>
      <c r="AE241" s="980"/>
      <c r="AF241" s="980"/>
      <c r="AG241" s="980"/>
      <c r="AH241" s="980"/>
      <c r="AI241" s="913"/>
      <c r="AJ241" s="913"/>
    </row>
    <row r="242" spans="1:36" ht="18" x14ac:dyDescent="0.55000000000000004">
      <c r="A242" s="900"/>
      <c r="B242" s="900"/>
      <c r="C242" s="900"/>
      <c r="D242" s="900"/>
      <c r="E242" s="900"/>
      <c r="F242" s="900"/>
      <c r="G242" s="900"/>
      <c r="H242" s="900"/>
      <c r="I242" s="900"/>
      <c r="J242" s="900"/>
      <c r="K242" s="900"/>
      <c r="L242" s="900"/>
      <c r="N242" s="2147" t="s">
        <v>380</v>
      </c>
      <c r="O242" s="2150">
        <v>1990</v>
      </c>
      <c r="P242" s="2141">
        <v>2018</v>
      </c>
      <c r="Q242" s="2144">
        <v>1990</v>
      </c>
      <c r="R242" s="941"/>
      <c r="S242" s="941"/>
      <c r="T242" s="941"/>
      <c r="U242" s="941"/>
      <c r="V242" s="941"/>
      <c r="W242" s="941"/>
      <c r="X242" s="941"/>
      <c r="Y242" s="941"/>
      <c r="Z242" s="941"/>
      <c r="AA242" s="941"/>
      <c r="AB242" s="941"/>
      <c r="AC242" s="941"/>
      <c r="AD242" s="941"/>
      <c r="AE242" s="941"/>
      <c r="AF242" s="941"/>
      <c r="AG242" s="941"/>
      <c r="AH242" s="972"/>
      <c r="AI242" s="913"/>
      <c r="AJ242" s="913"/>
    </row>
    <row r="243" spans="1:36" x14ac:dyDescent="0.4">
      <c r="A243" s="900"/>
      <c r="B243" s="900"/>
      <c r="C243" s="900"/>
      <c r="D243" s="900"/>
      <c r="E243" s="900"/>
      <c r="F243" s="900"/>
      <c r="G243" s="900"/>
      <c r="H243" s="900"/>
      <c r="I243" s="900"/>
      <c r="J243" s="900"/>
      <c r="K243" s="900"/>
      <c r="L243" s="900"/>
      <c r="N243" s="2148" t="s">
        <v>412</v>
      </c>
      <c r="O243" s="2151">
        <f>O114+O115</f>
        <v>35.58</v>
      </c>
      <c r="P243" s="2142">
        <f>AH114+AH115</f>
        <v>20.987203439406247</v>
      </c>
      <c r="Q243" s="2145">
        <v>35.58</v>
      </c>
      <c r="R243" s="941"/>
      <c r="S243" s="941"/>
      <c r="T243" s="941"/>
      <c r="U243" s="941"/>
      <c r="V243" s="941"/>
      <c r="W243" s="941"/>
      <c r="X243" s="941"/>
      <c r="Y243" s="941"/>
      <c r="Z243" s="941"/>
      <c r="AA243" s="941"/>
      <c r="AB243" s="941"/>
      <c r="AC243" s="941"/>
      <c r="AD243" s="941"/>
      <c r="AE243" s="941"/>
      <c r="AF243" s="941"/>
      <c r="AG243" s="941"/>
      <c r="AH243" s="972"/>
      <c r="AI243" s="913"/>
      <c r="AJ243" s="913"/>
    </row>
    <row r="244" spans="1:36" x14ac:dyDescent="0.4">
      <c r="A244" s="900"/>
      <c r="B244" s="900"/>
      <c r="C244" s="900"/>
      <c r="D244" s="900"/>
      <c r="E244" s="900"/>
      <c r="F244" s="900"/>
      <c r="G244" s="900"/>
      <c r="H244" s="900"/>
      <c r="I244" s="900"/>
      <c r="J244" s="900"/>
      <c r="K244" s="900"/>
      <c r="L244" s="900"/>
      <c r="N244" s="2148" t="s">
        <v>570</v>
      </c>
      <c r="O244" s="2151">
        <f>O116</f>
        <v>9.4742967447756588</v>
      </c>
      <c r="P244" s="2142">
        <f>AH116</f>
        <v>8.10938324344332</v>
      </c>
      <c r="Q244" s="2145">
        <v>9.4742967447756588</v>
      </c>
      <c r="R244" s="941"/>
      <c r="S244" s="941"/>
      <c r="T244" s="941"/>
      <c r="U244" s="941"/>
      <c r="V244" s="941"/>
      <c r="W244" s="941"/>
      <c r="X244" s="941"/>
      <c r="Y244" s="941"/>
      <c r="Z244" s="941"/>
      <c r="AA244" s="941"/>
      <c r="AB244" s="941"/>
      <c r="AC244" s="941"/>
      <c r="AD244" s="941"/>
      <c r="AE244" s="941"/>
      <c r="AF244" s="941"/>
      <c r="AG244" s="941"/>
      <c r="AH244" s="972"/>
      <c r="AI244" s="913"/>
      <c r="AJ244" s="913"/>
    </row>
    <row r="245" spans="1:36" x14ac:dyDescent="0.4">
      <c r="A245" s="900"/>
      <c r="B245" s="900"/>
      <c r="C245" s="900"/>
      <c r="D245" s="900"/>
      <c r="E245" s="900"/>
      <c r="F245" s="900"/>
      <c r="G245" s="900"/>
      <c r="H245" s="900"/>
      <c r="I245" s="900"/>
      <c r="J245" s="900"/>
      <c r="K245" s="900"/>
      <c r="L245" s="900"/>
      <c r="N245" s="2148" t="s">
        <v>192</v>
      </c>
      <c r="O245" s="2151">
        <f>O117</f>
        <v>0.1353614480747207</v>
      </c>
      <c r="P245" s="2142">
        <f>AH117</f>
        <v>1.825695847836674</v>
      </c>
      <c r="Q245" s="2145">
        <v>0.1353614480747207</v>
      </c>
      <c r="R245" s="941"/>
      <c r="S245" s="941"/>
      <c r="T245" s="941"/>
      <c r="U245" s="941"/>
      <c r="V245" s="941"/>
      <c r="W245" s="941"/>
      <c r="X245" s="941"/>
      <c r="Y245" s="941"/>
      <c r="Z245" s="941"/>
      <c r="AA245" s="941"/>
      <c r="AB245" s="941"/>
      <c r="AC245" s="941"/>
      <c r="AD245" s="941"/>
      <c r="AE245" s="941"/>
      <c r="AF245" s="941"/>
      <c r="AG245" s="941"/>
      <c r="AH245" s="972"/>
      <c r="AI245" s="913"/>
      <c r="AJ245" s="913"/>
    </row>
    <row r="246" spans="1:36" x14ac:dyDescent="0.4">
      <c r="A246" s="900"/>
      <c r="B246" s="900"/>
      <c r="C246" s="900"/>
      <c r="D246" s="900"/>
      <c r="E246" s="900"/>
      <c r="F246" s="900"/>
      <c r="G246" s="900"/>
      <c r="H246" s="900"/>
      <c r="I246" s="900"/>
      <c r="J246" s="900"/>
      <c r="K246" s="900"/>
      <c r="L246" s="900"/>
      <c r="N246" s="2148" t="s">
        <v>2368</v>
      </c>
      <c r="O246" s="2151">
        <f>'00 Summary'!C58</f>
        <v>0.17513570513644833</v>
      </c>
      <c r="P246" s="2142">
        <f>'00 Summary'!V58</f>
        <v>0.11915600117859715</v>
      </c>
      <c r="Q246" s="2145">
        <v>0.17513570513644833</v>
      </c>
      <c r="R246" s="941"/>
      <c r="S246" s="941"/>
      <c r="T246" s="941"/>
      <c r="U246" s="941"/>
      <c r="V246" s="941"/>
      <c r="W246" s="941"/>
      <c r="X246" s="941"/>
      <c r="Y246" s="941"/>
      <c r="Z246" s="941"/>
      <c r="AA246" s="941"/>
      <c r="AB246" s="941"/>
      <c r="AC246" s="941"/>
      <c r="AD246" s="941"/>
      <c r="AE246" s="941"/>
      <c r="AF246" s="941"/>
      <c r="AG246" s="941"/>
      <c r="AH246" s="972"/>
      <c r="AI246" s="913"/>
      <c r="AJ246" s="913"/>
    </row>
    <row r="247" spans="1:36" x14ac:dyDescent="0.4">
      <c r="A247" s="900"/>
      <c r="B247" s="900"/>
      <c r="C247" s="900"/>
      <c r="D247" s="900"/>
      <c r="E247" s="900"/>
      <c r="F247" s="900"/>
      <c r="G247" s="900"/>
      <c r="H247" s="900"/>
      <c r="I247" s="900"/>
      <c r="J247" s="900"/>
      <c r="K247" s="900"/>
      <c r="L247" s="900"/>
      <c r="N247" s="2148" t="s">
        <v>227</v>
      </c>
      <c r="O247" s="2151">
        <f>O119</f>
        <v>0</v>
      </c>
      <c r="P247" s="2142">
        <f>AH119</f>
        <v>1.1669107621872001</v>
      </c>
      <c r="Q247" s="2145">
        <v>0</v>
      </c>
      <c r="R247" s="944"/>
      <c r="S247" s="944"/>
      <c r="T247" s="944"/>
      <c r="U247" s="944"/>
      <c r="V247" s="944"/>
      <c r="W247" s="944"/>
      <c r="X247" s="944"/>
      <c r="Y247" s="944"/>
      <c r="Z247" s="981"/>
      <c r="AA247" s="981"/>
      <c r="AB247" s="981"/>
      <c r="AC247" s="981"/>
      <c r="AD247" s="981"/>
      <c r="AE247" s="981"/>
      <c r="AF247" s="981"/>
      <c r="AG247" s="981"/>
      <c r="AH247" s="981"/>
      <c r="AI247" s="913"/>
      <c r="AJ247" s="913"/>
    </row>
    <row r="248" spans="1:36" ht="13.5" thickBot="1" x14ac:dyDescent="0.45">
      <c r="A248" s="900"/>
      <c r="B248" s="900"/>
      <c r="C248" s="900"/>
      <c r="D248" s="900"/>
      <c r="E248" s="900"/>
      <c r="F248" s="900"/>
      <c r="G248" s="900"/>
      <c r="H248" s="900"/>
      <c r="I248" s="900"/>
      <c r="J248" s="900"/>
      <c r="K248" s="900"/>
      <c r="L248" s="900"/>
      <c r="N248" s="2149" t="s">
        <v>2380</v>
      </c>
      <c r="O248" s="2152">
        <f>'00 Summary'!C59</f>
        <v>-0.10776934707644574</v>
      </c>
      <c r="P248" s="2143">
        <f>'00 Summary'!V59</f>
        <v>-0.15494902590685694</v>
      </c>
      <c r="Q248" s="2145">
        <v>-0.10776934707644574</v>
      </c>
      <c r="R248" s="982"/>
      <c r="S248" s="982"/>
      <c r="T248" s="982"/>
      <c r="U248" s="982"/>
      <c r="V248" s="982"/>
      <c r="W248" s="982"/>
      <c r="X248" s="982"/>
      <c r="Y248" s="982"/>
      <c r="Z248" s="982"/>
      <c r="AA248" s="982"/>
      <c r="AB248" s="982"/>
      <c r="AC248" s="982"/>
      <c r="AD248" s="982"/>
      <c r="AE248" s="982"/>
      <c r="AF248" s="982"/>
      <c r="AG248" s="982"/>
      <c r="AH248" s="982"/>
      <c r="AI248" s="913"/>
      <c r="AJ248" s="913"/>
    </row>
    <row r="249" spans="1:36" x14ac:dyDescent="0.4">
      <c r="A249" s="900"/>
      <c r="B249" s="900"/>
      <c r="C249" s="900"/>
      <c r="D249" s="900"/>
      <c r="E249" s="900"/>
      <c r="F249" s="900"/>
      <c r="G249" s="900"/>
      <c r="H249" s="900"/>
      <c r="I249" s="900"/>
      <c r="J249" s="900"/>
      <c r="K249" s="900"/>
      <c r="L249" s="900"/>
      <c r="N249" s="913"/>
      <c r="O249" s="913"/>
      <c r="P249" s="913"/>
      <c r="Q249" s="2146"/>
      <c r="R249" s="913"/>
      <c r="S249" s="913"/>
      <c r="T249" s="913"/>
      <c r="U249" s="913"/>
      <c r="V249" s="913"/>
      <c r="W249" s="913"/>
      <c r="X249" s="913"/>
      <c r="Y249" s="913"/>
      <c r="Z249" s="913"/>
      <c r="AA249" s="913"/>
      <c r="AB249" s="913"/>
      <c r="AC249" s="913"/>
      <c r="AD249" s="913"/>
      <c r="AE249" s="913"/>
      <c r="AF249" s="913"/>
      <c r="AG249" s="940"/>
      <c r="AH249" s="913"/>
      <c r="AI249" s="913"/>
      <c r="AJ249" s="913"/>
    </row>
    <row r="250" spans="1:36" x14ac:dyDescent="0.4">
      <c r="A250" s="900"/>
      <c r="B250" s="900"/>
      <c r="C250" s="900"/>
      <c r="D250" s="900"/>
      <c r="E250" s="900"/>
      <c r="F250" s="900"/>
      <c r="G250" s="900"/>
      <c r="H250" s="900"/>
      <c r="I250" s="900"/>
      <c r="J250" s="900"/>
      <c r="K250" s="900"/>
      <c r="L250" s="900"/>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row>
    <row r="251" spans="1:36" x14ac:dyDescent="0.4">
      <c r="A251" s="900"/>
      <c r="B251" s="900"/>
      <c r="C251" s="900"/>
      <c r="D251" s="900"/>
      <c r="E251" s="900"/>
      <c r="F251" s="900"/>
      <c r="G251" s="900"/>
      <c r="H251" s="900"/>
      <c r="I251" s="900"/>
      <c r="J251" s="900"/>
      <c r="K251" s="900"/>
      <c r="L251" s="900"/>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row>
    <row r="252" spans="1:36" x14ac:dyDescent="0.4">
      <c r="A252" s="900"/>
      <c r="B252" s="900"/>
      <c r="C252" s="900"/>
      <c r="D252" s="900"/>
      <c r="E252" s="900"/>
      <c r="F252" s="900"/>
      <c r="G252" s="900"/>
      <c r="H252" s="900"/>
      <c r="I252" s="900"/>
      <c r="J252" s="900"/>
      <c r="K252" s="900"/>
      <c r="L252" s="900"/>
      <c r="N252" s="913"/>
      <c r="O252" s="913"/>
      <c r="P252" s="913"/>
      <c r="Q252" s="913"/>
      <c r="R252" s="913"/>
      <c r="S252" s="913"/>
      <c r="T252" s="913"/>
      <c r="U252" s="913"/>
      <c r="V252" s="913"/>
      <c r="W252" s="913"/>
      <c r="X252" s="913"/>
      <c r="Y252" s="913"/>
      <c r="Z252" s="913"/>
      <c r="AA252" s="913"/>
      <c r="AB252" s="913"/>
      <c r="AC252" s="913"/>
      <c r="AD252" s="913"/>
      <c r="AE252" s="913"/>
      <c r="AF252" s="913"/>
      <c r="AG252" s="913"/>
      <c r="AH252" s="913"/>
      <c r="AI252" s="913"/>
      <c r="AJ252" s="913"/>
    </row>
    <row r="253" spans="1:36" x14ac:dyDescent="0.4">
      <c r="A253" s="900"/>
      <c r="B253" s="900"/>
      <c r="C253" s="900"/>
      <c r="D253" s="900"/>
      <c r="E253" s="900"/>
      <c r="F253" s="900"/>
      <c r="G253" s="900"/>
      <c r="H253" s="900"/>
      <c r="I253" s="900"/>
      <c r="J253" s="900"/>
      <c r="K253" s="900"/>
      <c r="L253" s="900"/>
      <c r="N253" s="913"/>
      <c r="O253" s="913"/>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row>
    <row r="254" spans="1:36" x14ac:dyDescent="0.4">
      <c r="A254" s="900"/>
      <c r="B254" s="900"/>
      <c r="C254" s="900"/>
      <c r="D254" s="900"/>
      <c r="E254" s="900"/>
      <c r="F254" s="900"/>
      <c r="G254" s="900"/>
      <c r="H254" s="900"/>
      <c r="I254" s="900"/>
      <c r="J254" s="900"/>
      <c r="K254" s="900"/>
      <c r="L254" s="900"/>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row>
    <row r="255" spans="1:36" x14ac:dyDescent="0.4">
      <c r="A255" s="900"/>
      <c r="B255" s="900"/>
      <c r="C255" s="900"/>
      <c r="D255" s="900"/>
      <c r="E255" s="900"/>
      <c r="F255" s="900"/>
      <c r="G255" s="900"/>
      <c r="H255" s="900"/>
      <c r="I255" s="900"/>
      <c r="J255" s="900"/>
      <c r="K255" s="900"/>
      <c r="L255" s="900"/>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row>
    <row r="256" spans="1:36" x14ac:dyDescent="0.4">
      <c r="A256" s="900"/>
      <c r="B256" s="900"/>
      <c r="C256" s="900"/>
      <c r="D256" s="900"/>
      <c r="E256" s="900"/>
      <c r="F256" s="900"/>
      <c r="G256" s="900"/>
      <c r="H256" s="900"/>
      <c r="I256" s="900"/>
      <c r="J256" s="900"/>
      <c r="K256" s="900"/>
      <c r="L256" s="900"/>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row>
    <row r="257" spans="1:37" x14ac:dyDescent="0.4">
      <c r="A257" s="900"/>
      <c r="B257" s="900"/>
      <c r="C257" s="900"/>
      <c r="D257" s="900"/>
      <c r="E257" s="900"/>
      <c r="F257" s="900"/>
      <c r="G257" s="900"/>
      <c r="H257" s="900"/>
      <c r="I257" s="900"/>
      <c r="J257" s="900"/>
      <c r="K257" s="900"/>
      <c r="L257" s="900"/>
      <c r="N257" s="913"/>
      <c r="O257" s="913"/>
      <c r="P257" s="913"/>
      <c r="Q257" s="913"/>
      <c r="R257" s="913"/>
      <c r="S257" s="913"/>
      <c r="T257" s="913"/>
      <c r="U257" s="913"/>
      <c r="V257" s="913"/>
      <c r="W257" s="913"/>
      <c r="X257" s="913"/>
      <c r="Y257" s="913"/>
      <c r="Z257" s="913"/>
      <c r="AA257" s="913"/>
      <c r="AB257" s="913"/>
      <c r="AC257" s="913"/>
      <c r="AD257" s="913"/>
      <c r="AE257" s="913"/>
      <c r="AF257" s="913"/>
      <c r="AG257" s="913"/>
      <c r="AH257" s="913"/>
      <c r="AI257" s="913"/>
      <c r="AJ257" s="913"/>
    </row>
    <row r="258" spans="1:37" x14ac:dyDescent="0.4">
      <c r="A258" s="900"/>
      <c r="B258" s="900"/>
      <c r="C258" s="900"/>
      <c r="D258" s="900"/>
      <c r="E258" s="900"/>
      <c r="F258" s="900"/>
      <c r="G258" s="900"/>
      <c r="H258" s="900"/>
      <c r="I258" s="900"/>
      <c r="J258" s="900"/>
      <c r="K258" s="900"/>
      <c r="L258" s="900"/>
      <c r="N258" s="913"/>
      <c r="O258" s="913"/>
      <c r="P258" s="913"/>
      <c r="Q258" s="913"/>
      <c r="R258" s="913"/>
      <c r="S258" s="913"/>
      <c r="T258" s="913"/>
      <c r="U258" s="913"/>
      <c r="V258" s="913"/>
      <c r="W258" s="913"/>
      <c r="X258" s="913"/>
      <c r="Y258" s="913"/>
      <c r="Z258" s="913"/>
      <c r="AA258" s="913"/>
      <c r="AB258" s="913"/>
      <c r="AC258" s="913"/>
      <c r="AD258" s="913"/>
      <c r="AE258" s="913"/>
      <c r="AF258" s="913"/>
      <c r="AG258" s="913"/>
      <c r="AH258" s="913"/>
      <c r="AI258" s="913"/>
      <c r="AJ258" s="913"/>
    </row>
    <row r="259" spans="1:37" x14ac:dyDescent="0.4">
      <c r="A259" s="900"/>
      <c r="B259" s="900"/>
      <c r="C259" s="900"/>
      <c r="D259" s="900"/>
      <c r="E259" s="900"/>
      <c r="F259" s="900"/>
      <c r="G259" s="900"/>
      <c r="H259" s="900"/>
      <c r="I259" s="900"/>
      <c r="J259" s="900"/>
      <c r="K259" s="900"/>
      <c r="L259" s="900"/>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row>
    <row r="260" spans="1:37" x14ac:dyDescent="0.4">
      <c r="A260" s="900"/>
      <c r="B260" s="900"/>
      <c r="C260" s="900"/>
      <c r="D260" s="900"/>
      <c r="E260" s="900"/>
      <c r="F260" s="900"/>
      <c r="G260" s="900"/>
      <c r="H260" s="900"/>
      <c r="I260" s="900"/>
      <c r="J260" s="900"/>
      <c r="K260" s="900"/>
      <c r="L260" s="900"/>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row>
    <row r="261" spans="1:37" x14ac:dyDescent="0.4">
      <c r="A261" s="900"/>
      <c r="B261" s="900"/>
      <c r="C261" s="900"/>
      <c r="D261" s="900"/>
      <c r="E261" s="900"/>
      <c r="F261" s="900"/>
      <c r="G261" s="900"/>
      <c r="H261" s="900"/>
      <c r="I261" s="900"/>
      <c r="J261" s="900"/>
      <c r="K261" s="900"/>
      <c r="L261" s="900"/>
      <c r="N261" s="913"/>
      <c r="O261" s="913"/>
      <c r="P261" s="913"/>
      <c r="Q261" s="913"/>
      <c r="R261" s="913"/>
      <c r="S261" s="913"/>
      <c r="T261" s="913"/>
      <c r="U261" s="913"/>
      <c r="V261" s="913"/>
      <c r="W261" s="913"/>
      <c r="X261" s="913"/>
      <c r="Y261" s="913"/>
      <c r="Z261" s="913"/>
      <c r="AA261" s="913"/>
      <c r="AB261" s="913"/>
      <c r="AC261" s="913"/>
      <c r="AD261" s="913"/>
      <c r="AE261" s="913"/>
      <c r="AF261" s="913"/>
      <c r="AG261" s="913"/>
      <c r="AH261" s="913"/>
      <c r="AI261" s="913"/>
      <c r="AJ261" s="913"/>
    </row>
    <row r="262" spans="1:37" x14ac:dyDescent="0.4">
      <c r="A262" s="900"/>
      <c r="B262" s="900"/>
      <c r="C262" s="900"/>
      <c r="D262" s="900"/>
      <c r="E262" s="900"/>
      <c r="F262" s="900"/>
      <c r="G262" s="900"/>
      <c r="H262" s="900"/>
      <c r="I262" s="900"/>
      <c r="J262" s="900"/>
      <c r="K262" s="900"/>
      <c r="L262" s="900"/>
      <c r="N262" s="913"/>
      <c r="O262" s="913"/>
      <c r="P262" s="913"/>
      <c r="Q262" s="913"/>
      <c r="R262" s="913"/>
      <c r="S262" s="913"/>
      <c r="T262" s="913"/>
      <c r="U262" s="913"/>
      <c r="V262" s="913"/>
      <c r="W262" s="913"/>
      <c r="X262" s="913"/>
      <c r="Y262" s="913"/>
      <c r="Z262" s="913"/>
      <c r="AA262" s="913"/>
      <c r="AB262" s="913"/>
      <c r="AC262" s="913"/>
      <c r="AD262" s="913"/>
      <c r="AE262" s="913"/>
      <c r="AF262" s="913"/>
      <c r="AG262" s="913"/>
      <c r="AH262" s="913"/>
      <c r="AI262" s="913"/>
      <c r="AJ262" s="913"/>
    </row>
    <row r="263" spans="1:37" x14ac:dyDescent="0.4">
      <c r="A263" s="900"/>
      <c r="B263" s="900"/>
      <c r="C263" s="900"/>
      <c r="D263" s="900"/>
      <c r="E263" s="900"/>
      <c r="F263" s="900"/>
      <c r="G263" s="900"/>
      <c r="H263" s="900"/>
      <c r="I263" s="900"/>
      <c r="J263" s="900"/>
      <c r="K263" s="900"/>
      <c r="L263" s="900"/>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3"/>
      <c r="AJ263" s="913"/>
      <c r="AK263" s="913"/>
    </row>
    <row r="264" spans="1:37" ht="18" x14ac:dyDescent="0.55000000000000004">
      <c r="A264" s="900"/>
      <c r="B264" s="900"/>
      <c r="C264" s="900"/>
      <c r="D264" s="900"/>
      <c r="E264" s="900"/>
      <c r="F264" s="900"/>
      <c r="G264" s="900"/>
      <c r="H264" s="900"/>
      <c r="I264" s="900"/>
      <c r="J264" s="900"/>
      <c r="K264" s="900"/>
      <c r="L264" s="900"/>
      <c r="N264" s="95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row>
    <row r="265" spans="1:37" x14ac:dyDescent="0.4">
      <c r="A265" s="900"/>
      <c r="B265" s="900"/>
      <c r="C265" s="900"/>
      <c r="D265" s="900"/>
      <c r="E265" s="900"/>
      <c r="F265" s="900"/>
      <c r="G265" s="900"/>
      <c r="H265" s="900"/>
      <c r="I265" s="900"/>
      <c r="J265" s="900"/>
      <c r="K265" s="900"/>
      <c r="L265" s="900"/>
      <c r="N265" s="913"/>
      <c r="O265" s="2153"/>
      <c r="P265" s="2153"/>
      <c r="Q265" s="2153"/>
      <c r="R265" s="2153"/>
      <c r="S265" s="2153"/>
      <c r="T265" s="2153"/>
      <c r="U265" s="2153"/>
      <c r="V265" s="2153"/>
      <c r="W265" s="2153"/>
      <c r="X265" s="2153"/>
      <c r="Y265" s="2153"/>
      <c r="Z265" s="2153"/>
      <c r="AA265" s="2153"/>
      <c r="AB265" s="2153"/>
      <c r="AC265" s="2153"/>
      <c r="AD265" s="2153"/>
      <c r="AE265" s="2153"/>
      <c r="AF265" s="2153"/>
      <c r="AG265" s="2153"/>
      <c r="AH265" s="2153"/>
      <c r="AI265" s="913"/>
      <c r="AJ265" s="913"/>
      <c r="AK265" s="913"/>
    </row>
    <row r="266" spans="1:37" x14ac:dyDescent="0.4">
      <c r="A266" s="900"/>
      <c r="B266" s="900"/>
      <c r="C266" s="900"/>
      <c r="D266" s="900"/>
      <c r="E266" s="900"/>
      <c r="F266" s="900"/>
      <c r="G266" s="900"/>
      <c r="H266" s="900"/>
      <c r="I266" s="900"/>
      <c r="J266" s="900"/>
      <c r="K266" s="900"/>
      <c r="L266" s="900"/>
      <c r="N266" s="913"/>
      <c r="O266" s="2153"/>
      <c r="P266" s="2153"/>
      <c r="Q266" s="2153"/>
      <c r="R266" s="2153"/>
      <c r="S266" s="2153"/>
      <c r="T266" s="2153"/>
      <c r="U266" s="2153"/>
      <c r="V266" s="2153"/>
      <c r="W266" s="2153"/>
      <c r="X266" s="2153"/>
      <c r="Y266" s="2153"/>
      <c r="Z266" s="2153"/>
      <c r="AA266" s="2153"/>
      <c r="AB266" s="2153"/>
      <c r="AC266" s="2153"/>
      <c r="AD266" s="2153"/>
      <c r="AE266" s="2153"/>
      <c r="AF266" s="2153"/>
      <c r="AG266" s="2153"/>
      <c r="AH266" s="2153"/>
      <c r="AI266" s="913"/>
      <c r="AJ266" s="913"/>
      <c r="AK266" s="913"/>
    </row>
    <row r="267" spans="1:37" x14ac:dyDescent="0.4">
      <c r="A267" s="900"/>
      <c r="B267" s="900"/>
      <c r="C267" s="900"/>
      <c r="D267" s="900"/>
      <c r="E267" s="900"/>
      <c r="F267" s="900"/>
      <c r="G267" s="900"/>
      <c r="H267" s="900"/>
      <c r="I267" s="900"/>
      <c r="J267" s="900"/>
      <c r="K267" s="900"/>
      <c r="L267" s="900"/>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row>
    <row r="268" spans="1:37" x14ac:dyDescent="0.4">
      <c r="A268" s="900"/>
      <c r="B268" s="900"/>
      <c r="C268" s="900"/>
      <c r="D268" s="900"/>
      <c r="E268" s="900"/>
      <c r="F268" s="900"/>
      <c r="G268" s="900"/>
      <c r="H268" s="900"/>
      <c r="I268" s="900"/>
      <c r="J268" s="900"/>
      <c r="K268" s="900"/>
      <c r="L268" s="900"/>
      <c r="N268" s="913"/>
      <c r="O268" s="913"/>
      <c r="P268" s="913"/>
      <c r="Q268" s="913"/>
      <c r="R268" s="913"/>
      <c r="S268" s="913"/>
      <c r="T268" s="913"/>
      <c r="U268" s="913"/>
      <c r="V268" s="913"/>
      <c r="W268" s="913"/>
      <c r="X268" s="913"/>
      <c r="Y268" s="913"/>
      <c r="Z268" s="913"/>
      <c r="AA268" s="913"/>
      <c r="AB268" s="913"/>
      <c r="AC268" s="913"/>
      <c r="AD268" s="913"/>
      <c r="AE268" s="913"/>
      <c r="AF268" s="913"/>
      <c r="AG268" s="913"/>
      <c r="AH268" s="913"/>
      <c r="AI268" s="913"/>
      <c r="AJ268" s="913"/>
      <c r="AK268" s="913"/>
    </row>
    <row r="269" spans="1:37" x14ac:dyDescent="0.4">
      <c r="A269" s="900"/>
      <c r="B269" s="900"/>
      <c r="C269" s="900"/>
      <c r="D269" s="900"/>
      <c r="E269" s="900"/>
      <c r="F269" s="900"/>
      <c r="G269" s="900"/>
      <c r="H269" s="900"/>
      <c r="I269" s="900"/>
      <c r="J269" s="900"/>
      <c r="K269" s="900"/>
      <c r="L269" s="900"/>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row>
    <row r="270" spans="1:37" ht="18" x14ac:dyDescent="0.55000000000000004">
      <c r="A270" s="900"/>
      <c r="B270" s="900"/>
      <c r="C270" s="900"/>
      <c r="D270" s="900"/>
      <c r="E270" s="900"/>
      <c r="F270" s="900"/>
      <c r="G270" s="900"/>
      <c r="H270" s="900"/>
      <c r="I270" s="900"/>
      <c r="J270" s="900"/>
      <c r="K270" s="900"/>
      <c r="L270" s="900"/>
      <c r="N270" s="953"/>
      <c r="O270" s="2153"/>
      <c r="P270" s="2153"/>
      <c r="Q270" s="2153"/>
      <c r="R270" s="2153"/>
      <c r="S270" s="2153"/>
      <c r="T270" s="2153"/>
      <c r="U270" s="2153"/>
      <c r="V270" s="2153"/>
      <c r="W270" s="2153"/>
      <c r="X270" s="2153"/>
      <c r="Y270" s="2153"/>
      <c r="Z270" s="2153"/>
      <c r="AA270" s="2153"/>
      <c r="AB270" s="2153"/>
      <c r="AC270" s="2153"/>
      <c r="AD270" s="2153"/>
      <c r="AE270" s="2153"/>
      <c r="AF270" s="2153"/>
      <c r="AG270" s="2153"/>
      <c r="AH270" s="2153"/>
      <c r="AI270" s="913"/>
      <c r="AJ270" s="913"/>
      <c r="AK270" s="913"/>
    </row>
    <row r="271" spans="1:37" x14ac:dyDescent="0.4">
      <c r="A271" s="900"/>
      <c r="B271" s="900"/>
      <c r="C271" s="900"/>
      <c r="D271" s="900"/>
      <c r="E271" s="900"/>
      <c r="F271" s="900"/>
      <c r="G271" s="900"/>
      <c r="H271" s="900"/>
      <c r="I271" s="900"/>
      <c r="J271" s="900"/>
      <c r="K271" s="900"/>
      <c r="L271" s="900"/>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row>
    <row r="272" spans="1:37" x14ac:dyDescent="0.4">
      <c r="A272" s="900"/>
      <c r="B272" s="900"/>
      <c r="C272" s="900"/>
      <c r="D272" s="900"/>
      <c r="E272" s="900"/>
      <c r="F272" s="900"/>
      <c r="G272" s="900"/>
      <c r="H272" s="900"/>
      <c r="I272" s="900"/>
      <c r="J272" s="900"/>
      <c r="K272" s="900"/>
      <c r="L272" s="900"/>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row>
    <row r="273" spans="1:36" x14ac:dyDescent="0.4">
      <c r="A273" s="900"/>
      <c r="B273" s="900"/>
      <c r="C273" s="900"/>
      <c r="D273" s="900"/>
      <c r="E273" s="900"/>
      <c r="F273" s="900"/>
      <c r="G273" s="900"/>
      <c r="H273" s="900"/>
      <c r="I273" s="900"/>
      <c r="J273" s="900"/>
      <c r="K273" s="900"/>
      <c r="L273" s="900"/>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row>
    <row r="274" spans="1:36" x14ac:dyDescent="0.4">
      <c r="A274" s="900"/>
      <c r="B274" s="900"/>
      <c r="C274" s="900"/>
      <c r="D274" s="900"/>
      <c r="E274" s="900"/>
      <c r="F274" s="900"/>
      <c r="G274" s="900"/>
      <c r="H274" s="900"/>
      <c r="I274" s="900"/>
      <c r="J274" s="900"/>
      <c r="K274" s="900"/>
      <c r="L274" s="900"/>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row>
    <row r="275" spans="1:36" x14ac:dyDescent="0.4">
      <c r="A275" s="900"/>
      <c r="B275" s="900"/>
      <c r="C275" s="900"/>
      <c r="D275" s="900"/>
      <c r="E275" s="900"/>
      <c r="F275" s="900"/>
      <c r="G275" s="900"/>
      <c r="H275" s="900"/>
      <c r="I275" s="900"/>
      <c r="J275" s="900"/>
      <c r="K275" s="900"/>
      <c r="L275" s="900"/>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row>
    <row r="276" spans="1:36" x14ac:dyDescent="0.4">
      <c r="A276" s="900"/>
      <c r="B276" s="900"/>
      <c r="C276" s="900"/>
      <c r="D276" s="900"/>
      <c r="E276" s="900"/>
      <c r="F276" s="900"/>
      <c r="G276" s="900"/>
      <c r="H276" s="900"/>
      <c r="I276" s="900"/>
      <c r="J276" s="900"/>
      <c r="K276" s="900"/>
      <c r="L276" s="900"/>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row>
    <row r="277" spans="1:36" x14ac:dyDescent="0.4">
      <c r="A277" s="900"/>
      <c r="B277" s="900"/>
      <c r="C277" s="900"/>
      <c r="D277" s="900"/>
      <c r="E277" s="900"/>
      <c r="F277" s="900"/>
      <c r="G277" s="900"/>
      <c r="H277" s="900"/>
      <c r="I277" s="900"/>
      <c r="J277" s="900"/>
      <c r="K277" s="900"/>
      <c r="L277" s="900"/>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row>
    <row r="278" spans="1:36" x14ac:dyDescent="0.4">
      <c r="A278" s="900"/>
      <c r="B278" s="900"/>
      <c r="C278" s="900"/>
      <c r="D278" s="900"/>
      <c r="E278" s="900"/>
      <c r="F278" s="900"/>
      <c r="G278" s="900"/>
      <c r="H278" s="900"/>
      <c r="I278" s="900"/>
      <c r="J278" s="900"/>
      <c r="K278" s="900"/>
      <c r="L278" s="900"/>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row>
    <row r="279" spans="1:36" x14ac:dyDescent="0.4">
      <c r="A279" s="900"/>
      <c r="B279" s="900"/>
      <c r="C279" s="900"/>
      <c r="D279" s="900"/>
      <c r="E279" s="900"/>
      <c r="F279" s="900"/>
      <c r="G279" s="900"/>
      <c r="H279" s="900"/>
      <c r="I279" s="900"/>
      <c r="J279" s="900"/>
      <c r="K279" s="900"/>
      <c r="L279" s="900"/>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row>
    <row r="280" spans="1:36" x14ac:dyDescent="0.4">
      <c r="A280" s="900"/>
      <c r="B280" s="900"/>
      <c r="C280" s="900"/>
      <c r="D280" s="900"/>
      <c r="E280" s="900"/>
      <c r="F280" s="900"/>
      <c r="G280" s="900"/>
      <c r="H280" s="900"/>
      <c r="I280" s="900"/>
      <c r="J280" s="900"/>
      <c r="K280" s="900"/>
      <c r="L280" s="900"/>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row>
    <row r="281" spans="1:36" x14ac:dyDescent="0.4">
      <c r="A281" s="900"/>
      <c r="B281" s="900"/>
      <c r="C281" s="900"/>
      <c r="D281" s="900"/>
      <c r="E281" s="900"/>
      <c r="F281" s="900"/>
      <c r="G281" s="900"/>
      <c r="H281" s="900"/>
      <c r="I281" s="900"/>
      <c r="J281" s="900"/>
      <c r="K281" s="900"/>
      <c r="L281" s="900"/>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row>
    <row r="282" spans="1:36" x14ac:dyDescent="0.4">
      <c r="A282" s="900"/>
      <c r="B282" s="900"/>
      <c r="C282" s="900"/>
      <c r="D282" s="900"/>
      <c r="E282" s="900"/>
      <c r="F282" s="900"/>
      <c r="G282" s="900"/>
      <c r="H282" s="900"/>
      <c r="I282" s="900"/>
      <c r="J282" s="900"/>
      <c r="K282" s="900"/>
      <c r="L282" s="900"/>
      <c r="N282" s="913"/>
      <c r="O282" s="913"/>
      <c r="P282" s="913"/>
      <c r="Q282" s="913"/>
      <c r="R282" s="913"/>
      <c r="S282" s="913"/>
      <c r="T282" s="913"/>
      <c r="U282" s="913"/>
      <c r="V282" s="913"/>
      <c r="W282" s="913"/>
      <c r="X282" s="913"/>
      <c r="Y282" s="913"/>
      <c r="Z282" s="913"/>
      <c r="AA282" s="913"/>
      <c r="AB282" s="913"/>
      <c r="AC282" s="913"/>
      <c r="AD282" s="913"/>
      <c r="AE282" s="913"/>
      <c r="AF282" s="913"/>
      <c r="AG282" s="913"/>
      <c r="AH282" s="913"/>
      <c r="AI282" s="913"/>
      <c r="AJ282" s="913"/>
    </row>
    <row r="283" spans="1:36" x14ac:dyDescent="0.4">
      <c r="A283" s="900"/>
      <c r="B283" s="900"/>
      <c r="C283" s="900"/>
      <c r="D283" s="900"/>
      <c r="E283" s="900"/>
      <c r="F283" s="900"/>
      <c r="G283" s="900"/>
      <c r="H283" s="900"/>
      <c r="I283" s="900"/>
      <c r="J283" s="900"/>
      <c r="K283" s="900"/>
      <c r="L283" s="900"/>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row>
    <row r="284" spans="1:36" x14ac:dyDescent="0.4">
      <c r="A284" s="900"/>
      <c r="B284" s="900"/>
      <c r="C284" s="900"/>
      <c r="D284" s="900"/>
      <c r="E284" s="900"/>
      <c r="F284" s="900"/>
      <c r="G284" s="900"/>
      <c r="H284" s="900"/>
      <c r="I284" s="900"/>
      <c r="J284" s="900"/>
      <c r="K284" s="900"/>
      <c r="L284" s="900"/>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row>
    <row r="285" spans="1:36" x14ac:dyDescent="0.4">
      <c r="A285" s="900"/>
      <c r="B285" s="900"/>
      <c r="C285" s="900"/>
      <c r="D285" s="900"/>
      <c r="E285" s="900"/>
      <c r="F285" s="900"/>
      <c r="G285" s="900"/>
      <c r="H285" s="900"/>
      <c r="I285" s="900"/>
      <c r="J285" s="900"/>
      <c r="K285" s="900"/>
      <c r="L285" s="900"/>
    </row>
    <row r="286" spans="1:36" x14ac:dyDescent="0.4">
      <c r="A286" s="900"/>
      <c r="B286" s="900"/>
      <c r="C286" s="900"/>
      <c r="D286" s="900"/>
      <c r="E286" s="900"/>
      <c r="F286" s="900"/>
      <c r="G286" s="900"/>
      <c r="H286" s="900"/>
      <c r="I286" s="900"/>
      <c r="J286" s="900"/>
      <c r="K286" s="900"/>
      <c r="L286" s="900"/>
    </row>
    <row r="287" spans="1:36" x14ac:dyDescent="0.4">
      <c r="A287" s="900"/>
      <c r="B287" s="900"/>
      <c r="C287" s="900"/>
      <c r="D287" s="900"/>
      <c r="E287" s="900"/>
      <c r="F287" s="900"/>
      <c r="G287" s="900"/>
      <c r="H287" s="900"/>
      <c r="I287" s="900"/>
      <c r="J287" s="900"/>
      <c r="K287" s="900"/>
      <c r="L287" s="900"/>
    </row>
    <row r="288" spans="1:36" x14ac:dyDescent="0.4">
      <c r="A288" s="900"/>
      <c r="B288" s="900"/>
      <c r="C288" s="900"/>
      <c r="D288" s="900"/>
      <c r="E288" s="900"/>
      <c r="F288" s="900"/>
      <c r="G288" s="900"/>
      <c r="H288" s="900"/>
      <c r="I288" s="900"/>
      <c r="J288" s="900"/>
      <c r="K288" s="900"/>
      <c r="L288" s="900"/>
    </row>
    <row r="289" spans="1:12" x14ac:dyDescent="0.4">
      <c r="A289" s="900"/>
      <c r="B289" s="900"/>
      <c r="C289" s="900"/>
      <c r="D289" s="900"/>
      <c r="E289" s="900"/>
      <c r="F289" s="900"/>
      <c r="G289" s="900"/>
      <c r="H289" s="900"/>
      <c r="I289" s="900"/>
      <c r="J289" s="900"/>
      <c r="K289" s="900"/>
      <c r="L289" s="900"/>
    </row>
    <row r="290" spans="1:12" x14ac:dyDescent="0.4">
      <c r="A290" s="900"/>
      <c r="B290" s="900"/>
      <c r="C290" s="900"/>
      <c r="D290" s="900"/>
      <c r="E290" s="900"/>
      <c r="F290" s="900"/>
      <c r="G290" s="900"/>
      <c r="H290" s="900"/>
      <c r="I290" s="900"/>
      <c r="J290" s="900"/>
      <c r="K290" s="900"/>
      <c r="L290" s="900"/>
    </row>
    <row r="291" spans="1:12" x14ac:dyDescent="0.4">
      <c r="A291" s="900"/>
      <c r="B291" s="900"/>
      <c r="C291" s="900"/>
      <c r="D291" s="900"/>
      <c r="E291" s="900"/>
      <c r="F291" s="900"/>
      <c r="G291" s="900"/>
      <c r="H291" s="900"/>
      <c r="I291" s="900"/>
      <c r="J291" s="900"/>
      <c r="K291" s="900"/>
      <c r="L291" s="900"/>
    </row>
    <row r="292" spans="1:12" x14ac:dyDescent="0.4">
      <c r="A292" s="900"/>
      <c r="B292" s="900"/>
      <c r="C292" s="900"/>
      <c r="D292" s="900"/>
      <c r="E292" s="900"/>
      <c r="F292" s="900"/>
      <c r="G292" s="900"/>
      <c r="H292" s="900"/>
      <c r="I292" s="900"/>
      <c r="J292" s="900"/>
      <c r="K292" s="900"/>
      <c r="L292" s="900"/>
    </row>
    <row r="293" spans="1:12" x14ac:dyDescent="0.4">
      <c r="A293" s="900"/>
      <c r="B293" s="900"/>
      <c r="C293" s="900"/>
      <c r="D293" s="900"/>
      <c r="E293" s="900"/>
      <c r="F293" s="900"/>
      <c r="G293" s="900"/>
      <c r="H293" s="900"/>
      <c r="I293" s="900"/>
      <c r="J293" s="900"/>
      <c r="K293" s="900"/>
      <c r="L293" s="900"/>
    </row>
    <row r="294" spans="1:12" x14ac:dyDescent="0.4">
      <c r="A294" s="900"/>
      <c r="B294" s="900"/>
      <c r="C294" s="900"/>
      <c r="D294" s="900"/>
      <c r="E294" s="900"/>
      <c r="F294" s="900"/>
      <c r="G294" s="900"/>
      <c r="H294" s="900"/>
      <c r="I294" s="900"/>
      <c r="J294" s="900"/>
      <c r="K294" s="900"/>
      <c r="L294" s="900"/>
    </row>
    <row r="295" spans="1:12" x14ac:dyDescent="0.4">
      <c r="A295" s="900"/>
      <c r="B295" s="900"/>
      <c r="C295" s="900"/>
      <c r="D295" s="900"/>
      <c r="E295" s="900"/>
      <c r="F295" s="900"/>
      <c r="G295" s="900"/>
      <c r="H295" s="900"/>
      <c r="I295" s="900"/>
      <c r="J295" s="900"/>
      <c r="K295" s="900"/>
      <c r="L295" s="900"/>
    </row>
    <row r="296" spans="1:12" x14ac:dyDescent="0.4">
      <c r="A296" s="900"/>
      <c r="B296" s="900"/>
      <c r="C296" s="900"/>
      <c r="D296" s="900"/>
      <c r="E296" s="900"/>
      <c r="F296" s="900"/>
      <c r="G296" s="900"/>
      <c r="H296" s="900"/>
      <c r="I296" s="900"/>
      <c r="J296" s="900"/>
      <c r="K296" s="900"/>
      <c r="L296" s="900"/>
    </row>
    <row r="297" spans="1:12" x14ac:dyDescent="0.4">
      <c r="A297" s="900"/>
      <c r="B297" s="900"/>
      <c r="C297" s="900"/>
      <c r="D297" s="900"/>
      <c r="E297" s="900"/>
      <c r="F297" s="900"/>
      <c r="G297" s="900"/>
      <c r="H297" s="900"/>
      <c r="I297" s="900"/>
      <c r="J297" s="900"/>
      <c r="K297" s="900"/>
      <c r="L297" s="900"/>
    </row>
    <row r="298" spans="1:12" x14ac:dyDescent="0.4">
      <c r="A298" s="900"/>
      <c r="B298" s="900"/>
      <c r="C298" s="900"/>
      <c r="D298" s="900"/>
      <c r="E298" s="900"/>
      <c r="F298" s="900"/>
      <c r="G298" s="900"/>
      <c r="H298" s="900"/>
      <c r="I298" s="900"/>
      <c r="J298" s="900"/>
      <c r="K298" s="900"/>
      <c r="L298" s="900"/>
    </row>
    <row r="299" spans="1:12" x14ac:dyDescent="0.4">
      <c r="A299" s="900"/>
      <c r="B299" s="900"/>
      <c r="C299" s="900"/>
      <c r="D299" s="900"/>
      <c r="E299" s="900"/>
      <c r="F299" s="900"/>
      <c r="G299" s="900"/>
      <c r="H299" s="900"/>
      <c r="I299" s="900"/>
      <c r="J299" s="900"/>
      <c r="K299" s="900"/>
      <c r="L299" s="900"/>
    </row>
    <row r="300" spans="1:12" x14ac:dyDescent="0.4">
      <c r="A300" s="900"/>
      <c r="B300" s="900"/>
      <c r="C300" s="900"/>
      <c r="D300" s="900"/>
      <c r="E300" s="900"/>
      <c r="F300" s="900"/>
      <c r="G300" s="900"/>
      <c r="H300" s="900"/>
      <c r="I300" s="900"/>
      <c r="J300" s="900"/>
      <c r="K300" s="900"/>
      <c r="L300" s="900"/>
    </row>
    <row r="301" spans="1:12" x14ac:dyDescent="0.4">
      <c r="A301" s="900"/>
      <c r="B301" s="900"/>
      <c r="C301" s="900"/>
      <c r="D301" s="900"/>
      <c r="E301" s="900"/>
      <c r="F301" s="900"/>
      <c r="G301" s="900"/>
      <c r="H301" s="900"/>
      <c r="I301" s="900"/>
      <c r="J301" s="900"/>
      <c r="K301" s="900"/>
      <c r="L301" s="900"/>
    </row>
    <row r="302" spans="1:12" x14ac:dyDescent="0.4">
      <c r="A302" s="900"/>
      <c r="B302" s="900"/>
      <c r="C302" s="900"/>
      <c r="D302" s="900"/>
      <c r="E302" s="900"/>
      <c r="F302" s="900"/>
      <c r="G302" s="900"/>
      <c r="H302" s="900"/>
      <c r="I302" s="900"/>
      <c r="J302" s="900"/>
      <c r="K302" s="900"/>
      <c r="L302" s="900"/>
    </row>
    <row r="303" spans="1:12" x14ac:dyDescent="0.4">
      <c r="A303" s="900"/>
      <c r="B303" s="900"/>
      <c r="C303" s="900"/>
      <c r="D303" s="900"/>
      <c r="E303" s="900"/>
      <c r="F303" s="900"/>
      <c r="G303" s="900"/>
      <c r="H303" s="900"/>
      <c r="I303" s="900"/>
      <c r="J303" s="900"/>
      <c r="K303" s="900"/>
      <c r="L303" s="900"/>
    </row>
    <row r="304" spans="1:12" x14ac:dyDescent="0.4">
      <c r="A304" s="900"/>
      <c r="B304" s="900"/>
      <c r="C304" s="900"/>
      <c r="D304" s="900"/>
      <c r="E304" s="900"/>
      <c r="F304" s="900"/>
      <c r="G304" s="900"/>
      <c r="H304" s="900"/>
      <c r="I304" s="900"/>
      <c r="J304" s="900"/>
      <c r="K304" s="900"/>
      <c r="L304" s="900"/>
    </row>
    <row r="305" spans="1:12" x14ac:dyDescent="0.4">
      <c r="A305" s="900"/>
      <c r="B305" s="900"/>
      <c r="C305" s="900"/>
      <c r="D305" s="900"/>
      <c r="E305" s="900"/>
      <c r="F305" s="900"/>
      <c r="G305" s="900"/>
      <c r="H305" s="900"/>
      <c r="I305" s="900"/>
      <c r="J305" s="900"/>
      <c r="K305" s="900"/>
      <c r="L305" s="900"/>
    </row>
    <row r="306" spans="1:12" x14ac:dyDescent="0.4">
      <c r="A306" s="900"/>
      <c r="B306" s="900"/>
      <c r="C306" s="900"/>
      <c r="D306" s="900"/>
      <c r="E306" s="900"/>
      <c r="F306" s="900"/>
      <c r="G306" s="900"/>
      <c r="H306" s="900"/>
      <c r="I306" s="900"/>
      <c r="J306" s="900"/>
      <c r="K306" s="900"/>
      <c r="L306" s="900"/>
    </row>
    <row r="307" spans="1:12" x14ac:dyDescent="0.4">
      <c r="A307" s="900"/>
      <c r="B307" s="900"/>
      <c r="C307" s="900"/>
      <c r="D307" s="900"/>
      <c r="E307" s="900"/>
      <c r="F307" s="900"/>
      <c r="G307" s="900"/>
      <c r="H307" s="900"/>
      <c r="I307" s="900"/>
      <c r="J307" s="900"/>
      <c r="K307" s="900"/>
      <c r="L307" s="900"/>
    </row>
    <row r="308" spans="1:12" x14ac:dyDescent="0.4">
      <c r="A308" s="900"/>
      <c r="B308" s="900"/>
      <c r="C308" s="900"/>
      <c r="D308" s="900"/>
      <c r="E308" s="900"/>
      <c r="F308" s="900"/>
      <c r="G308" s="900"/>
      <c r="H308" s="900"/>
      <c r="I308" s="900"/>
      <c r="J308" s="900"/>
      <c r="K308" s="900"/>
      <c r="L308" s="900"/>
    </row>
    <row r="309" spans="1:12" x14ac:dyDescent="0.4">
      <c r="A309" s="900"/>
      <c r="B309" s="900"/>
      <c r="C309" s="900"/>
      <c r="D309" s="900"/>
      <c r="E309" s="900"/>
      <c r="F309" s="900"/>
      <c r="G309" s="900"/>
      <c r="H309" s="900"/>
      <c r="I309" s="900"/>
      <c r="J309" s="900"/>
      <c r="K309" s="900"/>
      <c r="L309" s="900"/>
    </row>
    <row r="310" spans="1:12" x14ac:dyDescent="0.4">
      <c r="A310" s="900"/>
      <c r="B310" s="900"/>
      <c r="C310" s="900"/>
      <c r="D310" s="900"/>
      <c r="E310" s="900"/>
      <c r="F310" s="900"/>
      <c r="G310" s="900"/>
      <c r="H310" s="900"/>
      <c r="I310" s="900"/>
      <c r="J310" s="900"/>
      <c r="K310" s="900"/>
      <c r="L310" s="900"/>
    </row>
    <row r="311" spans="1:12" x14ac:dyDescent="0.4">
      <c r="A311" s="900"/>
      <c r="B311" s="900"/>
      <c r="C311" s="900"/>
      <c r="D311" s="900"/>
      <c r="E311" s="900"/>
      <c r="F311" s="900"/>
      <c r="G311" s="900"/>
      <c r="H311" s="900"/>
      <c r="I311" s="900"/>
      <c r="J311" s="900"/>
      <c r="K311" s="900"/>
      <c r="L311" s="900"/>
    </row>
    <row r="312" spans="1:12" x14ac:dyDescent="0.4">
      <c r="A312" s="900"/>
      <c r="B312" s="900"/>
      <c r="C312" s="900"/>
      <c r="D312" s="900"/>
      <c r="E312" s="900"/>
      <c r="F312" s="900"/>
      <c r="G312" s="900"/>
      <c r="H312" s="900"/>
      <c r="I312" s="900"/>
      <c r="J312" s="900"/>
      <c r="K312" s="900"/>
      <c r="L312" s="900"/>
    </row>
    <row r="313" spans="1:12" x14ac:dyDescent="0.4">
      <c r="A313" s="900"/>
      <c r="B313" s="900"/>
      <c r="C313" s="900"/>
      <c r="D313" s="900"/>
      <c r="E313" s="900"/>
      <c r="F313" s="900"/>
      <c r="G313" s="900"/>
      <c r="H313" s="900"/>
      <c r="I313" s="900"/>
      <c r="J313" s="900"/>
      <c r="K313" s="900"/>
      <c r="L313" s="900"/>
    </row>
    <row r="314" spans="1:12" x14ac:dyDescent="0.4">
      <c r="A314" s="900"/>
      <c r="B314" s="900"/>
      <c r="C314" s="900"/>
      <c r="D314" s="900"/>
      <c r="E314" s="900"/>
      <c r="F314" s="900"/>
      <c r="G314" s="900"/>
      <c r="H314" s="900"/>
      <c r="I314" s="900"/>
      <c r="J314" s="900"/>
      <c r="K314" s="900"/>
      <c r="L314" s="900"/>
    </row>
    <row r="315" spans="1:12" x14ac:dyDescent="0.4">
      <c r="A315" s="900"/>
      <c r="B315" s="900"/>
      <c r="C315" s="900"/>
      <c r="D315" s="900"/>
      <c r="E315" s="900"/>
      <c r="F315" s="900"/>
      <c r="G315" s="900"/>
      <c r="H315" s="900"/>
      <c r="I315" s="900"/>
      <c r="J315" s="900"/>
      <c r="K315" s="900"/>
      <c r="L315" s="900"/>
    </row>
    <row r="316" spans="1:12" x14ac:dyDescent="0.4">
      <c r="A316" s="900"/>
      <c r="B316" s="900"/>
      <c r="C316" s="900"/>
      <c r="D316" s="900"/>
      <c r="E316" s="900"/>
      <c r="F316" s="900"/>
      <c r="G316" s="900"/>
      <c r="H316" s="900"/>
      <c r="I316" s="900"/>
      <c r="J316" s="900"/>
      <c r="K316" s="900"/>
      <c r="L316" s="900"/>
    </row>
    <row r="317" spans="1:12" x14ac:dyDescent="0.4">
      <c r="A317" s="900"/>
      <c r="B317" s="900"/>
      <c r="C317" s="900"/>
      <c r="D317" s="900"/>
      <c r="E317" s="900"/>
      <c r="F317" s="900"/>
      <c r="G317" s="900"/>
      <c r="H317" s="900"/>
      <c r="I317" s="900"/>
      <c r="J317" s="900"/>
      <c r="K317" s="900"/>
      <c r="L317" s="900"/>
    </row>
    <row r="318" spans="1:12" x14ac:dyDescent="0.4">
      <c r="A318" s="900"/>
      <c r="B318" s="900"/>
      <c r="C318" s="900"/>
      <c r="D318" s="900"/>
      <c r="E318" s="900"/>
      <c r="F318" s="900"/>
      <c r="G318" s="900"/>
      <c r="H318" s="900"/>
      <c r="I318" s="900"/>
      <c r="J318" s="900"/>
      <c r="K318" s="900"/>
      <c r="L318" s="900"/>
    </row>
    <row r="319" spans="1:12" x14ac:dyDescent="0.4">
      <c r="A319" s="900"/>
      <c r="B319" s="900"/>
      <c r="C319" s="900"/>
      <c r="D319" s="900"/>
      <c r="E319" s="900"/>
      <c r="F319" s="900"/>
      <c r="G319" s="900"/>
      <c r="H319" s="900"/>
      <c r="I319" s="900"/>
      <c r="J319" s="900"/>
      <c r="K319" s="900"/>
      <c r="L319" s="900"/>
    </row>
    <row r="320" spans="1:12" x14ac:dyDescent="0.4">
      <c r="A320" s="900"/>
      <c r="B320" s="900"/>
      <c r="C320" s="900"/>
      <c r="D320" s="900"/>
      <c r="E320" s="900"/>
      <c r="F320" s="900"/>
      <c r="G320" s="900"/>
      <c r="H320" s="900"/>
      <c r="I320" s="900"/>
      <c r="J320" s="900"/>
      <c r="K320" s="900"/>
      <c r="L320" s="900"/>
    </row>
    <row r="321" spans="1:12" x14ac:dyDescent="0.4">
      <c r="A321" s="900"/>
      <c r="B321" s="900"/>
      <c r="C321" s="900"/>
      <c r="D321" s="900"/>
      <c r="E321" s="900"/>
      <c r="F321" s="900"/>
      <c r="G321" s="900"/>
      <c r="H321" s="900"/>
      <c r="I321" s="900"/>
      <c r="J321" s="900"/>
      <c r="K321" s="900"/>
      <c r="L321" s="900"/>
    </row>
    <row r="322" spans="1:12" x14ac:dyDescent="0.4">
      <c r="A322" s="900"/>
      <c r="B322" s="900"/>
      <c r="C322" s="900"/>
      <c r="D322" s="900"/>
      <c r="E322" s="900"/>
      <c r="F322" s="900"/>
      <c r="G322" s="900"/>
      <c r="H322" s="900"/>
      <c r="I322" s="900"/>
      <c r="J322" s="900"/>
      <c r="K322" s="900"/>
      <c r="L322" s="900"/>
    </row>
    <row r="323" spans="1:12" x14ac:dyDescent="0.4">
      <c r="A323" s="900"/>
      <c r="B323" s="900"/>
      <c r="C323" s="900"/>
      <c r="D323" s="900"/>
      <c r="E323" s="900"/>
      <c r="F323" s="900"/>
      <c r="G323" s="900"/>
      <c r="H323" s="900"/>
      <c r="I323" s="900"/>
      <c r="J323" s="900"/>
      <c r="K323" s="900"/>
      <c r="L323" s="900"/>
    </row>
    <row r="324" spans="1:12" x14ac:dyDescent="0.4">
      <c r="A324" s="900"/>
      <c r="B324" s="900"/>
      <c r="C324" s="900"/>
      <c r="D324" s="900"/>
      <c r="E324" s="900"/>
      <c r="F324" s="900"/>
      <c r="G324" s="900"/>
      <c r="H324" s="900"/>
      <c r="I324" s="900"/>
      <c r="J324" s="900"/>
      <c r="K324" s="900"/>
      <c r="L324" s="900"/>
    </row>
    <row r="325" spans="1:12" x14ac:dyDescent="0.4">
      <c r="A325" s="900"/>
      <c r="B325" s="900"/>
      <c r="C325" s="900"/>
      <c r="D325" s="900"/>
      <c r="E325" s="900"/>
      <c r="F325" s="900"/>
      <c r="G325" s="900"/>
      <c r="H325" s="900"/>
      <c r="I325" s="900"/>
      <c r="J325" s="900"/>
      <c r="K325" s="900"/>
      <c r="L325" s="900"/>
    </row>
    <row r="326" spans="1:12" x14ac:dyDescent="0.4">
      <c r="A326" s="900"/>
      <c r="B326" s="900"/>
      <c r="C326" s="900"/>
      <c r="D326" s="900"/>
      <c r="E326" s="900"/>
      <c r="F326" s="900"/>
      <c r="G326" s="900"/>
      <c r="H326" s="900"/>
      <c r="I326" s="900"/>
      <c r="J326" s="900"/>
      <c r="K326" s="900"/>
      <c r="L326" s="900"/>
    </row>
    <row r="327" spans="1:12" x14ac:dyDescent="0.4">
      <c r="A327" s="900"/>
      <c r="B327" s="900"/>
      <c r="C327" s="900"/>
      <c r="D327" s="900"/>
      <c r="E327" s="900"/>
      <c r="F327" s="900"/>
      <c r="G327" s="900"/>
      <c r="H327" s="900"/>
      <c r="I327" s="900"/>
      <c r="J327" s="900"/>
      <c r="K327" s="900"/>
      <c r="L327" s="900"/>
    </row>
    <row r="328" spans="1:12" x14ac:dyDescent="0.4">
      <c r="A328" s="900"/>
      <c r="B328" s="900"/>
      <c r="C328" s="900"/>
      <c r="D328" s="900"/>
      <c r="E328" s="900"/>
      <c r="F328" s="900"/>
      <c r="G328" s="900"/>
      <c r="H328" s="900"/>
      <c r="I328" s="900"/>
      <c r="J328" s="900"/>
      <c r="K328" s="900"/>
      <c r="L328" s="900"/>
    </row>
    <row r="329" spans="1:12" x14ac:dyDescent="0.4">
      <c r="A329" s="900"/>
      <c r="B329" s="900"/>
      <c r="C329" s="900"/>
      <c r="D329" s="900"/>
      <c r="E329" s="900"/>
      <c r="F329" s="900"/>
      <c r="G329" s="900"/>
      <c r="H329" s="900"/>
      <c r="I329" s="900"/>
      <c r="J329" s="900"/>
      <c r="K329" s="900"/>
      <c r="L329" s="900"/>
    </row>
    <row r="330" spans="1:12" x14ac:dyDescent="0.4">
      <c r="A330" s="900"/>
      <c r="B330" s="900"/>
      <c r="C330" s="900"/>
      <c r="D330" s="900"/>
      <c r="E330" s="900"/>
      <c r="F330" s="900"/>
      <c r="G330" s="900"/>
      <c r="H330" s="900"/>
      <c r="I330" s="900"/>
      <c r="J330" s="900"/>
      <c r="K330" s="900"/>
      <c r="L330" s="900"/>
    </row>
    <row r="331" spans="1:12" x14ac:dyDescent="0.4">
      <c r="A331" s="900"/>
      <c r="B331" s="900"/>
      <c r="C331" s="900"/>
      <c r="D331" s="900"/>
      <c r="E331" s="900"/>
      <c r="F331" s="900"/>
      <c r="G331" s="900"/>
      <c r="H331" s="900"/>
      <c r="I331" s="900"/>
      <c r="J331" s="900"/>
      <c r="K331" s="900"/>
      <c r="L331" s="900"/>
    </row>
    <row r="332" spans="1:12" x14ac:dyDescent="0.4">
      <c r="A332" s="900"/>
      <c r="B332" s="900"/>
      <c r="C332" s="900"/>
      <c r="D332" s="900"/>
      <c r="E332" s="900"/>
      <c r="F332" s="900"/>
      <c r="G332" s="900"/>
      <c r="H332" s="900"/>
      <c r="I332" s="900"/>
      <c r="J332" s="900"/>
      <c r="K332" s="900"/>
      <c r="L332" s="900"/>
    </row>
    <row r="333" spans="1:12" x14ac:dyDescent="0.4">
      <c r="A333" s="900"/>
      <c r="B333" s="900"/>
      <c r="C333" s="900"/>
      <c r="D333" s="900"/>
      <c r="E333" s="900"/>
      <c r="F333" s="900"/>
      <c r="G333" s="900"/>
      <c r="H333" s="900"/>
      <c r="I333" s="900"/>
      <c r="J333" s="900"/>
      <c r="K333" s="900"/>
      <c r="L333" s="900"/>
    </row>
    <row r="334" spans="1:12" x14ac:dyDescent="0.4">
      <c r="A334" s="900"/>
      <c r="B334" s="900"/>
      <c r="C334" s="900"/>
      <c r="D334" s="900"/>
      <c r="E334" s="900"/>
      <c r="F334" s="900"/>
      <c r="G334" s="900"/>
      <c r="H334" s="900"/>
      <c r="I334" s="900"/>
      <c r="J334" s="900"/>
      <c r="K334" s="900"/>
      <c r="L334" s="900"/>
    </row>
    <row r="335" spans="1:12" x14ac:dyDescent="0.4">
      <c r="A335" s="900"/>
      <c r="B335" s="900"/>
      <c r="C335" s="900"/>
      <c r="D335" s="900"/>
      <c r="E335" s="900"/>
      <c r="F335" s="900"/>
      <c r="G335" s="900"/>
      <c r="H335" s="900"/>
      <c r="I335" s="900"/>
      <c r="J335" s="900"/>
      <c r="K335" s="900"/>
      <c r="L335" s="900"/>
    </row>
    <row r="336" spans="1:12" x14ac:dyDescent="0.4">
      <c r="A336" s="900"/>
      <c r="B336" s="900"/>
      <c r="C336" s="900"/>
      <c r="D336" s="900"/>
      <c r="E336" s="900"/>
      <c r="F336" s="900"/>
      <c r="G336" s="900"/>
      <c r="H336" s="900"/>
      <c r="I336" s="900"/>
      <c r="J336" s="900"/>
      <c r="K336" s="900"/>
      <c r="L336" s="900"/>
    </row>
    <row r="337" spans="1:12" x14ac:dyDescent="0.4">
      <c r="A337" s="900"/>
      <c r="B337" s="900"/>
      <c r="C337" s="900"/>
      <c r="D337" s="900"/>
      <c r="E337" s="900"/>
      <c r="F337" s="900"/>
      <c r="G337" s="900"/>
      <c r="H337" s="900"/>
      <c r="I337" s="900"/>
      <c r="J337" s="900"/>
      <c r="K337" s="900"/>
      <c r="L337" s="900"/>
    </row>
    <row r="338" spans="1:12" x14ac:dyDescent="0.4">
      <c r="A338" s="900"/>
      <c r="B338" s="900"/>
      <c r="C338" s="900"/>
      <c r="D338" s="900"/>
      <c r="E338" s="900"/>
      <c r="F338" s="900"/>
      <c r="G338" s="900"/>
      <c r="H338" s="900"/>
      <c r="I338" s="900"/>
      <c r="J338" s="900"/>
      <c r="K338" s="900"/>
      <c r="L338" s="900"/>
    </row>
    <row r="339" spans="1:12" x14ac:dyDescent="0.4">
      <c r="A339" s="900"/>
      <c r="B339" s="900"/>
      <c r="C339" s="900"/>
      <c r="D339" s="900"/>
      <c r="E339" s="900"/>
      <c r="F339" s="900"/>
      <c r="G339" s="900"/>
      <c r="H339" s="900"/>
      <c r="I339" s="900"/>
      <c r="J339" s="900"/>
      <c r="K339" s="900"/>
      <c r="L339" s="900"/>
    </row>
    <row r="340" spans="1:12" x14ac:dyDescent="0.4">
      <c r="A340" s="900"/>
      <c r="B340" s="900"/>
      <c r="C340" s="900"/>
      <c r="D340" s="900"/>
      <c r="E340" s="900"/>
      <c r="F340" s="900"/>
      <c r="G340" s="900"/>
      <c r="H340" s="900"/>
      <c r="I340" s="900"/>
      <c r="J340" s="900"/>
      <c r="K340" s="900"/>
      <c r="L340" s="900"/>
    </row>
    <row r="341" spans="1:12" x14ac:dyDescent="0.4">
      <c r="A341" s="900"/>
      <c r="B341" s="900"/>
      <c r="C341" s="900"/>
      <c r="D341" s="900"/>
      <c r="E341" s="900"/>
      <c r="F341" s="900"/>
      <c r="G341" s="900"/>
      <c r="H341" s="900"/>
      <c r="I341" s="900"/>
      <c r="J341" s="900"/>
      <c r="K341" s="900"/>
      <c r="L341" s="900"/>
    </row>
    <row r="342" spans="1:12" x14ac:dyDescent="0.4">
      <c r="A342" s="900"/>
      <c r="B342" s="900"/>
      <c r="C342" s="900"/>
      <c r="D342" s="900"/>
      <c r="E342" s="900"/>
      <c r="F342" s="900"/>
      <c r="G342" s="900"/>
      <c r="H342" s="900"/>
      <c r="I342" s="900"/>
      <c r="J342" s="900"/>
      <c r="K342" s="900"/>
      <c r="L342" s="900"/>
    </row>
    <row r="343" spans="1:12" x14ac:dyDescent="0.4">
      <c r="A343" s="900"/>
      <c r="B343" s="900"/>
      <c r="C343" s="900"/>
      <c r="D343" s="900"/>
      <c r="E343" s="900"/>
      <c r="F343" s="900"/>
      <c r="G343" s="900"/>
      <c r="H343" s="900"/>
      <c r="I343" s="900"/>
      <c r="J343" s="900"/>
      <c r="K343" s="900"/>
      <c r="L343" s="900"/>
    </row>
    <row r="344" spans="1:12" x14ac:dyDescent="0.4">
      <c r="A344" s="900"/>
      <c r="B344" s="900"/>
      <c r="C344" s="900"/>
      <c r="D344" s="900"/>
      <c r="E344" s="900"/>
      <c r="F344" s="900"/>
      <c r="G344" s="900"/>
      <c r="H344" s="900"/>
      <c r="I344" s="900"/>
      <c r="J344" s="900"/>
      <c r="K344" s="900"/>
      <c r="L344" s="900"/>
    </row>
    <row r="345" spans="1:12" x14ac:dyDescent="0.4">
      <c r="A345" s="900"/>
      <c r="B345" s="900"/>
      <c r="C345" s="900"/>
      <c r="D345" s="900"/>
      <c r="E345" s="900"/>
      <c r="F345" s="900"/>
      <c r="G345" s="900"/>
      <c r="H345" s="900"/>
      <c r="I345" s="900"/>
      <c r="J345" s="900"/>
      <c r="K345" s="900"/>
      <c r="L345" s="900"/>
    </row>
    <row r="346" spans="1:12" x14ac:dyDescent="0.4">
      <c r="A346" s="900"/>
      <c r="B346" s="900"/>
      <c r="C346" s="900"/>
      <c r="D346" s="900"/>
      <c r="E346" s="900"/>
      <c r="F346" s="900"/>
      <c r="G346" s="900"/>
      <c r="H346" s="900"/>
      <c r="I346" s="900"/>
      <c r="J346" s="900"/>
      <c r="K346" s="900"/>
      <c r="L346" s="900"/>
    </row>
    <row r="347" spans="1:12" x14ac:dyDescent="0.4">
      <c r="A347" s="900"/>
      <c r="B347" s="900"/>
      <c r="C347" s="900"/>
      <c r="D347" s="900"/>
      <c r="E347" s="900"/>
      <c r="F347" s="900"/>
      <c r="G347" s="900"/>
      <c r="H347" s="900"/>
      <c r="I347" s="900"/>
      <c r="J347" s="900"/>
      <c r="K347" s="900"/>
      <c r="L347" s="900"/>
    </row>
    <row r="348" spans="1:12" x14ac:dyDescent="0.4">
      <c r="A348" s="900"/>
      <c r="B348" s="900"/>
      <c r="C348" s="900"/>
      <c r="D348" s="900"/>
      <c r="E348" s="900"/>
      <c r="F348" s="900"/>
      <c r="G348" s="900"/>
      <c r="H348" s="900"/>
      <c r="I348" s="900"/>
      <c r="J348" s="900"/>
      <c r="K348" s="900"/>
      <c r="L348" s="900"/>
    </row>
    <row r="349" spans="1:12" x14ac:dyDescent="0.4">
      <c r="A349" s="900"/>
      <c r="B349" s="900"/>
      <c r="C349" s="900"/>
      <c r="D349" s="900"/>
      <c r="E349" s="900"/>
      <c r="F349" s="900"/>
      <c r="G349" s="900"/>
      <c r="H349" s="900"/>
      <c r="I349" s="900"/>
      <c r="J349" s="900"/>
      <c r="K349" s="900"/>
      <c r="L349" s="900"/>
    </row>
    <row r="350" spans="1:12" x14ac:dyDescent="0.4">
      <c r="A350" s="900"/>
      <c r="B350" s="900"/>
      <c r="C350" s="900"/>
      <c r="D350" s="900"/>
      <c r="E350" s="900"/>
      <c r="F350" s="900"/>
      <c r="G350" s="900"/>
      <c r="H350" s="900"/>
      <c r="I350" s="900"/>
      <c r="J350" s="900"/>
      <c r="K350" s="900"/>
      <c r="L350" s="900"/>
    </row>
    <row r="351" spans="1:12" x14ac:dyDescent="0.4">
      <c r="A351" s="900"/>
      <c r="B351" s="900"/>
      <c r="C351" s="900"/>
      <c r="D351" s="900"/>
      <c r="E351" s="900"/>
      <c r="F351" s="900"/>
      <c r="G351" s="900"/>
      <c r="H351" s="900"/>
      <c r="I351" s="900"/>
      <c r="J351" s="900"/>
      <c r="K351" s="900"/>
      <c r="L351" s="900"/>
    </row>
    <row r="352" spans="1:12" x14ac:dyDescent="0.4">
      <c r="A352" s="900"/>
      <c r="B352" s="900"/>
      <c r="C352" s="900"/>
      <c r="D352" s="900"/>
      <c r="E352" s="900"/>
      <c r="F352" s="900"/>
      <c r="G352" s="900"/>
      <c r="H352" s="900"/>
      <c r="I352" s="900"/>
      <c r="J352" s="900"/>
      <c r="K352" s="900"/>
      <c r="L352" s="900"/>
    </row>
    <row r="353" spans="1:12" x14ac:dyDescent="0.4">
      <c r="A353" s="900"/>
      <c r="B353" s="900"/>
      <c r="C353" s="900"/>
      <c r="D353" s="900"/>
      <c r="E353" s="900"/>
      <c r="F353" s="900"/>
      <c r="G353" s="900"/>
      <c r="H353" s="900"/>
      <c r="I353" s="900"/>
      <c r="J353" s="900"/>
      <c r="K353" s="900"/>
      <c r="L353" s="900"/>
    </row>
    <row r="354" spans="1:12" x14ac:dyDescent="0.4">
      <c r="A354" s="900"/>
      <c r="B354" s="900"/>
      <c r="C354" s="900"/>
      <c r="D354" s="900"/>
      <c r="E354" s="900"/>
      <c r="F354" s="900"/>
      <c r="G354" s="900"/>
      <c r="H354" s="900"/>
      <c r="I354" s="900"/>
      <c r="J354" s="900"/>
      <c r="K354" s="900"/>
      <c r="L354" s="900"/>
    </row>
    <row r="355" spans="1:12" x14ac:dyDescent="0.4">
      <c r="A355" s="900"/>
      <c r="B355" s="900"/>
      <c r="C355" s="900"/>
      <c r="D355" s="900"/>
      <c r="E355" s="900"/>
      <c r="F355" s="900"/>
      <c r="G355" s="900"/>
      <c r="H355" s="900"/>
      <c r="I355" s="900"/>
      <c r="J355" s="900"/>
      <c r="K355" s="900"/>
      <c r="L355" s="900"/>
    </row>
    <row r="356" spans="1:12" x14ac:dyDescent="0.4">
      <c r="A356" s="900"/>
      <c r="B356" s="900"/>
      <c r="C356" s="900"/>
      <c r="D356" s="900"/>
      <c r="E356" s="900"/>
      <c r="F356" s="900"/>
      <c r="G356" s="900"/>
      <c r="H356" s="900"/>
      <c r="I356" s="900"/>
      <c r="J356" s="900"/>
      <c r="K356" s="900"/>
      <c r="L356" s="900"/>
    </row>
    <row r="357" spans="1:12" x14ac:dyDescent="0.4">
      <c r="A357" s="900"/>
      <c r="B357" s="900"/>
      <c r="C357" s="900"/>
      <c r="D357" s="900"/>
      <c r="E357" s="900"/>
      <c r="F357" s="900"/>
      <c r="G357" s="900"/>
      <c r="H357" s="900"/>
      <c r="I357" s="900"/>
      <c r="J357" s="900"/>
      <c r="K357" s="900"/>
      <c r="L357" s="900"/>
    </row>
    <row r="358" spans="1:12" x14ac:dyDescent="0.4">
      <c r="A358" s="900"/>
      <c r="B358" s="900"/>
      <c r="C358" s="900"/>
      <c r="D358" s="900"/>
      <c r="E358" s="900"/>
      <c r="F358" s="900"/>
      <c r="G358" s="900"/>
      <c r="H358" s="900"/>
      <c r="I358" s="900"/>
      <c r="J358" s="900"/>
      <c r="K358" s="900"/>
      <c r="L358" s="900"/>
    </row>
    <row r="359" spans="1:12" x14ac:dyDescent="0.4">
      <c r="A359" s="900"/>
      <c r="B359" s="900"/>
      <c r="C359" s="900"/>
      <c r="D359" s="900"/>
      <c r="E359" s="900"/>
      <c r="F359" s="900"/>
      <c r="G359" s="900"/>
      <c r="H359" s="900"/>
      <c r="I359" s="900"/>
      <c r="J359" s="900"/>
      <c r="K359" s="900"/>
      <c r="L359" s="900"/>
    </row>
    <row r="360" spans="1:12" x14ac:dyDescent="0.4">
      <c r="A360" s="900"/>
      <c r="B360" s="900"/>
      <c r="C360" s="900"/>
      <c r="D360" s="900"/>
      <c r="E360" s="900"/>
      <c r="F360" s="900"/>
      <c r="G360" s="900"/>
      <c r="H360" s="900"/>
      <c r="I360" s="900"/>
      <c r="J360" s="900"/>
      <c r="K360" s="900"/>
      <c r="L360" s="900"/>
    </row>
    <row r="361" spans="1:12" x14ac:dyDescent="0.4">
      <c r="A361" s="900"/>
      <c r="B361" s="900"/>
      <c r="C361" s="900"/>
      <c r="D361" s="900"/>
      <c r="E361" s="900"/>
      <c r="F361" s="900"/>
      <c r="G361" s="900"/>
      <c r="H361" s="900"/>
      <c r="I361" s="900"/>
      <c r="J361" s="900"/>
      <c r="K361" s="900"/>
      <c r="L361" s="900"/>
    </row>
    <row r="362" spans="1:12" x14ac:dyDescent="0.4">
      <c r="A362" s="900"/>
      <c r="B362" s="900"/>
      <c r="C362" s="900"/>
      <c r="D362" s="900"/>
      <c r="E362" s="900"/>
      <c r="F362" s="900"/>
      <c r="G362" s="900"/>
      <c r="H362" s="900"/>
      <c r="I362" s="900"/>
      <c r="J362" s="900"/>
      <c r="K362" s="900"/>
      <c r="L362" s="900"/>
    </row>
    <row r="363" spans="1:12" x14ac:dyDescent="0.4">
      <c r="A363" s="900"/>
      <c r="B363" s="900"/>
      <c r="C363" s="900"/>
      <c r="D363" s="900"/>
      <c r="E363" s="900"/>
      <c r="F363" s="900"/>
      <c r="G363" s="900"/>
      <c r="H363" s="900"/>
      <c r="I363" s="900"/>
      <c r="J363" s="900"/>
      <c r="K363" s="900"/>
      <c r="L363" s="900"/>
    </row>
    <row r="364" spans="1:12" x14ac:dyDescent="0.4">
      <c r="A364" s="900"/>
      <c r="B364" s="900"/>
      <c r="C364" s="900"/>
      <c r="D364" s="900"/>
      <c r="E364" s="900"/>
      <c r="F364" s="900"/>
      <c r="G364" s="900"/>
      <c r="H364" s="900"/>
      <c r="I364" s="900"/>
      <c r="J364" s="900"/>
      <c r="K364" s="900"/>
      <c r="L364" s="900"/>
    </row>
    <row r="365" spans="1:12" x14ac:dyDescent="0.4">
      <c r="A365" s="900"/>
      <c r="B365" s="900"/>
      <c r="C365" s="900"/>
      <c r="D365" s="900"/>
      <c r="E365" s="900"/>
      <c r="F365" s="900"/>
      <c r="G365" s="900"/>
      <c r="H365" s="900"/>
      <c r="I365" s="900"/>
      <c r="J365" s="900"/>
      <c r="K365" s="900"/>
      <c r="L365" s="900"/>
    </row>
    <row r="366" spans="1:12" x14ac:dyDescent="0.4">
      <c r="A366" s="900"/>
      <c r="B366" s="900"/>
      <c r="C366" s="900"/>
      <c r="D366" s="900"/>
      <c r="E366" s="900"/>
      <c r="F366" s="900"/>
      <c r="G366" s="900"/>
      <c r="H366" s="900"/>
      <c r="I366" s="900"/>
      <c r="J366" s="900"/>
      <c r="K366" s="900"/>
      <c r="L366" s="900"/>
    </row>
    <row r="367" spans="1:12" x14ac:dyDescent="0.4">
      <c r="A367" s="900"/>
      <c r="B367" s="900"/>
      <c r="C367" s="900"/>
      <c r="D367" s="900"/>
      <c r="E367" s="900"/>
      <c r="F367" s="900"/>
      <c r="G367" s="900"/>
      <c r="H367" s="900"/>
      <c r="I367" s="900"/>
      <c r="J367" s="900"/>
      <c r="K367" s="900"/>
      <c r="L367" s="900"/>
    </row>
    <row r="368" spans="1:12" x14ac:dyDescent="0.4">
      <c r="A368" s="900"/>
      <c r="B368" s="900"/>
      <c r="C368" s="900"/>
      <c r="D368" s="900"/>
      <c r="E368" s="900"/>
      <c r="F368" s="900"/>
      <c r="G368" s="900"/>
      <c r="H368" s="900"/>
      <c r="I368" s="900"/>
      <c r="J368" s="900"/>
      <c r="K368" s="900"/>
      <c r="L368" s="900"/>
    </row>
    <row r="369" spans="1:12" x14ac:dyDescent="0.4">
      <c r="A369" s="900"/>
      <c r="B369" s="900"/>
      <c r="C369" s="900"/>
      <c r="D369" s="900"/>
      <c r="E369" s="900"/>
      <c r="F369" s="900"/>
      <c r="G369" s="900"/>
      <c r="H369" s="900"/>
      <c r="I369" s="900"/>
      <c r="J369" s="900"/>
      <c r="K369" s="900"/>
      <c r="L369" s="900"/>
    </row>
    <row r="370" spans="1:12" x14ac:dyDescent="0.4">
      <c r="A370" s="900"/>
      <c r="B370" s="900"/>
      <c r="C370" s="900"/>
      <c r="D370" s="900"/>
      <c r="E370" s="900"/>
      <c r="F370" s="900"/>
      <c r="G370" s="900"/>
      <c r="H370" s="900"/>
      <c r="I370" s="900"/>
      <c r="J370" s="900"/>
      <c r="K370" s="900"/>
      <c r="L370" s="900"/>
    </row>
    <row r="371" spans="1:12" x14ac:dyDescent="0.4">
      <c r="A371" s="900"/>
      <c r="B371" s="900"/>
      <c r="C371" s="900"/>
      <c r="D371" s="900"/>
      <c r="E371" s="900"/>
      <c r="F371" s="900"/>
      <c r="G371" s="900"/>
      <c r="H371" s="900"/>
      <c r="I371" s="900"/>
      <c r="J371" s="900"/>
      <c r="K371" s="900"/>
      <c r="L371" s="900"/>
    </row>
    <row r="372" spans="1:12" x14ac:dyDescent="0.4">
      <c r="A372" s="900"/>
      <c r="B372" s="900"/>
      <c r="C372" s="900"/>
      <c r="D372" s="900"/>
      <c r="E372" s="900"/>
      <c r="F372" s="900"/>
      <c r="G372" s="900"/>
      <c r="H372" s="900"/>
      <c r="I372" s="900"/>
      <c r="J372" s="900"/>
      <c r="K372" s="900"/>
      <c r="L372" s="900"/>
    </row>
    <row r="373" spans="1:12" x14ac:dyDescent="0.4">
      <c r="A373" s="900"/>
      <c r="B373" s="900"/>
      <c r="C373" s="900"/>
      <c r="D373" s="900"/>
      <c r="E373" s="900"/>
      <c r="F373" s="900"/>
      <c r="G373" s="900"/>
      <c r="H373" s="900"/>
      <c r="I373" s="900"/>
      <c r="J373" s="900"/>
      <c r="K373" s="900"/>
      <c r="L373" s="900"/>
    </row>
    <row r="374" spans="1:12" x14ac:dyDescent="0.4">
      <c r="A374" s="900"/>
      <c r="B374" s="900"/>
      <c r="C374" s="900"/>
      <c r="D374" s="900"/>
      <c r="E374" s="900"/>
      <c r="F374" s="900"/>
      <c r="G374" s="900"/>
      <c r="H374" s="900"/>
      <c r="I374" s="900"/>
      <c r="J374" s="900"/>
      <c r="K374" s="900"/>
      <c r="L374" s="900"/>
    </row>
    <row r="375" spans="1:12" x14ac:dyDescent="0.4">
      <c r="A375" s="900"/>
      <c r="B375" s="900"/>
      <c r="C375" s="900"/>
      <c r="D375" s="900"/>
      <c r="E375" s="900"/>
      <c r="F375" s="900"/>
      <c r="G375" s="900"/>
      <c r="H375" s="900"/>
      <c r="I375" s="900"/>
      <c r="J375" s="900"/>
      <c r="K375" s="900"/>
      <c r="L375" s="900"/>
    </row>
    <row r="376" spans="1:12" x14ac:dyDescent="0.4">
      <c r="A376" s="900"/>
      <c r="B376" s="900"/>
      <c r="C376" s="900"/>
      <c r="D376" s="900"/>
      <c r="E376" s="900"/>
      <c r="F376" s="900"/>
      <c r="G376" s="900"/>
      <c r="H376" s="900"/>
      <c r="I376" s="900"/>
      <c r="J376" s="900"/>
      <c r="K376" s="900"/>
      <c r="L376" s="900"/>
    </row>
    <row r="377" spans="1:12" x14ac:dyDescent="0.4">
      <c r="A377" s="900"/>
      <c r="B377" s="900"/>
      <c r="C377" s="900"/>
      <c r="D377" s="900"/>
      <c r="E377" s="900"/>
      <c r="F377" s="900"/>
      <c r="G377" s="900"/>
      <c r="H377" s="900"/>
      <c r="I377" s="900"/>
      <c r="J377" s="900"/>
      <c r="K377" s="900"/>
      <c r="L377" s="900"/>
    </row>
    <row r="378" spans="1:12" x14ac:dyDescent="0.4">
      <c r="A378" s="900"/>
      <c r="B378" s="900"/>
      <c r="C378" s="900"/>
      <c r="D378" s="900"/>
      <c r="E378" s="900"/>
      <c r="F378" s="900"/>
      <c r="G378" s="900"/>
      <c r="H378" s="900"/>
      <c r="I378" s="900"/>
      <c r="J378" s="900"/>
      <c r="K378" s="900"/>
      <c r="L378" s="900"/>
    </row>
    <row r="379" spans="1:12" x14ac:dyDescent="0.4">
      <c r="A379" s="900"/>
      <c r="B379" s="900"/>
      <c r="C379" s="900"/>
      <c r="D379" s="900"/>
      <c r="E379" s="900"/>
      <c r="F379" s="900"/>
      <c r="G379" s="900"/>
      <c r="H379" s="900"/>
      <c r="I379" s="900"/>
      <c r="J379" s="900"/>
      <c r="K379" s="900"/>
      <c r="L379" s="900"/>
    </row>
    <row r="380" spans="1:12" x14ac:dyDescent="0.4">
      <c r="A380" s="900"/>
      <c r="B380" s="900"/>
      <c r="C380" s="900"/>
      <c r="D380" s="900"/>
      <c r="E380" s="900"/>
      <c r="F380" s="900"/>
      <c r="G380" s="900"/>
      <c r="H380" s="900"/>
      <c r="I380" s="900"/>
      <c r="J380" s="900"/>
      <c r="K380" s="900"/>
      <c r="L380" s="900"/>
    </row>
    <row r="381" spans="1:12" x14ac:dyDescent="0.4">
      <c r="A381" s="900"/>
      <c r="B381" s="900"/>
      <c r="C381" s="900"/>
      <c r="D381" s="900"/>
      <c r="E381" s="900"/>
      <c r="F381" s="900"/>
      <c r="G381" s="900"/>
      <c r="H381" s="900"/>
      <c r="I381" s="900"/>
      <c r="J381" s="900"/>
      <c r="K381" s="900"/>
      <c r="L381" s="900"/>
    </row>
    <row r="382" spans="1:12" x14ac:dyDescent="0.4">
      <c r="A382" s="900"/>
      <c r="B382" s="900"/>
      <c r="C382" s="900"/>
      <c r="D382" s="900"/>
      <c r="E382" s="900"/>
      <c r="F382" s="900"/>
      <c r="G382" s="900"/>
      <c r="H382" s="900"/>
      <c r="I382" s="900"/>
      <c r="J382" s="900"/>
      <c r="K382" s="900"/>
      <c r="L382" s="900"/>
    </row>
    <row r="383" spans="1:12" x14ac:dyDescent="0.4">
      <c r="A383" s="900"/>
      <c r="B383" s="900"/>
      <c r="C383" s="900"/>
      <c r="D383" s="900"/>
      <c r="E383" s="900"/>
      <c r="F383" s="900"/>
      <c r="G383" s="900"/>
      <c r="H383" s="900"/>
      <c r="I383" s="900"/>
      <c r="J383" s="900"/>
      <c r="K383" s="900"/>
      <c r="L383" s="900"/>
    </row>
    <row r="384" spans="1:12" x14ac:dyDescent="0.4">
      <c r="A384" s="900"/>
      <c r="B384" s="900"/>
      <c r="C384" s="900"/>
      <c r="D384" s="900"/>
      <c r="E384" s="900"/>
      <c r="F384" s="900"/>
      <c r="G384" s="900"/>
      <c r="H384" s="900"/>
      <c r="I384" s="900"/>
      <c r="J384" s="900"/>
      <c r="K384" s="900"/>
      <c r="L384" s="900"/>
    </row>
    <row r="385" spans="1:12" x14ac:dyDescent="0.4">
      <c r="A385" s="900"/>
      <c r="B385" s="900"/>
      <c r="C385" s="900"/>
      <c r="D385" s="900"/>
      <c r="E385" s="900"/>
      <c r="F385" s="900"/>
      <c r="G385" s="900"/>
      <c r="H385" s="900"/>
      <c r="I385" s="900"/>
      <c r="J385" s="900"/>
      <c r="K385" s="900"/>
      <c r="L385" s="900"/>
    </row>
    <row r="386" spans="1:12" x14ac:dyDescent="0.4">
      <c r="A386" s="900"/>
      <c r="B386" s="900"/>
      <c r="C386" s="900"/>
      <c r="D386" s="900"/>
      <c r="E386" s="900"/>
      <c r="F386" s="900"/>
      <c r="G386" s="900"/>
      <c r="H386" s="900"/>
      <c r="I386" s="900"/>
      <c r="J386" s="900"/>
      <c r="K386" s="900"/>
      <c r="L386" s="900"/>
    </row>
    <row r="387" spans="1:12" x14ac:dyDescent="0.4">
      <c r="A387" s="900"/>
      <c r="B387" s="900"/>
      <c r="C387" s="900"/>
      <c r="D387" s="900"/>
      <c r="E387" s="900"/>
      <c r="F387" s="900"/>
      <c r="G387" s="900"/>
      <c r="H387" s="900"/>
      <c r="I387" s="900"/>
      <c r="J387" s="900"/>
      <c r="K387" s="900"/>
      <c r="L387" s="900"/>
    </row>
    <row r="388" spans="1:12" x14ac:dyDescent="0.4">
      <c r="A388" s="900"/>
      <c r="B388" s="900"/>
      <c r="C388" s="900"/>
      <c r="D388" s="900"/>
      <c r="E388" s="900"/>
      <c r="F388" s="900"/>
      <c r="G388" s="900"/>
      <c r="H388" s="900"/>
      <c r="I388" s="900"/>
      <c r="J388" s="900"/>
      <c r="K388" s="900"/>
      <c r="L388" s="900"/>
    </row>
    <row r="389" spans="1:12" x14ac:dyDescent="0.4">
      <c r="A389" s="900"/>
      <c r="B389" s="900"/>
      <c r="C389" s="900"/>
      <c r="D389" s="900"/>
      <c r="E389" s="900"/>
      <c r="F389" s="900"/>
      <c r="G389" s="900"/>
      <c r="H389" s="900"/>
      <c r="I389" s="900"/>
      <c r="J389" s="900"/>
      <c r="K389" s="900"/>
      <c r="L389" s="900"/>
    </row>
    <row r="390" spans="1:12" x14ac:dyDescent="0.4">
      <c r="A390" s="900"/>
      <c r="B390" s="900"/>
      <c r="C390" s="900"/>
      <c r="D390" s="900"/>
      <c r="E390" s="900"/>
      <c r="F390" s="900"/>
      <c r="G390" s="900"/>
      <c r="H390" s="900"/>
      <c r="I390" s="900"/>
      <c r="J390" s="900"/>
      <c r="K390" s="900"/>
      <c r="L390" s="900"/>
    </row>
    <row r="391" spans="1:12" x14ac:dyDescent="0.4">
      <c r="A391" s="900"/>
      <c r="B391" s="900"/>
      <c r="C391" s="900"/>
      <c r="D391" s="900"/>
      <c r="E391" s="900"/>
      <c r="F391" s="900"/>
      <c r="G391" s="900"/>
      <c r="H391" s="900"/>
      <c r="I391" s="900"/>
      <c r="J391" s="900"/>
      <c r="K391" s="900"/>
      <c r="L391" s="900"/>
    </row>
    <row r="392" spans="1:12" x14ac:dyDescent="0.4">
      <c r="A392" s="900"/>
      <c r="B392" s="900"/>
      <c r="C392" s="900"/>
      <c r="D392" s="900"/>
      <c r="E392" s="900"/>
      <c r="F392" s="900"/>
      <c r="G392" s="900"/>
      <c r="H392" s="900"/>
      <c r="I392" s="900"/>
      <c r="J392" s="900"/>
      <c r="K392" s="900"/>
      <c r="L392" s="900"/>
    </row>
    <row r="393" spans="1:12" x14ac:dyDescent="0.4">
      <c r="A393" s="900"/>
      <c r="B393" s="900"/>
      <c r="C393" s="900"/>
      <c r="D393" s="900"/>
      <c r="E393" s="900"/>
      <c r="F393" s="900"/>
      <c r="G393" s="900"/>
      <c r="H393" s="900"/>
      <c r="I393" s="900"/>
      <c r="J393" s="900"/>
      <c r="K393" s="900"/>
      <c r="L393" s="900"/>
    </row>
    <row r="394" spans="1:12" x14ac:dyDescent="0.4">
      <c r="A394" s="900"/>
      <c r="B394" s="900"/>
      <c r="C394" s="900"/>
      <c r="D394" s="900"/>
      <c r="E394" s="900"/>
      <c r="F394" s="900"/>
      <c r="G394" s="900"/>
      <c r="H394" s="900"/>
      <c r="I394" s="900"/>
      <c r="J394" s="900"/>
      <c r="K394" s="900"/>
      <c r="L394" s="900"/>
    </row>
    <row r="395" spans="1:12" x14ac:dyDescent="0.4">
      <c r="A395" s="900"/>
      <c r="B395" s="900"/>
      <c r="C395" s="900"/>
      <c r="D395" s="900"/>
      <c r="E395" s="900"/>
      <c r="F395" s="900"/>
      <c r="G395" s="900"/>
      <c r="H395" s="900"/>
      <c r="I395" s="900"/>
      <c r="J395" s="900"/>
      <c r="K395" s="900"/>
      <c r="L395" s="900"/>
    </row>
    <row r="396" spans="1:12" x14ac:dyDescent="0.4">
      <c r="A396" s="900"/>
      <c r="B396" s="900"/>
      <c r="C396" s="900"/>
      <c r="D396" s="900"/>
      <c r="E396" s="900"/>
      <c r="F396" s="900"/>
      <c r="G396" s="900"/>
      <c r="H396" s="900"/>
      <c r="I396" s="900"/>
      <c r="J396" s="900"/>
      <c r="K396" s="900"/>
      <c r="L396" s="900"/>
    </row>
    <row r="397" spans="1:12" x14ac:dyDescent="0.4">
      <c r="A397" s="900"/>
      <c r="B397" s="900"/>
      <c r="C397" s="900"/>
      <c r="D397" s="900"/>
      <c r="E397" s="900"/>
      <c r="F397" s="900"/>
      <c r="G397" s="900"/>
      <c r="H397" s="900"/>
      <c r="I397" s="900"/>
      <c r="J397" s="900"/>
      <c r="K397" s="900"/>
      <c r="L397" s="900"/>
    </row>
    <row r="398" spans="1:12" x14ac:dyDescent="0.4">
      <c r="A398" s="900"/>
      <c r="B398" s="900"/>
      <c r="C398" s="900"/>
      <c r="D398" s="900"/>
      <c r="E398" s="900"/>
      <c r="F398" s="900"/>
      <c r="G398" s="900"/>
      <c r="H398" s="900"/>
      <c r="I398" s="900"/>
      <c r="J398" s="900"/>
      <c r="K398" s="900"/>
      <c r="L398" s="900"/>
    </row>
    <row r="399" spans="1:12" x14ac:dyDescent="0.4">
      <c r="A399" s="900"/>
      <c r="B399" s="900"/>
      <c r="C399" s="900"/>
      <c r="D399" s="900"/>
      <c r="E399" s="900"/>
      <c r="F399" s="900"/>
      <c r="G399" s="900"/>
      <c r="H399" s="900"/>
      <c r="I399" s="900"/>
      <c r="J399" s="900"/>
      <c r="K399" s="900"/>
      <c r="L399" s="900"/>
    </row>
    <row r="400" spans="1:12" x14ac:dyDescent="0.4">
      <c r="A400" s="900"/>
      <c r="B400" s="900"/>
      <c r="C400" s="900"/>
      <c r="D400" s="900"/>
      <c r="E400" s="900"/>
      <c r="F400" s="900"/>
      <c r="G400" s="900"/>
      <c r="H400" s="900"/>
      <c r="I400" s="900"/>
      <c r="J400" s="900"/>
      <c r="K400" s="900"/>
      <c r="L400" s="900"/>
    </row>
    <row r="401" spans="1:12" x14ac:dyDescent="0.4">
      <c r="A401" s="900"/>
      <c r="B401" s="900"/>
      <c r="C401" s="900"/>
      <c r="D401" s="900"/>
      <c r="E401" s="900"/>
      <c r="F401" s="900"/>
      <c r="G401" s="900"/>
      <c r="H401" s="900"/>
      <c r="I401" s="900"/>
      <c r="J401" s="900"/>
      <c r="K401" s="900"/>
      <c r="L401" s="900"/>
    </row>
    <row r="402" spans="1:12" x14ac:dyDescent="0.4">
      <c r="A402" s="900"/>
      <c r="B402" s="900"/>
      <c r="C402" s="900"/>
      <c r="D402" s="900"/>
      <c r="E402" s="900"/>
      <c r="F402" s="900"/>
      <c r="G402" s="900"/>
      <c r="H402" s="900"/>
      <c r="I402" s="900"/>
      <c r="J402" s="900"/>
      <c r="K402" s="900"/>
      <c r="L402" s="900"/>
    </row>
    <row r="403" spans="1:12" x14ac:dyDescent="0.4">
      <c r="A403" s="900"/>
      <c r="B403" s="900"/>
      <c r="C403" s="900"/>
      <c r="D403" s="900"/>
      <c r="E403" s="900"/>
      <c r="F403" s="900"/>
      <c r="G403" s="900"/>
      <c r="H403" s="900"/>
      <c r="I403" s="900"/>
      <c r="J403" s="900"/>
      <c r="K403" s="900"/>
      <c r="L403" s="900"/>
    </row>
    <row r="404" spans="1:12" x14ac:dyDescent="0.4">
      <c r="A404" s="900"/>
      <c r="B404" s="900"/>
      <c r="C404" s="900"/>
      <c r="D404" s="900"/>
      <c r="E404" s="900"/>
      <c r="F404" s="900"/>
      <c r="G404" s="900"/>
      <c r="H404" s="900"/>
      <c r="I404" s="900"/>
      <c r="J404" s="900"/>
      <c r="K404" s="900"/>
      <c r="L404" s="900"/>
    </row>
  </sheetData>
  <sheetProtection algorithmName="SHA-512" hashValue="mFTBMIBbv3y6TALkU26QqwfGb0iJLtLZcdi/NSqLeu/if5sGN1v8OO58hescPcPxyofL4k4h+bS/h6FV9MSQlQ==" saltValue="/iGCpKHOHzb6vbIpYOmg4w==" spinCount="100000" sheet="1" objects="1" scenarios="1"/>
  <mergeCells count="1">
    <mergeCell ref="N218:AG219"/>
  </mergeCells>
  <pageMargins left="0.25" right="0.25" top="0.75" bottom="0.75" header="0.3" footer="0.3"/>
  <pageSetup paperSize="8" scale="20" orientation="landscape" r:id="rId1"/>
  <ignoredErrors>
    <ignoredError sqref="N158:N163" unlockedFormula="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3" tint="0.79998168889431442"/>
    <pageSetUpPr fitToPage="1"/>
  </sheetPr>
  <dimension ref="B2:AW114"/>
  <sheetViews>
    <sheetView topLeftCell="B1" zoomScale="80" zoomScaleNormal="80" zoomScaleSheetLayoutView="90" workbookViewId="0">
      <selection activeCell="J7" sqref="J7"/>
    </sheetView>
  </sheetViews>
  <sheetFormatPr defaultRowHeight="13.15" x14ac:dyDescent="0.4"/>
  <cols>
    <col min="1" max="1" width="2" style="754" customWidth="1"/>
    <col min="2" max="2" width="28" style="754" customWidth="1"/>
    <col min="3" max="20" width="9.73046875" style="754" customWidth="1"/>
    <col min="21" max="22" width="12.1328125" style="754" customWidth="1"/>
    <col min="23" max="23" width="13" style="754" customWidth="1"/>
    <col min="24" max="24" width="18" style="754" customWidth="1"/>
    <col min="25" max="25" width="6.1328125" style="754" customWidth="1"/>
    <col min="26" max="26" width="7.59765625" style="754" customWidth="1"/>
    <col min="27" max="27" width="10.265625" style="754" customWidth="1"/>
    <col min="28" max="256" width="9.1328125" style="754"/>
    <col min="257" max="257" width="2" style="754" customWidth="1"/>
    <col min="258" max="258" width="25.73046875" style="754" customWidth="1"/>
    <col min="259" max="276" width="9.73046875" style="754" customWidth="1"/>
    <col min="277" max="278" width="12.1328125" style="754" customWidth="1"/>
    <col min="279" max="279" width="8.73046875" style="754" customWidth="1"/>
    <col min="280" max="280" width="9" style="754" customWidth="1"/>
    <col min="281" max="281" width="6.1328125" style="754" customWidth="1"/>
    <col min="282" max="282" width="7.59765625" style="754" customWidth="1"/>
    <col min="283" max="283" width="10.265625" style="754" customWidth="1"/>
    <col min="284" max="512" width="9.1328125" style="754"/>
    <col min="513" max="513" width="2" style="754" customWidth="1"/>
    <col min="514" max="514" width="25.73046875" style="754" customWidth="1"/>
    <col min="515" max="532" width="9.73046875" style="754" customWidth="1"/>
    <col min="533" max="534" width="12.1328125" style="754" customWidth="1"/>
    <col min="535" max="535" width="8.73046875" style="754" customWidth="1"/>
    <col min="536" max="536" width="9" style="754" customWidth="1"/>
    <col min="537" max="537" width="6.1328125" style="754" customWidth="1"/>
    <col min="538" max="538" width="7.59765625" style="754" customWidth="1"/>
    <col min="539" max="539" width="10.265625" style="754" customWidth="1"/>
    <col min="540" max="768" width="9.1328125" style="754"/>
    <col min="769" max="769" width="2" style="754" customWidth="1"/>
    <col min="770" max="770" width="25.73046875" style="754" customWidth="1"/>
    <col min="771" max="788" width="9.73046875" style="754" customWidth="1"/>
    <col min="789" max="790" width="12.1328125" style="754" customWidth="1"/>
    <col min="791" max="791" width="8.73046875" style="754" customWidth="1"/>
    <col min="792" max="792" width="9" style="754" customWidth="1"/>
    <col min="793" max="793" width="6.1328125" style="754" customWidth="1"/>
    <col min="794" max="794" width="7.59765625" style="754" customWidth="1"/>
    <col min="795" max="795" width="10.265625" style="754" customWidth="1"/>
    <col min="796" max="1024" width="9.1328125" style="754"/>
    <col min="1025" max="1025" width="2" style="754" customWidth="1"/>
    <col min="1026" max="1026" width="25.73046875" style="754" customWidth="1"/>
    <col min="1027" max="1044" width="9.73046875" style="754" customWidth="1"/>
    <col min="1045" max="1046" width="12.1328125" style="754" customWidth="1"/>
    <col min="1047" max="1047" width="8.73046875" style="754" customWidth="1"/>
    <col min="1048" max="1048" width="9" style="754" customWidth="1"/>
    <col min="1049" max="1049" width="6.1328125" style="754" customWidth="1"/>
    <col min="1050" max="1050" width="7.59765625" style="754" customWidth="1"/>
    <col min="1051" max="1051" width="10.265625" style="754" customWidth="1"/>
    <col min="1052" max="1280" width="9.1328125" style="754"/>
    <col min="1281" max="1281" width="2" style="754" customWidth="1"/>
    <col min="1282" max="1282" width="25.73046875" style="754" customWidth="1"/>
    <col min="1283" max="1300" width="9.73046875" style="754" customWidth="1"/>
    <col min="1301" max="1302" width="12.1328125" style="754" customWidth="1"/>
    <col min="1303" max="1303" width="8.73046875" style="754" customWidth="1"/>
    <col min="1304" max="1304" width="9" style="754" customWidth="1"/>
    <col min="1305" max="1305" width="6.1328125" style="754" customWidth="1"/>
    <col min="1306" max="1306" width="7.59765625" style="754" customWidth="1"/>
    <col min="1307" max="1307" width="10.265625" style="754" customWidth="1"/>
    <col min="1308" max="1536" width="9.1328125" style="754"/>
    <col min="1537" max="1537" width="2" style="754" customWidth="1"/>
    <col min="1538" max="1538" width="25.73046875" style="754" customWidth="1"/>
    <col min="1539" max="1556" width="9.73046875" style="754" customWidth="1"/>
    <col min="1557" max="1558" width="12.1328125" style="754" customWidth="1"/>
    <col min="1559" max="1559" width="8.73046875" style="754" customWidth="1"/>
    <col min="1560" max="1560" width="9" style="754" customWidth="1"/>
    <col min="1561" max="1561" width="6.1328125" style="754" customWidth="1"/>
    <col min="1562" max="1562" width="7.59765625" style="754" customWidth="1"/>
    <col min="1563" max="1563" width="10.265625" style="754" customWidth="1"/>
    <col min="1564" max="1792" width="9.1328125" style="754"/>
    <col min="1793" max="1793" width="2" style="754" customWidth="1"/>
    <col min="1794" max="1794" width="25.73046875" style="754" customWidth="1"/>
    <col min="1795" max="1812" width="9.73046875" style="754" customWidth="1"/>
    <col min="1813" max="1814" width="12.1328125" style="754" customWidth="1"/>
    <col min="1815" max="1815" width="8.73046875" style="754" customWidth="1"/>
    <col min="1816" max="1816" width="9" style="754" customWidth="1"/>
    <col min="1817" max="1817" width="6.1328125" style="754" customWidth="1"/>
    <col min="1818" max="1818" width="7.59765625" style="754" customWidth="1"/>
    <col min="1819" max="1819" width="10.265625" style="754" customWidth="1"/>
    <col min="1820" max="2048" width="9.1328125" style="754"/>
    <col min="2049" max="2049" width="2" style="754" customWidth="1"/>
    <col min="2050" max="2050" width="25.73046875" style="754" customWidth="1"/>
    <col min="2051" max="2068" width="9.73046875" style="754" customWidth="1"/>
    <col min="2069" max="2070" width="12.1328125" style="754" customWidth="1"/>
    <col min="2071" max="2071" width="8.73046875" style="754" customWidth="1"/>
    <col min="2072" max="2072" width="9" style="754" customWidth="1"/>
    <col min="2073" max="2073" width="6.1328125" style="754" customWidth="1"/>
    <col min="2074" max="2074" width="7.59765625" style="754" customWidth="1"/>
    <col min="2075" max="2075" width="10.265625" style="754" customWidth="1"/>
    <col min="2076" max="2304" width="9.1328125" style="754"/>
    <col min="2305" max="2305" width="2" style="754" customWidth="1"/>
    <col min="2306" max="2306" width="25.73046875" style="754" customWidth="1"/>
    <col min="2307" max="2324" width="9.73046875" style="754" customWidth="1"/>
    <col min="2325" max="2326" width="12.1328125" style="754" customWidth="1"/>
    <col min="2327" max="2327" width="8.73046875" style="754" customWidth="1"/>
    <col min="2328" max="2328" width="9" style="754" customWidth="1"/>
    <col min="2329" max="2329" width="6.1328125" style="754" customWidth="1"/>
    <col min="2330" max="2330" width="7.59765625" style="754" customWidth="1"/>
    <col min="2331" max="2331" width="10.265625" style="754" customWidth="1"/>
    <col min="2332" max="2560" width="9.1328125" style="754"/>
    <col min="2561" max="2561" width="2" style="754" customWidth="1"/>
    <col min="2562" max="2562" width="25.73046875" style="754" customWidth="1"/>
    <col min="2563" max="2580" width="9.73046875" style="754" customWidth="1"/>
    <col min="2581" max="2582" width="12.1328125" style="754" customWidth="1"/>
    <col min="2583" max="2583" width="8.73046875" style="754" customWidth="1"/>
    <col min="2584" max="2584" width="9" style="754" customWidth="1"/>
    <col min="2585" max="2585" width="6.1328125" style="754" customWidth="1"/>
    <col min="2586" max="2586" width="7.59765625" style="754" customWidth="1"/>
    <col min="2587" max="2587" width="10.265625" style="754" customWidth="1"/>
    <col min="2588" max="2816" width="9.1328125" style="754"/>
    <col min="2817" max="2817" width="2" style="754" customWidth="1"/>
    <col min="2818" max="2818" width="25.73046875" style="754" customWidth="1"/>
    <col min="2819" max="2836" width="9.73046875" style="754" customWidth="1"/>
    <col min="2837" max="2838" width="12.1328125" style="754" customWidth="1"/>
    <col min="2839" max="2839" width="8.73046875" style="754" customWidth="1"/>
    <col min="2840" max="2840" width="9" style="754" customWidth="1"/>
    <col min="2841" max="2841" width="6.1328125" style="754" customWidth="1"/>
    <col min="2842" max="2842" width="7.59765625" style="754" customWidth="1"/>
    <col min="2843" max="2843" width="10.265625" style="754" customWidth="1"/>
    <col min="2844" max="3072" width="9.1328125" style="754"/>
    <col min="3073" max="3073" width="2" style="754" customWidth="1"/>
    <col min="3074" max="3074" width="25.73046875" style="754" customWidth="1"/>
    <col min="3075" max="3092" width="9.73046875" style="754" customWidth="1"/>
    <col min="3093" max="3094" width="12.1328125" style="754" customWidth="1"/>
    <col min="3095" max="3095" width="8.73046875" style="754" customWidth="1"/>
    <col min="3096" max="3096" width="9" style="754" customWidth="1"/>
    <col min="3097" max="3097" width="6.1328125" style="754" customWidth="1"/>
    <col min="3098" max="3098" width="7.59765625" style="754" customWidth="1"/>
    <col min="3099" max="3099" width="10.265625" style="754" customWidth="1"/>
    <col min="3100" max="3328" width="9.1328125" style="754"/>
    <col min="3329" max="3329" width="2" style="754" customWidth="1"/>
    <col min="3330" max="3330" width="25.73046875" style="754" customWidth="1"/>
    <col min="3331" max="3348" width="9.73046875" style="754" customWidth="1"/>
    <col min="3349" max="3350" width="12.1328125" style="754" customWidth="1"/>
    <col min="3351" max="3351" width="8.73046875" style="754" customWidth="1"/>
    <col min="3352" max="3352" width="9" style="754" customWidth="1"/>
    <col min="3353" max="3353" width="6.1328125" style="754" customWidth="1"/>
    <col min="3354" max="3354" width="7.59765625" style="754" customWidth="1"/>
    <col min="3355" max="3355" width="10.265625" style="754" customWidth="1"/>
    <col min="3356" max="3584" width="9.1328125" style="754"/>
    <col min="3585" max="3585" width="2" style="754" customWidth="1"/>
    <col min="3586" max="3586" width="25.73046875" style="754" customWidth="1"/>
    <col min="3587" max="3604" width="9.73046875" style="754" customWidth="1"/>
    <col min="3605" max="3606" width="12.1328125" style="754" customWidth="1"/>
    <col min="3607" max="3607" width="8.73046875" style="754" customWidth="1"/>
    <col min="3608" max="3608" width="9" style="754" customWidth="1"/>
    <col min="3609" max="3609" width="6.1328125" style="754" customWidth="1"/>
    <col min="3610" max="3610" width="7.59765625" style="754" customWidth="1"/>
    <col min="3611" max="3611" width="10.265625" style="754" customWidth="1"/>
    <col min="3612" max="3840" width="9.1328125" style="754"/>
    <col min="3841" max="3841" width="2" style="754" customWidth="1"/>
    <col min="3842" max="3842" width="25.73046875" style="754" customWidth="1"/>
    <col min="3843" max="3860" width="9.73046875" style="754" customWidth="1"/>
    <col min="3861" max="3862" width="12.1328125" style="754" customWidth="1"/>
    <col min="3863" max="3863" width="8.73046875" style="754" customWidth="1"/>
    <col min="3864" max="3864" width="9" style="754" customWidth="1"/>
    <col min="3865" max="3865" width="6.1328125" style="754" customWidth="1"/>
    <col min="3866" max="3866" width="7.59765625" style="754" customWidth="1"/>
    <col min="3867" max="3867" width="10.265625" style="754" customWidth="1"/>
    <col min="3868" max="4096" width="9.1328125" style="754"/>
    <col min="4097" max="4097" width="2" style="754" customWidth="1"/>
    <col min="4098" max="4098" width="25.73046875" style="754" customWidth="1"/>
    <col min="4099" max="4116" width="9.73046875" style="754" customWidth="1"/>
    <col min="4117" max="4118" width="12.1328125" style="754" customWidth="1"/>
    <col min="4119" max="4119" width="8.73046875" style="754" customWidth="1"/>
    <col min="4120" max="4120" width="9" style="754" customWidth="1"/>
    <col min="4121" max="4121" width="6.1328125" style="754" customWidth="1"/>
    <col min="4122" max="4122" width="7.59765625" style="754" customWidth="1"/>
    <col min="4123" max="4123" width="10.265625" style="754" customWidth="1"/>
    <col min="4124" max="4352" width="9.1328125" style="754"/>
    <col min="4353" max="4353" width="2" style="754" customWidth="1"/>
    <col min="4354" max="4354" width="25.73046875" style="754" customWidth="1"/>
    <col min="4355" max="4372" width="9.73046875" style="754" customWidth="1"/>
    <col min="4373" max="4374" width="12.1328125" style="754" customWidth="1"/>
    <col min="4375" max="4375" width="8.73046875" style="754" customWidth="1"/>
    <col min="4376" max="4376" width="9" style="754" customWidth="1"/>
    <col min="4377" max="4377" width="6.1328125" style="754" customWidth="1"/>
    <col min="4378" max="4378" width="7.59765625" style="754" customWidth="1"/>
    <col min="4379" max="4379" width="10.265625" style="754" customWidth="1"/>
    <col min="4380" max="4608" width="9.1328125" style="754"/>
    <col min="4609" max="4609" width="2" style="754" customWidth="1"/>
    <col min="4610" max="4610" width="25.73046875" style="754" customWidth="1"/>
    <col min="4611" max="4628" width="9.73046875" style="754" customWidth="1"/>
    <col min="4629" max="4630" width="12.1328125" style="754" customWidth="1"/>
    <col min="4631" max="4631" width="8.73046875" style="754" customWidth="1"/>
    <col min="4632" max="4632" width="9" style="754" customWidth="1"/>
    <col min="4633" max="4633" width="6.1328125" style="754" customWidth="1"/>
    <col min="4634" max="4634" width="7.59765625" style="754" customWidth="1"/>
    <col min="4635" max="4635" width="10.265625" style="754" customWidth="1"/>
    <col min="4636" max="4864" width="9.1328125" style="754"/>
    <col min="4865" max="4865" width="2" style="754" customWidth="1"/>
    <col min="4866" max="4866" width="25.73046875" style="754" customWidth="1"/>
    <col min="4867" max="4884" width="9.73046875" style="754" customWidth="1"/>
    <col min="4885" max="4886" width="12.1328125" style="754" customWidth="1"/>
    <col min="4887" max="4887" width="8.73046875" style="754" customWidth="1"/>
    <col min="4888" max="4888" width="9" style="754" customWidth="1"/>
    <col min="4889" max="4889" width="6.1328125" style="754" customWidth="1"/>
    <col min="4890" max="4890" width="7.59765625" style="754" customWidth="1"/>
    <col min="4891" max="4891" width="10.265625" style="754" customWidth="1"/>
    <col min="4892" max="5120" width="9.1328125" style="754"/>
    <col min="5121" max="5121" width="2" style="754" customWidth="1"/>
    <col min="5122" max="5122" width="25.73046875" style="754" customWidth="1"/>
    <col min="5123" max="5140" width="9.73046875" style="754" customWidth="1"/>
    <col min="5141" max="5142" width="12.1328125" style="754" customWidth="1"/>
    <col min="5143" max="5143" width="8.73046875" style="754" customWidth="1"/>
    <col min="5144" max="5144" width="9" style="754" customWidth="1"/>
    <col min="5145" max="5145" width="6.1328125" style="754" customWidth="1"/>
    <col min="5146" max="5146" width="7.59765625" style="754" customWidth="1"/>
    <col min="5147" max="5147" width="10.265625" style="754" customWidth="1"/>
    <col min="5148" max="5376" width="9.1328125" style="754"/>
    <col min="5377" max="5377" width="2" style="754" customWidth="1"/>
    <col min="5378" max="5378" width="25.73046875" style="754" customWidth="1"/>
    <col min="5379" max="5396" width="9.73046875" style="754" customWidth="1"/>
    <col min="5397" max="5398" width="12.1328125" style="754" customWidth="1"/>
    <col min="5399" max="5399" width="8.73046875" style="754" customWidth="1"/>
    <col min="5400" max="5400" width="9" style="754" customWidth="1"/>
    <col min="5401" max="5401" width="6.1328125" style="754" customWidth="1"/>
    <col min="5402" max="5402" width="7.59765625" style="754" customWidth="1"/>
    <col min="5403" max="5403" width="10.265625" style="754" customWidth="1"/>
    <col min="5404" max="5632" width="9.1328125" style="754"/>
    <col min="5633" max="5633" width="2" style="754" customWidth="1"/>
    <col min="5634" max="5634" width="25.73046875" style="754" customWidth="1"/>
    <col min="5635" max="5652" width="9.73046875" style="754" customWidth="1"/>
    <col min="5653" max="5654" width="12.1328125" style="754" customWidth="1"/>
    <col min="5655" max="5655" width="8.73046875" style="754" customWidth="1"/>
    <col min="5656" max="5656" width="9" style="754" customWidth="1"/>
    <col min="5657" max="5657" width="6.1328125" style="754" customWidth="1"/>
    <col min="5658" max="5658" width="7.59765625" style="754" customWidth="1"/>
    <col min="5659" max="5659" width="10.265625" style="754" customWidth="1"/>
    <col min="5660" max="5888" width="9.1328125" style="754"/>
    <col min="5889" max="5889" width="2" style="754" customWidth="1"/>
    <col min="5890" max="5890" width="25.73046875" style="754" customWidth="1"/>
    <col min="5891" max="5908" width="9.73046875" style="754" customWidth="1"/>
    <col min="5909" max="5910" width="12.1328125" style="754" customWidth="1"/>
    <col min="5911" max="5911" width="8.73046875" style="754" customWidth="1"/>
    <col min="5912" max="5912" width="9" style="754" customWidth="1"/>
    <col min="5913" max="5913" width="6.1328125" style="754" customWidth="1"/>
    <col min="5914" max="5914" width="7.59765625" style="754" customWidth="1"/>
    <col min="5915" max="5915" width="10.265625" style="754" customWidth="1"/>
    <col min="5916" max="6144" width="9.1328125" style="754"/>
    <col min="6145" max="6145" width="2" style="754" customWidth="1"/>
    <col min="6146" max="6146" width="25.73046875" style="754" customWidth="1"/>
    <col min="6147" max="6164" width="9.73046875" style="754" customWidth="1"/>
    <col min="6165" max="6166" width="12.1328125" style="754" customWidth="1"/>
    <col min="6167" max="6167" width="8.73046875" style="754" customWidth="1"/>
    <col min="6168" max="6168" width="9" style="754" customWidth="1"/>
    <col min="6169" max="6169" width="6.1328125" style="754" customWidth="1"/>
    <col min="6170" max="6170" width="7.59765625" style="754" customWidth="1"/>
    <col min="6171" max="6171" width="10.265625" style="754" customWidth="1"/>
    <col min="6172" max="6400" width="9.1328125" style="754"/>
    <col min="6401" max="6401" width="2" style="754" customWidth="1"/>
    <col min="6402" max="6402" width="25.73046875" style="754" customWidth="1"/>
    <col min="6403" max="6420" width="9.73046875" style="754" customWidth="1"/>
    <col min="6421" max="6422" width="12.1328125" style="754" customWidth="1"/>
    <col min="6423" max="6423" width="8.73046875" style="754" customWidth="1"/>
    <col min="6424" max="6424" width="9" style="754" customWidth="1"/>
    <col min="6425" max="6425" width="6.1328125" style="754" customWidth="1"/>
    <col min="6426" max="6426" width="7.59765625" style="754" customWidth="1"/>
    <col min="6427" max="6427" width="10.265625" style="754" customWidth="1"/>
    <col min="6428" max="6656" width="9.1328125" style="754"/>
    <col min="6657" max="6657" width="2" style="754" customWidth="1"/>
    <col min="6658" max="6658" width="25.73046875" style="754" customWidth="1"/>
    <col min="6659" max="6676" width="9.73046875" style="754" customWidth="1"/>
    <col min="6677" max="6678" width="12.1328125" style="754" customWidth="1"/>
    <col min="6679" max="6679" width="8.73046875" style="754" customWidth="1"/>
    <col min="6680" max="6680" width="9" style="754" customWidth="1"/>
    <col min="6681" max="6681" width="6.1328125" style="754" customWidth="1"/>
    <col min="6682" max="6682" width="7.59765625" style="754" customWidth="1"/>
    <col min="6683" max="6683" width="10.265625" style="754" customWidth="1"/>
    <col min="6684" max="6912" width="9.1328125" style="754"/>
    <col min="6913" max="6913" width="2" style="754" customWidth="1"/>
    <col min="6914" max="6914" width="25.73046875" style="754" customWidth="1"/>
    <col min="6915" max="6932" width="9.73046875" style="754" customWidth="1"/>
    <col min="6933" max="6934" width="12.1328125" style="754" customWidth="1"/>
    <col min="6935" max="6935" width="8.73046875" style="754" customWidth="1"/>
    <col min="6936" max="6936" width="9" style="754" customWidth="1"/>
    <col min="6937" max="6937" width="6.1328125" style="754" customWidth="1"/>
    <col min="6938" max="6938" width="7.59765625" style="754" customWidth="1"/>
    <col min="6939" max="6939" width="10.265625" style="754" customWidth="1"/>
    <col min="6940" max="7168" width="9.1328125" style="754"/>
    <col min="7169" max="7169" width="2" style="754" customWidth="1"/>
    <col min="7170" max="7170" width="25.73046875" style="754" customWidth="1"/>
    <col min="7171" max="7188" width="9.73046875" style="754" customWidth="1"/>
    <col min="7189" max="7190" width="12.1328125" style="754" customWidth="1"/>
    <col min="7191" max="7191" width="8.73046875" style="754" customWidth="1"/>
    <col min="7192" max="7192" width="9" style="754" customWidth="1"/>
    <col min="7193" max="7193" width="6.1328125" style="754" customWidth="1"/>
    <col min="7194" max="7194" width="7.59765625" style="754" customWidth="1"/>
    <col min="7195" max="7195" width="10.265625" style="754" customWidth="1"/>
    <col min="7196" max="7424" width="9.1328125" style="754"/>
    <col min="7425" max="7425" width="2" style="754" customWidth="1"/>
    <col min="7426" max="7426" width="25.73046875" style="754" customWidth="1"/>
    <col min="7427" max="7444" width="9.73046875" style="754" customWidth="1"/>
    <col min="7445" max="7446" width="12.1328125" style="754" customWidth="1"/>
    <col min="7447" max="7447" width="8.73046875" style="754" customWidth="1"/>
    <col min="7448" max="7448" width="9" style="754" customWidth="1"/>
    <col min="7449" max="7449" width="6.1328125" style="754" customWidth="1"/>
    <col min="7450" max="7450" width="7.59765625" style="754" customWidth="1"/>
    <col min="7451" max="7451" width="10.265625" style="754" customWidth="1"/>
    <col min="7452" max="7680" width="9.1328125" style="754"/>
    <col min="7681" max="7681" width="2" style="754" customWidth="1"/>
    <col min="7682" max="7682" width="25.73046875" style="754" customWidth="1"/>
    <col min="7683" max="7700" width="9.73046875" style="754" customWidth="1"/>
    <col min="7701" max="7702" width="12.1328125" style="754" customWidth="1"/>
    <col min="7703" max="7703" width="8.73046875" style="754" customWidth="1"/>
    <col min="7704" max="7704" width="9" style="754" customWidth="1"/>
    <col min="7705" max="7705" width="6.1328125" style="754" customWidth="1"/>
    <col min="7706" max="7706" width="7.59765625" style="754" customWidth="1"/>
    <col min="7707" max="7707" width="10.265625" style="754" customWidth="1"/>
    <col min="7708" max="7936" width="9.1328125" style="754"/>
    <col min="7937" max="7937" width="2" style="754" customWidth="1"/>
    <col min="7938" max="7938" width="25.73046875" style="754" customWidth="1"/>
    <col min="7939" max="7956" width="9.73046875" style="754" customWidth="1"/>
    <col min="7957" max="7958" width="12.1328125" style="754" customWidth="1"/>
    <col min="7959" max="7959" width="8.73046875" style="754" customWidth="1"/>
    <col min="7960" max="7960" width="9" style="754" customWidth="1"/>
    <col min="7961" max="7961" width="6.1328125" style="754" customWidth="1"/>
    <col min="7962" max="7962" width="7.59765625" style="754" customWidth="1"/>
    <col min="7963" max="7963" width="10.265625" style="754" customWidth="1"/>
    <col min="7964" max="8192" width="9.1328125" style="754"/>
    <col min="8193" max="8193" width="2" style="754" customWidth="1"/>
    <col min="8194" max="8194" width="25.73046875" style="754" customWidth="1"/>
    <col min="8195" max="8212" width="9.73046875" style="754" customWidth="1"/>
    <col min="8213" max="8214" width="12.1328125" style="754" customWidth="1"/>
    <col min="8215" max="8215" width="8.73046875" style="754" customWidth="1"/>
    <col min="8216" max="8216" width="9" style="754" customWidth="1"/>
    <col min="8217" max="8217" width="6.1328125" style="754" customWidth="1"/>
    <col min="8218" max="8218" width="7.59765625" style="754" customWidth="1"/>
    <col min="8219" max="8219" width="10.265625" style="754" customWidth="1"/>
    <col min="8220" max="8448" width="9.1328125" style="754"/>
    <col min="8449" max="8449" width="2" style="754" customWidth="1"/>
    <col min="8450" max="8450" width="25.73046875" style="754" customWidth="1"/>
    <col min="8451" max="8468" width="9.73046875" style="754" customWidth="1"/>
    <col min="8469" max="8470" width="12.1328125" style="754" customWidth="1"/>
    <col min="8471" max="8471" width="8.73046875" style="754" customWidth="1"/>
    <col min="8472" max="8472" width="9" style="754" customWidth="1"/>
    <col min="8473" max="8473" width="6.1328125" style="754" customWidth="1"/>
    <col min="8474" max="8474" width="7.59765625" style="754" customWidth="1"/>
    <col min="8475" max="8475" width="10.265625" style="754" customWidth="1"/>
    <col min="8476" max="8704" width="9.1328125" style="754"/>
    <col min="8705" max="8705" width="2" style="754" customWidth="1"/>
    <col min="8706" max="8706" width="25.73046875" style="754" customWidth="1"/>
    <col min="8707" max="8724" width="9.73046875" style="754" customWidth="1"/>
    <col min="8725" max="8726" width="12.1328125" style="754" customWidth="1"/>
    <col min="8727" max="8727" width="8.73046875" style="754" customWidth="1"/>
    <col min="8728" max="8728" width="9" style="754" customWidth="1"/>
    <col min="8729" max="8729" width="6.1328125" style="754" customWidth="1"/>
    <col min="8730" max="8730" width="7.59765625" style="754" customWidth="1"/>
    <col min="8731" max="8731" width="10.265625" style="754" customWidth="1"/>
    <col min="8732" max="8960" width="9.1328125" style="754"/>
    <col min="8961" max="8961" width="2" style="754" customWidth="1"/>
    <col min="8962" max="8962" width="25.73046875" style="754" customWidth="1"/>
    <col min="8963" max="8980" width="9.73046875" style="754" customWidth="1"/>
    <col min="8981" max="8982" width="12.1328125" style="754" customWidth="1"/>
    <col min="8983" max="8983" width="8.73046875" style="754" customWidth="1"/>
    <col min="8984" max="8984" width="9" style="754" customWidth="1"/>
    <col min="8985" max="8985" width="6.1328125" style="754" customWidth="1"/>
    <col min="8986" max="8986" width="7.59765625" style="754" customWidth="1"/>
    <col min="8987" max="8987" width="10.265625" style="754" customWidth="1"/>
    <col min="8988" max="9216" width="9.1328125" style="754"/>
    <col min="9217" max="9217" width="2" style="754" customWidth="1"/>
    <col min="9218" max="9218" width="25.73046875" style="754" customWidth="1"/>
    <col min="9219" max="9236" width="9.73046875" style="754" customWidth="1"/>
    <col min="9237" max="9238" width="12.1328125" style="754" customWidth="1"/>
    <col min="9239" max="9239" width="8.73046875" style="754" customWidth="1"/>
    <col min="9240" max="9240" width="9" style="754" customWidth="1"/>
    <col min="9241" max="9241" width="6.1328125" style="754" customWidth="1"/>
    <col min="9242" max="9242" width="7.59765625" style="754" customWidth="1"/>
    <col min="9243" max="9243" width="10.265625" style="754" customWidth="1"/>
    <col min="9244" max="9472" width="9.1328125" style="754"/>
    <col min="9473" max="9473" width="2" style="754" customWidth="1"/>
    <col min="9474" max="9474" width="25.73046875" style="754" customWidth="1"/>
    <col min="9475" max="9492" width="9.73046875" style="754" customWidth="1"/>
    <col min="9493" max="9494" width="12.1328125" style="754" customWidth="1"/>
    <col min="9495" max="9495" width="8.73046875" style="754" customWidth="1"/>
    <col min="9496" max="9496" width="9" style="754" customWidth="1"/>
    <col min="9497" max="9497" width="6.1328125" style="754" customWidth="1"/>
    <col min="9498" max="9498" width="7.59765625" style="754" customWidth="1"/>
    <col min="9499" max="9499" width="10.265625" style="754" customWidth="1"/>
    <col min="9500" max="9728" width="9.1328125" style="754"/>
    <col min="9729" max="9729" width="2" style="754" customWidth="1"/>
    <col min="9730" max="9730" width="25.73046875" style="754" customWidth="1"/>
    <col min="9731" max="9748" width="9.73046875" style="754" customWidth="1"/>
    <col min="9749" max="9750" width="12.1328125" style="754" customWidth="1"/>
    <col min="9751" max="9751" width="8.73046875" style="754" customWidth="1"/>
    <col min="9752" max="9752" width="9" style="754" customWidth="1"/>
    <col min="9753" max="9753" width="6.1328125" style="754" customWidth="1"/>
    <col min="9754" max="9754" width="7.59765625" style="754" customWidth="1"/>
    <col min="9755" max="9755" width="10.265625" style="754" customWidth="1"/>
    <col min="9756" max="9984" width="9.1328125" style="754"/>
    <col min="9985" max="9985" width="2" style="754" customWidth="1"/>
    <col min="9986" max="9986" width="25.73046875" style="754" customWidth="1"/>
    <col min="9987" max="10004" width="9.73046875" style="754" customWidth="1"/>
    <col min="10005" max="10006" width="12.1328125" style="754" customWidth="1"/>
    <col min="10007" max="10007" width="8.73046875" style="754" customWidth="1"/>
    <col min="10008" max="10008" width="9" style="754" customWidth="1"/>
    <col min="10009" max="10009" width="6.1328125" style="754" customWidth="1"/>
    <col min="10010" max="10010" width="7.59765625" style="754" customWidth="1"/>
    <col min="10011" max="10011" width="10.265625" style="754" customWidth="1"/>
    <col min="10012" max="10240" width="9.1328125" style="754"/>
    <col min="10241" max="10241" width="2" style="754" customWidth="1"/>
    <col min="10242" max="10242" width="25.73046875" style="754" customWidth="1"/>
    <col min="10243" max="10260" width="9.73046875" style="754" customWidth="1"/>
    <col min="10261" max="10262" width="12.1328125" style="754" customWidth="1"/>
    <col min="10263" max="10263" width="8.73046875" style="754" customWidth="1"/>
    <col min="10264" max="10264" width="9" style="754" customWidth="1"/>
    <col min="10265" max="10265" width="6.1328125" style="754" customWidth="1"/>
    <col min="10266" max="10266" width="7.59765625" style="754" customWidth="1"/>
    <col min="10267" max="10267" width="10.265625" style="754" customWidth="1"/>
    <col min="10268" max="10496" width="9.1328125" style="754"/>
    <col min="10497" max="10497" width="2" style="754" customWidth="1"/>
    <col min="10498" max="10498" width="25.73046875" style="754" customWidth="1"/>
    <col min="10499" max="10516" width="9.73046875" style="754" customWidth="1"/>
    <col min="10517" max="10518" width="12.1328125" style="754" customWidth="1"/>
    <col min="10519" max="10519" width="8.73046875" style="754" customWidth="1"/>
    <col min="10520" max="10520" width="9" style="754" customWidth="1"/>
    <col min="10521" max="10521" width="6.1328125" style="754" customWidth="1"/>
    <col min="10522" max="10522" width="7.59765625" style="754" customWidth="1"/>
    <col min="10523" max="10523" width="10.265625" style="754" customWidth="1"/>
    <col min="10524" max="10752" width="9.1328125" style="754"/>
    <col min="10753" max="10753" width="2" style="754" customWidth="1"/>
    <col min="10754" max="10754" width="25.73046875" style="754" customWidth="1"/>
    <col min="10755" max="10772" width="9.73046875" style="754" customWidth="1"/>
    <col min="10773" max="10774" width="12.1328125" style="754" customWidth="1"/>
    <col min="10775" max="10775" width="8.73046875" style="754" customWidth="1"/>
    <col min="10776" max="10776" width="9" style="754" customWidth="1"/>
    <col min="10777" max="10777" width="6.1328125" style="754" customWidth="1"/>
    <col min="10778" max="10778" width="7.59765625" style="754" customWidth="1"/>
    <col min="10779" max="10779" width="10.265625" style="754" customWidth="1"/>
    <col min="10780" max="11008" width="9.1328125" style="754"/>
    <col min="11009" max="11009" width="2" style="754" customWidth="1"/>
    <col min="11010" max="11010" width="25.73046875" style="754" customWidth="1"/>
    <col min="11011" max="11028" width="9.73046875" style="754" customWidth="1"/>
    <col min="11029" max="11030" width="12.1328125" style="754" customWidth="1"/>
    <col min="11031" max="11031" width="8.73046875" style="754" customWidth="1"/>
    <col min="11032" max="11032" width="9" style="754" customWidth="1"/>
    <col min="11033" max="11033" width="6.1328125" style="754" customWidth="1"/>
    <col min="11034" max="11034" width="7.59765625" style="754" customWidth="1"/>
    <col min="11035" max="11035" width="10.265625" style="754" customWidth="1"/>
    <col min="11036" max="11264" width="9.1328125" style="754"/>
    <col min="11265" max="11265" width="2" style="754" customWidth="1"/>
    <col min="11266" max="11266" width="25.73046875" style="754" customWidth="1"/>
    <col min="11267" max="11284" width="9.73046875" style="754" customWidth="1"/>
    <col min="11285" max="11286" width="12.1328125" style="754" customWidth="1"/>
    <col min="11287" max="11287" width="8.73046875" style="754" customWidth="1"/>
    <col min="11288" max="11288" width="9" style="754" customWidth="1"/>
    <col min="11289" max="11289" width="6.1328125" style="754" customWidth="1"/>
    <col min="11290" max="11290" width="7.59765625" style="754" customWidth="1"/>
    <col min="11291" max="11291" width="10.265625" style="754" customWidth="1"/>
    <col min="11292" max="11520" width="9.1328125" style="754"/>
    <col min="11521" max="11521" width="2" style="754" customWidth="1"/>
    <col min="11522" max="11522" width="25.73046875" style="754" customWidth="1"/>
    <col min="11523" max="11540" width="9.73046875" style="754" customWidth="1"/>
    <col min="11541" max="11542" width="12.1328125" style="754" customWidth="1"/>
    <col min="11543" max="11543" width="8.73046875" style="754" customWidth="1"/>
    <col min="11544" max="11544" width="9" style="754" customWidth="1"/>
    <col min="11545" max="11545" width="6.1328125" style="754" customWidth="1"/>
    <col min="11546" max="11546" width="7.59765625" style="754" customWidth="1"/>
    <col min="11547" max="11547" width="10.265625" style="754" customWidth="1"/>
    <col min="11548" max="11776" width="9.1328125" style="754"/>
    <col min="11777" max="11777" width="2" style="754" customWidth="1"/>
    <col min="11778" max="11778" width="25.73046875" style="754" customWidth="1"/>
    <col min="11779" max="11796" width="9.73046875" style="754" customWidth="1"/>
    <col min="11797" max="11798" width="12.1328125" style="754" customWidth="1"/>
    <col min="11799" max="11799" width="8.73046875" style="754" customWidth="1"/>
    <col min="11800" max="11800" width="9" style="754" customWidth="1"/>
    <col min="11801" max="11801" width="6.1328125" style="754" customWidth="1"/>
    <col min="11802" max="11802" width="7.59765625" style="754" customWidth="1"/>
    <col min="11803" max="11803" width="10.265625" style="754" customWidth="1"/>
    <col min="11804" max="12032" width="9.1328125" style="754"/>
    <col min="12033" max="12033" width="2" style="754" customWidth="1"/>
    <col min="12034" max="12034" width="25.73046875" style="754" customWidth="1"/>
    <col min="12035" max="12052" width="9.73046875" style="754" customWidth="1"/>
    <col min="12053" max="12054" width="12.1328125" style="754" customWidth="1"/>
    <col min="12055" max="12055" width="8.73046875" style="754" customWidth="1"/>
    <col min="12056" max="12056" width="9" style="754" customWidth="1"/>
    <col min="12057" max="12057" width="6.1328125" style="754" customWidth="1"/>
    <col min="12058" max="12058" width="7.59765625" style="754" customWidth="1"/>
    <col min="12059" max="12059" width="10.265625" style="754" customWidth="1"/>
    <col min="12060" max="12288" width="9.1328125" style="754"/>
    <col min="12289" max="12289" width="2" style="754" customWidth="1"/>
    <col min="12290" max="12290" width="25.73046875" style="754" customWidth="1"/>
    <col min="12291" max="12308" width="9.73046875" style="754" customWidth="1"/>
    <col min="12309" max="12310" width="12.1328125" style="754" customWidth="1"/>
    <col min="12311" max="12311" width="8.73046875" style="754" customWidth="1"/>
    <col min="12312" max="12312" width="9" style="754" customWidth="1"/>
    <col min="12313" max="12313" width="6.1328125" style="754" customWidth="1"/>
    <col min="12314" max="12314" width="7.59765625" style="754" customWidth="1"/>
    <col min="12315" max="12315" width="10.265625" style="754" customWidth="1"/>
    <col min="12316" max="12544" width="9.1328125" style="754"/>
    <col min="12545" max="12545" width="2" style="754" customWidth="1"/>
    <col min="12546" max="12546" width="25.73046875" style="754" customWidth="1"/>
    <col min="12547" max="12564" width="9.73046875" style="754" customWidth="1"/>
    <col min="12565" max="12566" width="12.1328125" style="754" customWidth="1"/>
    <col min="12567" max="12567" width="8.73046875" style="754" customWidth="1"/>
    <col min="12568" max="12568" width="9" style="754" customWidth="1"/>
    <col min="12569" max="12569" width="6.1328125" style="754" customWidth="1"/>
    <col min="12570" max="12570" width="7.59765625" style="754" customWidth="1"/>
    <col min="12571" max="12571" width="10.265625" style="754" customWidth="1"/>
    <col min="12572" max="12800" width="9.1328125" style="754"/>
    <col min="12801" max="12801" width="2" style="754" customWidth="1"/>
    <col min="12802" max="12802" width="25.73046875" style="754" customWidth="1"/>
    <col min="12803" max="12820" width="9.73046875" style="754" customWidth="1"/>
    <col min="12821" max="12822" width="12.1328125" style="754" customWidth="1"/>
    <col min="12823" max="12823" width="8.73046875" style="754" customWidth="1"/>
    <col min="12824" max="12824" width="9" style="754" customWidth="1"/>
    <col min="12825" max="12825" width="6.1328125" style="754" customWidth="1"/>
    <col min="12826" max="12826" width="7.59765625" style="754" customWidth="1"/>
    <col min="12827" max="12827" width="10.265625" style="754" customWidth="1"/>
    <col min="12828" max="13056" width="9.1328125" style="754"/>
    <col min="13057" max="13057" width="2" style="754" customWidth="1"/>
    <col min="13058" max="13058" width="25.73046875" style="754" customWidth="1"/>
    <col min="13059" max="13076" width="9.73046875" style="754" customWidth="1"/>
    <col min="13077" max="13078" width="12.1328125" style="754" customWidth="1"/>
    <col min="13079" max="13079" width="8.73046875" style="754" customWidth="1"/>
    <col min="13080" max="13080" width="9" style="754" customWidth="1"/>
    <col min="13081" max="13081" width="6.1328125" style="754" customWidth="1"/>
    <col min="13082" max="13082" width="7.59765625" style="754" customWidth="1"/>
    <col min="13083" max="13083" width="10.265625" style="754" customWidth="1"/>
    <col min="13084" max="13312" width="9.1328125" style="754"/>
    <col min="13313" max="13313" width="2" style="754" customWidth="1"/>
    <col min="13314" max="13314" width="25.73046875" style="754" customWidth="1"/>
    <col min="13315" max="13332" width="9.73046875" style="754" customWidth="1"/>
    <col min="13333" max="13334" width="12.1328125" style="754" customWidth="1"/>
    <col min="13335" max="13335" width="8.73046875" style="754" customWidth="1"/>
    <col min="13336" max="13336" width="9" style="754" customWidth="1"/>
    <col min="13337" max="13337" width="6.1328125" style="754" customWidth="1"/>
    <col min="13338" max="13338" width="7.59765625" style="754" customWidth="1"/>
    <col min="13339" max="13339" width="10.265625" style="754" customWidth="1"/>
    <col min="13340" max="13568" width="9.1328125" style="754"/>
    <col min="13569" max="13569" width="2" style="754" customWidth="1"/>
    <col min="13570" max="13570" width="25.73046875" style="754" customWidth="1"/>
    <col min="13571" max="13588" width="9.73046875" style="754" customWidth="1"/>
    <col min="13589" max="13590" width="12.1328125" style="754" customWidth="1"/>
    <col min="13591" max="13591" width="8.73046875" style="754" customWidth="1"/>
    <col min="13592" max="13592" width="9" style="754" customWidth="1"/>
    <col min="13593" max="13593" width="6.1328125" style="754" customWidth="1"/>
    <col min="13594" max="13594" width="7.59765625" style="754" customWidth="1"/>
    <col min="13595" max="13595" width="10.265625" style="754" customWidth="1"/>
    <col min="13596" max="13824" width="9.1328125" style="754"/>
    <col min="13825" max="13825" width="2" style="754" customWidth="1"/>
    <col min="13826" max="13826" width="25.73046875" style="754" customWidth="1"/>
    <col min="13827" max="13844" width="9.73046875" style="754" customWidth="1"/>
    <col min="13845" max="13846" width="12.1328125" style="754" customWidth="1"/>
    <col min="13847" max="13847" width="8.73046875" style="754" customWidth="1"/>
    <col min="13848" max="13848" width="9" style="754" customWidth="1"/>
    <col min="13849" max="13849" width="6.1328125" style="754" customWidth="1"/>
    <col min="13850" max="13850" width="7.59765625" style="754" customWidth="1"/>
    <col min="13851" max="13851" width="10.265625" style="754" customWidth="1"/>
    <col min="13852" max="14080" width="9.1328125" style="754"/>
    <col min="14081" max="14081" width="2" style="754" customWidth="1"/>
    <col min="14082" max="14082" width="25.73046875" style="754" customWidth="1"/>
    <col min="14083" max="14100" width="9.73046875" style="754" customWidth="1"/>
    <col min="14101" max="14102" width="12.1328125" style="754" customWidth="1"/>
    <col min="14103" max="14103" width="8.73046875" style="754" customWidth="1"/>
    <col min="14104" max="14104" width="9" style="754" customWidth="1"/>
    <col min="14105" max="14105" width="6.1328125" style="754" customWidth="1"/>
    <col min="14106" max="14106" width="7.59765625" style="754" customWidth="1"/>
    <col min="14107" max="14107" width="10.265625" style="754" customWidth="1"/>
    <col min="14108" max="14336" width="9.1328125" style="754"/>
    <col min="14337" max="14337" width="2" style="754" customWidth="1"/>
    <col min="14338" max="14338" width="25.73046875" style="754" customWidth="1"/>
    <col min="14339" max="14356" width="9.73046875" style="754" customWidth="1"/>
    <col min="14357" max="14358" width="12.1328125" style="754" customWidth="1"/>
    <col min="14359" max="14359" width="8.73046875" style="754" customWidth="1"/>
    <col min="14360" max="14360" width="9" style="754" customWidth="1"/>
    <col min="14361" max="14361" width="6.1328125" style="754" customWidth="1"/>
    <col min="14362" max="14362" width="7.59765625" style="754" customWidth="1"/>
    <col min="14363" max="14363" width="10.265625" style="754" customWidth="1"/>
    <col min="14364" max="14592" width="9.1328125" style="754"/>
    <col min="14593" max="14593" width="2" style="754" customWidth="1"/>
    <col min="14594" max="14594" width="25.73046875" style="754" customWidth="1"/>
    <col min="14595" max="14612" width="9.73046875" style="754" customWidth="1"/>
    <col min="14613" max="14614" width="12.1328125" style="754" customWidth="1"/>
    <col min="14615" max="14615" width="8.73046875" style="754" customWidth="1"/>
    <col min="14616" max="14616" width="9" style="754" customWidth="1"/>
    <col min="14617" max="14617" width="6.1328125" style="754" customWidth="1"/>
    <col min="14618" max="14618" width="7.59765625" style="754" customWidth="1"/>
    <col min="14619" max="14619" width="10.265625" style="754" customWidth="1"/>
    <col min="14620" max="14848" width="9.1328125" style="754"/>
    <col min="14849" max="14849" width="2" style="754" customWidth="1"/>
    <col min="14850" max="14850" width="25.73046875" style="754" customWidth="1"/>
    <col min="14851" max="14868" width="9.73046875" style="754" customWidth="1"/>
    <col min="14869" max="14870" width="12.1328125" style="754" customWidth="1"/>
    <col min="14871" max="14871" width="8.73046875" style="754" customWidth="1"/>
    <col min="14872" max="14872" width="9" style="754" customWidth="1"/>
    <col min="14873" max="14873" width="6.1328125" style="754" customWidth="1"/>
    <col min="14874" max="14874" width="7.59765625" style="754" customWidth="1"/>
    <col min="14875" max="14875" width="10.265625" style="754" customWidth="1"/>
    <col min="14876" max="15104" width="9.1328125" style="754"/>
    <col min="15105" max="15105" width="2" style="754" customWidth="1"/>
    <col min="15106" max="15106" width="25.73046875" style="754" customWidth="1"/>
    <col min="15107" max="15124" width="9.73046875" style="754" customWidth="1"/>
    <col min="15125" max="15126" width="12.1328125" style="754" customWidth="1"/>
    <col min="15127" max="15127" width="8.73046875" style="754" customWidth="1"/>
    <col min="15128" max="15128" width="9" style="754" customWidth="1"/>
    <col min="15129" max="15129" width="6.1328125" style="754" customWidth="1"/>
    <col min="15130" max="15130" width="7.59765625" style="754" customWidth="1"/>
    <col min="15131" max="15131" width="10.265625" style="754" customWidth="1"/>
    <col min="15132" max="15360" width="9.1328125" style="754"/>
    <col min="15361" max="15361" width="2" style="754" customWidth="1"/>
    <col min="15362" max="15362" width="25.73046875" style="754" customWidth="1"/>
    <col min="15363" max="15380" width="9.73046875" style="754" customWidth="1"/>
    <col min="15381" max="15382" width="12.1328125" style="754" customWidth="1"/>
    <col min="15383" max="15383" width="8.73046875" style="754" customWidth="1"/>
    <col min="15384" max="15384" width="9" style="754" customWidth="1"/>
    <col min="15385" max="15385" width="6.1328125" style="754" customWidth="1"/>
    <col min="15386" max="15386" width="7.59765625" style="754" customWidth="1"/>
    <col min="15387" max="15387" width="10.265625" style="754" customWidth="1"/>
    <col min="15388" max="15616" width="9.1328125" style="754"/>
    <col min="15617" max="15617" width="2" style="754" customWidth="1"/>
    <col min="15618" max="15618" width="25.73046875" style="754" customWidth="1"/>
    <col min="15619" max="15636" width="9.73046875" style="754" customWidth="1"/>
    <col min="15637" max="15638" width="12.1328125" style="754" customWidth="1"/>
    <col min="15639" max="15639" width="8.73046875" style="754" customWidth="1"/>
    <col min="15640" max="15640" width="9" style="754" customWidth="1"/>
    <col min="15641" max="15641" width="6.1328125" style="754" customWidth="1"/>
    <col min="15642" max="15642" width="7.59765625" style="754" customWidth="1"/>
    <col min="15643" max="15643" width="10.265625" style="754" customWidth="1"/>
    <col min="15644" max="15872" width="9.1328125" style="754"/>
    <col min="15873" max="15873" width="2" style="754" customWidth="1"/>
    <col min="15874" max="15874" width="25.73046875" style="754" customWidth="1"/>
    <col min="15875" max="15892" width="9.73046875" style="754" customWidth="1"/>
    <col min="15893" max="15894" width="12.1328125" style="754" customWidth="1"/>
    <col min="15895" max="15895" width="8.73046875" style="754" customWidth="1"/>
    <col min="15896" max="15896" width="9" style="754" customWidth="1"/>
    <col min="15897" max="15897" width="6.1328125" style="754" customWidth="1"/>
    <col min="15898" max="15898" width="7.59765625" style="754" customWidth="1"/>
    <col min="15899" max="15899" width="10.265625" style="754" customWidth="1"/>
    <col min="15900" max="16128" width="9.1328125" style="754"/>
    <col min="16129" max="16129" width="2" style="754" customWidth="1"/>
    <col min="16130" max="16130" width="25.73046875" style="754" customWidth="1"/>
    <col min="16131" max="16148" width="9.73046875" style="754" customWidth="1"/>
    <col min="16149" max="16150" width="12.1328125" style="754" customWidth="1"/>
    <col min="16151" max="16151" width="8.73046875" style="754" customWidth="1"/>
    <col min="16152" max="16152" width="9" style="754" customWidth="1"/>
    <col min="16153" max="16153" width="6.1328125" style="754" customWidth="1"/>
    <col min="16154" max="16154" width="7.59765625" style="754" customWidth="1"/>
    <col min="16155" max="16155" width="10.265625" style="754" customWidth="1"/>
    <col min="16156" max="16384" width="9.1328125" style="754"/>
  </cols>
  <sheetData>
    <row r="2" spans="2:22" ht="18.75" customHeight="1" x14ac:dyDescent="0.55000000000000004">
      <c r="B2" s="755" t="s">
        <v>2282</v>
      </c>
      <c r="I2" s="1652"/>
      <c r="J2" s="1652"/>
      <c r="K2" s="1652"/>
      <c r="L2" s="1652"/>
      <c r="M2" s="1652"/>
      <c r="N2" s="1652"/>
      <c r="O2" s="1652"/>
      <c r="P2" s="1652"/>
    </row>
    <row r="3" spans="2:22" x14ac:dyDescent="0.4">
      <c r="I3" s="1652"/>
      <c r="J3" s="1652"/>
      <c r="K3" s="1652"/>
      <c r="L3" s="1652"/>
      <c r="M3" s="1652"/>
      <c r="N3" s="1652"/>
      <c r="O3" s="1652"/>
      <c r="P3" s="1652"/>
    </row>
    <row r="4" spans="2:22" ht="18" x14ac:dyDescent="0.45">
      <c r="B4" s="756"/>
      <c r="C4" s="2231" t="s">
        <v>1841</v>
      </c>
      <c r="D4" s="2231"/>
      <c r="E4" s="2231"/>
      <c r="F4" s="2231"/>
      <c r="G4" s="2231"/>
      <c r="H4" s="2231"/>
      <c r="I4" s="2231"/>
      <c r="J4" s="2231"/>
      <c r="K4" s="2231"/>
      <c r="L4" s="2231"/>
      <c r="M4" s="2231"/>
      <c r="N4" s="2231"/>
      <c r="O4" s="2231"/>
      <c r="P4" s="2232"/>
      <c r="Q4" s="2232"/>
      <c r="R4" s="757"/>
      <c r="S4" s="1207"/>
      <c r="T4" s="1207"/>
    </row>
    <row r="5" spans="2:22" ht="10.5" customHeight="1" x14ac:dyDescent="0.45">
      <c r="B5" s="756"/>
      <c r="C5" s="758"/>
      <c r="D5" s="758"/>
      <c r="E5" s="758"/>
      <c r="F5" s="758"/>
      <c r="G5" s="758"/>
      <c r="H5" s="758"/>
      <c r="I5" s="758"/>
      <c r="J5" s="758"/>
      <c r="K5" s="758"/>
      <c r="L5" s="758"/>
      <c r="M5" s="758"/>
      <c r="N5" s="758"/>
      <c r="O5" s="758"/>
      <c r="S5" s="1208"/>
      <c r="T5" s="1207"/>
    </row>
    <row r="6" spans="2:22" ht="14.25" x14ac:dyDescent="0.45">
      <c r="B6" s="759" t="s">
        <v>1600</v>
      </c>
      <c r="C6" s="760" t="s">
        <v>1601</v>
      </c>
      <c r="D6" s="759"/>
      <c r="E6" s="759"/>
      <c r="F6" s="759"/>
      <c r="G6" s="759"/>
      <c r="H6" s="759"/>
      <c r="I6" s="759"/>
      <c r="J6" s="759"/>
      <c r="K6" s="759"/>
      <c r="L6" s="759"/>
      <c r="M6" s="759"/>
      <c r="N6" s="759"/>
      <c r="O6" s="759"/>
      <c r="P6" s="759"/>
      <c r="Q6" s="759"/>
      <c r="R6" s="759"/>
      <c r="S6" s="888"/>
      <c r="T6" s="1209"/>
      <c r="U6" s="759"/>
      <c r="V6" s="759"/>
    </row>
    <row r="7" spans="2:22" s="762" customFormat="1" ht="14.25" x14ac:dyDescent="0.45">
      <c r="B7" s="761" t="s">
        <v>1602</v>
      </c>
      <c r="C7" s="2183">
        <v>44197</v>
      </c>
      <c r="D7" s="760"/>
      <c r="E7" s="761"/>
      <c r="F7" s="761"/>
      <c r="G7" s="761"/>
      <c r="H7" s="761"/>
      <c r="I7" s="761"/>
      <c r="J7" s="761"/>
      <c r="K7" s="761"/>
      <c r="L7" s="761"/>
      <c r="M7" s="761"/>
      <c r="N7" s="761"/>
      <c r="O7" s="761"/>
      <c r="P7" s="761"/>
      <c r="Q7" s="761"/>
      <c r="R7" s="761"/>
      <c r="S7" s="888"/>
      <c r="T7" s="1209"/>
      <c r="U7" s="761"/>
      <c r="V7" s="761"/>
    </row>
    <row r="8" spans="2:22" s="762" customFormat="1" ht="9.75" customHeight="1" x14ac:dyDescent="0.45">
      <c r="B8" s="761"/>
      <c r="C8" s="763"/>
      <c r="D8" s="763"/>
      <c r="E8" s="761"/>
      <c r="F8" s="761"/>
      <c r="G8" s="761"/>
      <c r="H8" s="761"/>
      <c r="I8" s="761"/>
      <c r="J8" s="761"/>
      <c r="K8" s="761"/>
      <c r="L8" s="761"/>
      <c r="M8" s="761"/>
      <c r="N8" s="761"/>
      <c r="O8" s="761"/>
      <c r="P8" s="761"/>
      <c r="Q8" s="761"/>
      <c r="R8" s="761"/>
      <c r="S8" s="888"/>
      <c r="T8" s="1210"/>
      <c r="U8" s="761"/>
      <c r="V8" s="761"/>
    </row>
    <row r="9" spans="2:22" x14ac:dyDescent="0.4">
      <c r="B9" s="764" t="s">
        <v>1603</v>
      </c>
      <c r="C9" s="765" t="s">
        <v>1604</v>
      </c>
    </row>
    <row r="10" spans="2:22" ht="14.25" customHeight="1" x14ac:dyDescent="0.55000000000000004">
      <c r="B10" s="755"/>
      <c r="C10" s="765" t="s">
        <v>1605</v>
      </c>
    </row>
    <row r="11" spans="2:22" ht="13.5" customHeight="1" x14ac:dyDescent="0.55000000000000004">
      <c r="B11" s="755"/>
      <c r="C11" s="765" t="s">
        <v>1606</v>
      </c>
    </row>
    <row r="12" spans="2:22" ht="11.25" customHeight="1" x14ac:dyDescent="0.55000000000000004">
      <c r="B12" s="755"/>
      <c r="C12" s="765"/>
    </row>
    <row r="13" spans="2:22" ht="18.75" customHeight="1" x14ac:dyDescent="0.55000000000000004">
      <c r="B13" s="755" t="s">
        <v>1607</v>
      </c>
      <c r="C13" s="755" t="s">
        <v>1608</v>
      </c>
      <c r="O13" s="879"/>
    </row>
    <row r="14" spans="2:22" ht="13.5" thickBot="1" x14ac:dyDescent="0.45">
      <c r="U14" s="879"/>
    </row>
    <row r="15" spans="2:22" ht="14.65" x14ac:dyDescent="0.45">
      <c r="B15" s="2233"/>
      <c r="C15" s="2235" t="s">
        <v>1609</v>
      </c>
      <c r="D15" s="2236"/>
      <c r="E15" s="2236"/>
      <c r="F15" s="2236"/>
      <c r="G15" s="2236"/>
      <c r="H15" s="2236"/>
      <c r="I15" s="2236"/>
      <c r="J15" s="2236"/>
      <c r="K15" s="2236"/>
      <c r="L15" s="2236"/>
      <c r="M15" s="2236"/>
      <c r="N15" s="2240" t="s">
        <v>1610</v>
      </c>
      <c r="O15" s="2241"/>
      <c r="P15" s="2241"/>
      <c r="Q15" s="2241"/>
      <c r="R15" s="2241"/>
      <c r="S15" s="2241"/>
      <c r="T15" s="2241"/>
      <c r="U15" s="2241"/>
      <c r="V15" s="2242"/>
    </row>
    <row r="16" spans="2:22" x14ac:dyDescent="0.4">
      <c r="B16" s="2234"/>
      <c r="C16" s="1579">
        <v>1990</v>
      </c>
      <c r="D16" s="1579">
        <v>2000</v>
      </c>
      <c r="E16" s="1579">
        <v>2001</v>
      </c>
      <c r="F16" s="1579">
        <v>2002</v>
      </c>
      <c r="G16" s="1579">
        <v>2003</v>
      </c>
      <c r="H16" s="1579">
        <v>2004</v>
      </c>
      <c r="I16" s="1579">
        <v>2005</v>
      </c>
      <c r="J16" s="1579">
        <v>2006</v>
      </c>
      <c r="K16" s="1579">
        <v>2007</v>
      </c>
      <c r="L16" s="1579">
        <v>2008</v>
      </c>
      <c r="M16" s="1580">
        <v>2009</v>
      </c>
      <c r="N16" s="1580">
        <v>2010</v>
      </c>
      <c r="O16" s="1580">
        <v>2011</v>
      </c>
      <c r="P16" s="1580">
        <v>2012</v>
      </c>
      <c r="Q16" s="1580">
        <v>2013</v>
      </c>
      <c r="R16" s="1580">
        <v>2014</v>
      </c>
      <c r="S16" s="1580">
        <v>2015</v>
      </c>
      <c r="T16" s="1580">
        <v>2016</v>
      </c>
      <c r="U16" s="1580">
        <v>2017</v>
      </c>
      <c r="V16" s="1581">
        <v>2018</v>
      </c>
    </row>
    <row r="17" spans="2:49" s="767" customFormat="1" ht="14.25" x14ac:dyDescent="0.45">
      <c r="B17" s="1582"/>
      <c r="C17" s="2237" t="s">
        <v>1611</v>
      </c>
      <c r="D17" s="2238"/>
      <c r="E17" s="2238"/>
      <c r="F17" s="2238"/>
      <c r="G17" s="2238"/>
      <c r="H17" s="2238"/>
      <c r="I17" s="2238"/>
      <c r="J17" s="2238"/>
      <c r="K17" s="2238"/>
      <c r="L17" s="2238"/>
      <c r="M17" s="2239"/>
      <c r="N17" s="2243" t="s">
        <v>1612</v>
      </c>
      <c r="O17" s="2244"/>
      <c r="P17" s="2244"/>
      <c r="Q17" s="2244"/>
      <c r="R17" s="2244"/>
      <c r="S17" s="2244"/>
      <c r="T17" s="2244"/>
      <c r="U17" s="2244"/>
      <c r="V17" s="2245"/>
    </row>
    <row r="18" spans="2:49" x14ac:dyDescent="0.4">
      <c r="B18" s="1583" t="s">
        <v>1786</v>
      </c>
      <c r="C18" s="896" t="s">
        <v>1614</v>
      </c>
      <c r="D18" s="1584" t="s">
        <v>257</v>
      </c>
      <c r="E18" s="1584" t="s">
        <v>257</v>
      </c>
      <c r="F18" s="1584" t="s">
        <v>1614</v>
      </c>
      <c r="G18" s="1584" t="s">
        <v>257</v>
      </c>
      <c r="H18" s="1584" t="s">
        <v>257</v>
      </c>
      <c r="I18" s="1584" t="s">
        <v>257</v>
      </c>
      <c r="J18" s="1584" t="s">
        <v>257</v>
      </c>
      <c r="K18" s="1584" t="s">
        <v>257</v>
      </c>
      <c r="L18" s="1584" t="s">
        <v>257</v>
      </c>
      <c r="M18" s="1584" t="s">
        <v>257</v>
      </c>
      <c r="N18" s="2130" t="s">
        <v>257</v>
      </c>
      <c r="O18" s="1585" t="s">
        <v>257</v>
      </c>
      <c r="P18" s="1585" t="s">
        <v>257</v>
      </c>
      <c r="Q18" s="1585" t="s">
        <v>257</v>
      </c>
      <c r="R18" s="1585" t="s">
        <v>257</v>
      </c>
      <c r="S18" s="1585" t="s">
        <v>257</v>
      </c>
      <c r="T18" s="1585" t="s">
        <v>257</v>
      </c>
      <c r="U18" s="1585" t="s">
        <v>257</v>
      </c>
      <c r="V18" s="2131" t="s">
        <v>1111</v>
      </c>
    </row>
    <row r="19" spans="2:49" x14ac:dyDescent="0.4">
      <c r="B19" s="769" t="s">
        <v>592</v>
      </c>
      <c r="C19" s="895"/>
      <c r="D19" s="770">
        <v>10.127454999999999</v>
      </c>
      <c r="E19" s="770">
        <v>11.956178905651292</v>
      </c>
      <c r="F19" s="771">
        <f>(G19-E19)/2+E19</f>
        <v>11.098927377825646</v>
      </c>
      <c r="G19" s="770">
        <v>10.24167585</v>
      </c>
      <c r="H19" s="770">
        <v>9.8750504019999994</v>
      </c>
      <c r="I19" s="772">
        <v>9.8276800000000009</v>
      </c>
      <c r="J19" s="772">
        <v>9.4245000000000001</v>
      </c>
      <c r="K19" s="772">
        <v>8.978489999999999</v>
      </c>
      <c r="L19" s="772">
        <v>9.2536900000000006</v>
      </c>
      <c r="M19" s="772">
        <v>8.3097000000000012</v>
      </c>
      <c r="N19" s="1281">
        <v>9.0943183269235703</v>
      </c>
      <c r="O19" s="772">
        <v>7.3828567054088987</v>
      </c>
      <c r="P19" s="772">
        <v>8.1157388566271482</v>
      </c>
      <c r="Q19" s="772">
        <v>8.2535815599848394</v>
      </c>
      <c r="R19" s="772">
        <v>7.352668040085427</v>
      </c>
      <c r="S19" s="772">
        <v>7.0425531643137855</v>
      </c>
      <c r="T19" s="772">
        <v>7.3353172507683739</v>
      </c>
      <c r="U19" s="772">
        <v>7.6911571116348005</v>
      </c>
      <c r="V19" s="2132">
        <f>'02 CO2'!D43</f>
        <v>7.2891865852251252</v>
      </c>
    </row>
    <row r="20" spans="2:49" x14ac:dyDescent="0.4">
      <c r="B20" s="769" t="s">
        <v>16</v>
      </c>
      <c r="C20" s="895"/>
      <c r="D20" s="770">
        <v>7.3582039708144755</v>
      </c>
      <c r="E20" s="770">
        <v>5.6548757727995298</v>
      </c>
      <c r="F20" s="771">
        <f>(G20-E20)/2+E20</f>
        <v>6.6664224793614615</v>
      </c>
      <c r="G20" s="770">
        <v>7.6779691859233923</v>
      </c>
      <c r="H20" s="770">
        <v>6.9152815520000033</v>
      </c>
      <c r="I20" s="772">
        <v>7.2495399999999997</v>
      </c>
      <c r="J20" s="772">
        <v>7.5666499999999992</v>
      </c>
      <c r="K20" s="772">
        <v>7.6266800000000003</v>
      </c>
      <c r="L20" s="772">
        <v>7.4347799999999999</v>
      </c>
      <c r="M20" s="772">
        <v>6.7039999999999997</v>
      </c>
      <c r="N20" s="1281">
        <v>6.6850872196866922</v>
      </c>
      <c r="O20" s="772">
        <v>6.4672410655730141</v>
      </c>
      <c r="P20" s="772">
        <v>7.1351061112033713</v>
      </c>
      <c r="Q20" s="772">
        <v>6.5555903145535614</v>
      </c>
      <c r="R20" s="772">
        <v>5.932990459898476</v>
      </c>
      <c r="S20" s="772">
        <v>4.9894193021678284</v>
      </c>
      <c r="T20" s="772">
        <v>3.9686359167283198</v>
      </c>
      <c r="U20" s="772">
        <v>3.5470061010634684</v>
      </c>
      <c r="V20" s="2132">
        <f>'02 CO2'!C43</f>
        <v>3.1784152814007736</v>
      </c>
      <c r="W20" s="773"/>
      <c r="X20" s="773"/>
    </row>
    <row r="21" spans="2:49" x14ac:dyDescent="0.4">
      <c r="B21" s="774" t="s">
        <v>1228</v>
      </c>
      <c r="C21" s="895"/>
      <c r="D21" s="770">
        <v>5.100448170410208E-2</v>
      </c>
      <c r="E21" s="770">
        <v>0.18048776101537697</v>
      </c>
      <c r="F21" s="771">
        <v>0.18472397745782582</v>
      </c>
      <c r="G21" s="770">
        <v>0.18896019390027463</v>
      </c>
      <c r="H21" s="770">
        <v>5.8374533438320012E-2</v>
      </c>
      <c r="I21" s="772">
        <v>0.23274</v>
      </c>
      <c r="J21" s="772">
        <v>0.23330999999999999</v>
      </c>
      <c r="K21" s="772">
        <v>0.23308000000000001</v>
      </c>
      <c r="L21" s="772">
        <v>0.23738999999999999</v>
      </c>
      <c r="M21" s="772">
        <v>0.23755000000000001</v>
      </c>
      <c r="N21" s="1586"/>
      <c r="O21" s="775"/>
      <c r="P21" s="775"/>
      <c r="Q21" s="775"/>
      <c r="R21" s="775"/>
      <c r="S21" s="775"/>
      <c r="T21" s="775"/>
      <c r="U21" s="775"/>
      <c r="V21" s="2133"/>
      <c r="W21" s="1831"/>
      <c r="X21" s="773"/>
    </row>
    <row r="22" spans="2:49" x14ac:dyDescent="0.4">
      <c r="B22" s="776" t="s">
        <v>593</v>
      </c>
      <c r="C22" s="895"/>
      <c r="D22" s="771"/>
      <c r="E22" s="771"/>
      <c r="F22" s="771"/>
      <c r="G22" s="771"/>
      <c r="H22" s="771"/>
      <c r="I22" s="775"/>
      <c r="J22" s="775"/>
      <c r="K22" s="775"/>
      <c r="L22" s="775"/>
      <c r="M22" s="775"/>
      <c r="N22" s="1281">
        <v>4.567152206890001E-2</v>
      </c>
      <c r="O22" s="772">
        <v>4.2277286216399999E-2</v>
      </c>
      <c r="P22" s="772">
        <v>4.0754561492381741E-2</v>
      </c>
      <c r="Q22" s="772">
        <v>4.8415189663161003E-2</v>
      </c>
      <c r="R22" s="772">
        <v>4.414011474616656E-2</v>
      </c>
      <c r="S22" s="772">
        <v>4.5199186185110131E-2</v>
      </c>
      <c r="T22" s="772">
        <v>4.2430070138131312E-2</v>
      </c>
      <c r="U22" s="772">
        <v>5.0006235036843698E-2</v>
      </c>
      <c r="V22" s="2132">
        <f>'02 CO2'!E43</f>
        <v>5.1746621444047042E-2</v>
      </c>
      <c r="W22" s="773"/>
      <c r="X22" s="773"/>
    </row>
    <row r="23" spans="2:49" x14ac:dyDescent="0.4">
      <c r="B23" s="776" t="s">
        <v>350</v>
      </c>
      <c r="C23" s="895"/>
      <c r="D23" s="771"/>
      <c r="E23" s="771"/>
      <c r="F23" s="771"/>
      <c r="G23" s="771"/>
      <c r="H23" s="771"/>
      <c r="I23" s="775"/>
      <c r="J23" s="775"/>
      <c r="K23" s="775"/>
      <c r="L23" s="775"/>
      <c r="M23" s="775"/>
      <c r="N23" s="1281">
        <v>5.9170228375500004E-2</v>
      </c>
      <c r="O23" s="772">
        <v>5.0701844689599998E-2</v>
      </c>
      <c r="P23" s="772">
        <v>5.1348695320073232E-2</v>
      </c>
      <c r="Q23" s="772">
        <v>5.2285235352885331E-2</v>
      </c>
      <c r="R23" s="772">
        <v>5.2178775311027235E-2</v>
      </c>
      <c r="S23" s="772">
        <v>5.1830123051968671E-2</v>
      </c>
      <c r="T23" s="772">
        <v>5.3135753838727477E-2</v>
      </c>
      <c r="U23" s="877">
        <v>4.8798036625735397E-2</v>
      </c>
      <c r="V23" s="2132">
        <f>'02 CO2'!F43</f>
        <v>4.8391268709835698E-2</v>
      </c>
    </row>
    <row r="24" spans="2:49" x14ac:dyDescent="0.4">
      <c r="B24" s="777" t="s">
        <v>1127</v>
      </c>
      <c r="C24" s="899">
        <v>15.84</v>
      </c>
      <c r="D24" s="778">
        <f t="shared" ref="D24:M24" si="0">SUM(D19:D21)</f>
        <v>17.536663452518578</v>
      </c>
      <c r="E24" s="778">
        <f t="shared" si="0"/>
        <v>17.791542439466198</v>
      </c>
      <c r="F24" s="778">
        <f t="shared" si="0"/>
        <v>17.950073834644932</v>
      </c>
      <c r="G24" s="778">
        <f t="shared" si="0"/>
        <v>18.108605229823667</v>
      </c>
      <c r="H24" s="778">
        <f t="shared" si="0"/>
        <v>16.848706487438324</v>
      </c>
      <c r="I24" s="779">
        <f t="shared" si="0"/>
        <v>17.30996</v>
      </c>
      <c r="J24" s="779">
        <f t="shared" si="0"/>
        <v>17.224459999999997</v>
      </c>
      <c r="K24" s="779">
        <f t="shared" si="0"/>
        <v>16.838250000000002</v>
      </c>
      <c r="L24" s="779">
        <f t="shared" si="0"/>
        <v>16.925860000000004</v>
      </c>
      <c r="M24" s="779">
        <f t="shared" si="0"/>
        <v>15.251250000000001</v>
      </c>
      <c r="N24" s="1587">
        <v>15.884247297054664</v>
      </c>
      <c r="O24" s="779">
        <v>13.943076901887913</v>
      </c>
      <c r="P24" s="779">
        <v>15.342948224642974</v>
      </c>
      <c r="Q24" s="779">
        <v>14.909872299554445</v>
      </c>
      <c r="R24" s="779">
        <v>13.381977390041097</v>
      </c>
      <c r="S24" s="779">
        <v>12.129001775718693</v>
      </c>
      <c r="T24" s="779">
        <f>SUM(T19:T23)</f>
        <v>11.399518991473553</v>
      </c>
      <c r="U24" s="779">
        <f>SUM(U19:U23)</f>
        <v>11.336967484360846</v>
      </c>
      <c r="V24" s="2134">
        <f>SUM(V19:V23)</f>
        <v>10.567739756779782</v>
      </c>
      <c r="W24" s="780"/>
      <c r="X24" s="780"/>
      <c r="Y24" s="780"/>
      <c r="Z24" s="780"/>
      <c r="AA24" s="780"/>
      <c r="AB24" s="780"/>
      <c r="AC24" s="780"/>
      <c r="AD24" s="780"/>
      <c r="AE24" s="780"/>
      <c r="AF24" s="780"/>
      <c r="AG24" s="780"/>
      <c r="AH24" s="780"/>
      <c r="AI24" s="780"/>
      <c r="AJ24" s="780"/>
      <c r="AK24" s="780"/>
      <c r="AL24" s="780"/>
      <c r="AM24" s="780"/>
      <c r="AN24" s="780"/>
      <c r="AO24" s="780"/>
      <c r="AP24" s="780"/>
      <c r="AQ24" s="780"/>
      <c r="AR24" s="780"/>
      <c r="AS24" s="780"/>
      <c r="AT24" s="780"/>
      <c r="AU24" s="780"/>
      <c r="AV24" s="780"/>
      <c r="AW24" s="780"/>
    </row>
    <row r="25" spans="2:49" x14ac:dyDescent="0.4">
      <c r="B25" s="769" t="s">
        <v>1615</v>
      </c>
      <c r="C25" s="1588"/>
      <c r="D25" s="781"/>
      <c r="E25" s="782">
        <f t="shared" ref="E25:M25" si="1">(E$24-$D$24)/$D$24</f>
        <v>1.4534063884941297E-2</v>
      </c>
      <c r="F25" s="782">
        <f t="shared" si="1"/>
        <v>2.3574061465322885E-2</v>
      </c>
      <c r="G25" s="782">
        <f t="shared" si="1"/>
        <v>3.2614059045704469E-2</v>
      </c>
      <c r="H25" s="782">
        <f t="shared" si="1"/>
        <v>-3.9229638348419742E-2</v>
      </c>
      <c r="I25" s="782">
        <f t="shared" si="1"/>
        <v>-1.2927399395694006E-2</v>
      </c>
      <c r="J25" s="782">
        <f t="shared" si="1"/>
        <v>-1.7802899243854912E-2</v>
      </c>
      <c r="K25" s="782">
        <f t="shared" si="1"/>
        <v>-3.9825902710031835E-2</v>
      </c>
      <c r="L25" s="782">
        <f t="shared" si="1"/>
        <v>-3.483008350889303E-2</v>
      </c>
      <c r="M25" s="782">
        <f t="shared" si="1"/>
        <v>-0.13032202269869936</v>
      </c>
      <c r="N25" s="889">
        <v>-9.422637093640511E-2</v>
      </c>
      <c r="O25" s="1299">
        <v>-0.20491848750821307</v>
      </c>
      <c r="P25" s="1299">
        <v>-0.1250930790691856</v>
      </c>
      <c r="Q25" s="1299">
        <v>-0.1497885364611293</v>
      </c>
      <c r="R25" s="1299">
        <v>-0.23691428382180613</v>
      </c>
      <c r="S25" s="1299">
        <v>-0.30836320098412151</v>
      </c>
      <c r="T25" s="1299">
        <v>-0.35118126137963546</v>
      </c>
      <c r="U25" s="1299">
        <f>(U$24-$D$24)/$D$24</f>
        <v>-0.35352768130287321</v>
      </c>
      <c r="V25" s="2135">
        <f>(V$24-$D$24)/$D$24</f>
        <v>-0.39739165403997845</v>
      </c>
    </row>
    <row r="26" spans="2:49" x14ac:dyDescent="0.4">
      <c r="B26" s="783" t="s">
        <v>1787</v>
      </c>
      <c r="C26" s="896" t="s">
        <v>1614</v>
      </c>
      <c r="D26" s="1585" t="s">
        <v>257</v>
      </c>
      <c r="E26" s="1585" t="s">
        <v>257</v>
      </c>
      <c r="F26" s="1585" t="s">
        <v>1614</v>
      </c>
      <c r="G26" s="1585" t="s">
        <v>257</v>
      </c>
      <c r="H26" s="1585" t="s">
        <v>257</v>
      </c>
      <c r="I26" s="1585" t="s">
        <v>257</v>
      </c>
      <c r="J26" s="1585" t="s">
        <v>257</v>
      </c>
      <c r="K26" s="1585" t="s">
        <v>257</v>
      </c>
      <c r="L26" s="1585" t="s">
        <v>257</v>
      </c>
      <c r="M26" s="1585" t="s">
        <v>257</v>
      </c>
      <c r="N26" s="896" t="s">
        <v>257</v>
      </c>
      <c r="O26" s="1585" t="s">
        <v>257</v>
      </c>
      <c r="P26" s="1585" t="s">
        <v>257</v>
      </c>
      <c r="Q26" s="1585" t="s">
        <v>257</v>
      </c>
      <c r="R26" s="1585" t="s">
        <v>257</v>
      </c>
      <c r="S26" s="1585" t="s">
        <v>1111</v>
      </c>
      <c r="T26" s="1585" t="s">
        <v>1614</v>
      </c>
      <c r="U26" s="1617" t="s">
        <v>257</v>
      </c>
      <c r="V26" s="2136" t="s">
        <v>1111</v>
      </c>
    </row>
    <row r="27" spans="2:49" x14ac:dyDescent="0.4">
      <c r="B27" s="769" t="s">
        <v>592</v>
      </c>
      <c r="C27" s="895"/>
      <c r="D27" s="770">
        <v>6.3776900000000003</v>
      </c>
      <c r="E27" s="770">
        <v>6.1624141325996131</v>
      </c>
      <c r="F27" s="771">
        <f>(G27-E27)/2+E27</f>
        <v>5.6663258412998063</v>
      </c>
      <c r="G27" s="770">
        <v>5.1702375499999995</v>
      </c>
      <c r="H27" s="770">
        <v>6.515408999099999</v>
      </c>
      <c r="I27" s="772">
        <v>5.0811700000000002</v>
      </c>
      <c r="J27" s="772">
        <v>4.8112299999999992</v>
      </c>
      <c r="K27" s="772">
        <v>4.3936400000000004</v>
      </c>
      <c r="L27" s="772">
        <v>4.6283300000000001</v>
      </c>
      <c r="M27" s="772">
        <v>4.1508199999999995</v>
      </c>
      <c r="N27" s="1281">
        <v>4.622712209108844</v>
      </c>
      <c r="O27" s="772">
        <v>3.8315263896321357</v>
      </c>
      <c r="P27" s="772">
        <v>4.1744142462179532</v>
      </c>
      <c r="Q27" s="772">
        <v>4.1967087284582902</v>
      </c>
      <c r="R27" s="772">
        <v>3.6228793522777547</v>
      </c>
      <c r="S27" s="772">
        <v>3.2408422586493257</v>
      </c>
      <c r="T27" s="772">
        <v>3.6553182445048504</v>
      </c>
      <c r="U27" s="772">
        <v>3.7974015044924783</v>
      </c>
      <c r="V27" s="2137">
        <f>'02 CO2'!J43</f>
        <v>3.7465674667707853</v>
      </c>
    </row>
    <row r="28" spans="2:49" x14ac:dyDescent="0.4">
      <c r="B28" s="769" t="s">
        <v>16</v>
      </c>
      <c r="C28" s="895"/>
      <c r="D28" s="770">
        <f>16.3113908174995-D42</f>
        <v>15.332707368449531</v>
      </c>
      <c r="E28" s="770">
        <f>14.0074473342859-E42</f>
        <v>13.167000494228747</v>
      </c>
      <c r="F28" s="771">
        <f>((G28-E28)/2+E28)</f>
        <v>13.793682274467599</v>
      </c>
      <c r="G28" s="770">
        <f>15.3408128241558-G42</f>
        <v>14.42036405470645</v>
      </c>
      <c r="H28" s="770">
        <f>13.800344971-H42</f>
        <v>12.97232427274</v>
      </c>
      <c r="I28" s="772">
        <f>14.38383-I42</f>
        <v>13.399215935633588</v>
      </c>
      <c r="J28" s="772">
        <f>16.09472-J42</f>
        <v>15.116017344655518</v>
      </c>
      <c r="K28" s="772">
        <f>15.7384-K42</f>
        <v>14.759697344655518</v>
      </c>
      <c r="L28" s="772">
        <f>15.74768-L42</f>
        <v>14.510419294530832</v>
      </c>
      <c r="M28" s="772">
        <f>13.89318-M42</f>
        <v>12.655919294530831</v>
      </c>
      <c r="N28" s="1281">
        <v>12.898459216804063</v>
      </c>
      <c r="O28" s="772">
        <v>11.664652415487277</v>
      </c>
      <c r="P28" s="772">
        <v>13.612870861556264</v>
      </c>
      <c r="Q28" s="772">
        <v>12.498370635705845</v>
      </c>
      <c r="R28" s="772">
        <v>11.561717954752838</v>
      </c>
      <c r="S28" s="772">
        <v>9.4632434644688583</v>
      </c>
      <c r="T28" s="772">
        <v>7.1099735409886895</v>
      </c>
      <c r="U28" s="772">
        <v>6.3878532106131543</v>
      </c>
      <c r="V28" s="2137">
        <f>'02 CO2'!I43</f>
        <v>5.8698944661131867</v>
      </c>
    </row>
    <row r="29" spans="2:49" x14ac:dyDescent="0.4">
      <c r="B29" s="769" t="s">
        <v>1617</v>
      </c>
      <c r="C29" s="895"/>
      <c r="D29" s="771"/>
      <c r="E29" s="771"/>
      <c r="F29" s="771"/>
      <c r="G29" s="771"/>
      <c r="H29" s="771"/>
      <c r="I29" s="772">
        <v>0.12858</v>
      </c>
      <c r="J29" s="772">
        <v>0.10432</v>
      </c>
      <c r="K29" s="772">
        <v>9.8180000000000003E-2</v>
      </c>
      <c r="L29" s="772">
        <v>9.8699999999999996E-2</v>
      </c>
      <c r="M29" s="772">
        <v>9.7269999999999995E-2</v>
      </c>
      <c r="N29" s="1281">
        <v>6.7887657168390833E-2</v>
      </c>
      <c r="O29" s="772">
        <v>2.3230612481642949E-2</v>
      </c>
      <c r="P29" s="772">
        <v>3.1015273559303919E-2</v>
      </c>
      <c r="Q29" s="772">
        <v>3.2036896288963487E-2</v>
      </c>
      <c r="R29" s="772">
        <v>1.9515064033348482E-2</v>
      </c>
      <c r="S29" s="772">
        <v>1.8515611237628619E-2</v>
      </c>
      <c r="T29" s="772">
        <v>1.3472645039280001E-2</v>
      </c>
      <c r="U29" s="772">
        <v>1.3795750565280002E-2</v>
      </c>
      <c r="V29" s="2138">
        <f>'02 CO2'!J41/1000</f>
        <v>1.3753861391520001E-2</v>
      </c>
    </row>
    <row r="30" spans="2:49" x14ac:dyDescent="0.4">
      <c r="B30" s="769" t="s">
        <v>1228</v>
      </c>
      <c r="C30" s="898"/>
      <c r="D30" s="770">
        <v>2.3540000000000001</v>
      </c>
      <c r="E30" s="770">
        <v>2.427995611576955</v>
      </c>
      <c r="F30" s="771">
        <v>1.6425944360431086</v>
      </c>
      <c r="G30" s="770">
        <v>0.85719326050926181</v>
      </c>
      <c r="H30" s="770">
        <v>0.56688732456668012</v>
      </c>
      <c r="I30" s="772">
        <v>0.62051999999999996</v>
      </c>
      <c r="J30" s="772">
        <v>0.58851999999999993</v>
      </c>
      <c r="K30" s="772">
        <v>0.59575</v>
      </c>
      <c r="L30" s="772">
        <v>0.61424000000000001</v>
      </c>
      <c r="M30" s="772">
        <v>0.4743</v>
      </c>
      <c r="N30" s="1586"/>
      <c r="O30" s="775"/>
      <c r="P30" s="775"/>
      <c r="Q30" s="775"/>
      <c r="R30" s="775"/>
      <c r="S30" s="775"/>
      <c r="T30" s="775"/>
      <c r="U30" s="775"/>
      <c r="V30" s="2139"/>
    </row>
    <row r="31" spans="2:49" x14ac:dyDescent="0.4">
      <c r="B31" s="769" t="s">
        <v>593</v>
      </c>
      <c r="C31" s="898"/>
      <c r="D31" s="771"/>
      <c r="E31" s="771"/>
      <c r="F31" s="771"/>
      <c r="G31" s="771"/>
      <c r="H31" s="771"/>
      <c r="I31" s="775"/>
      <c r="J31" s="775"/>
      <c r="K31" s="775"/>
      <c r="L31" s="775"/>
      <c r="M31" s="775"/>
      <c r="N31" s="1281">
        <v>2.1815640992400003E-2</v>
      </c>
      <c r="O31" s="772">
        <v>2.0311215360800002E-2</v>
      </c>
      <c r="P31" s="772">
        <v>2.021423443905012E-2</v>
      </c>
      <c r="Q31" s="772">
        <v>1.2121905726397198E-2</v>
      </c>
      <c r="R31" s="772">
        <v>1.0206357677209989E-2</v>
      </c>
      <c r="S31" s="772">
        <v>6.462556867198742E-3</v>
      </c>
      <c r="T31" s="772">
        <v>1.0395987165782331E-2</v>
      </c>
      <c r="U31" s="772">
        <v>9.6209903932738556E-3</v>
      </c>
      <c r="V31" s="2137">
        <f>'02 CO2'!K43</f>
        <v>8.6404694800835593E-3</v>
      </c>
    </row>
    <row r="32" spans="2:49" x14ac:dyDescent="0.4">
      <c r="B32" s="769" t="s">
        <v>350</v>
      </c>
      <c r="C32" s="898"/>
      <c r="D32" s="771"/>
      <c r="E32" s="771"/>
      <c r="F32" s="771"/>
      <c r="G32" s="771"/>
      <c r="H32" s="771"/>
      <c r="I32" s="775"/>
      <c r="J32" s="775"/>
      <c r="K32" s="775"/>
      <c r="L32" s="775"/>
      <c r="M32" s="775"/>
      <c r="N32" s="1281">
        <v>0.5897384945226003</v>
      </c>
      <c r="O32" s="772">
        <v>0.54024544947079989</v>
      </c>
      <c r="P32" s="772">
        <v>0.52789391796854968</v>
      </c>
      <c r="Q32" s="772">
        <v>0.50228663536836471</v>
      </c>
      <c r="R32" s="772">
        <v>0.55850110302180089</v>
      </c>
      <c r="S32" s="772">
        <v>0.56761134963585269</v>
      </c>
      <c r="T32" s="772">
        <v>0.63339611420936792</v>
      </c>
      <c r="U32" s="772">
        <v>0.58711035467044437</v>
      </c>
      <c r="V32" s="2137">
        <f>'02 CO2'!L43</f>
        <v>0.5657541584814888</v>
      </c>
    </row>
    <row r="33" spans="2:42" x14ac:dyDescent="0.4">
      <c r="B33" s="769" t="s">
        <v>227</v>
      </c>
      <c r="C33" s="898"/>
      <c r="D33" s="771"/>
      <c r="E33" s="771"/>
      <c r="F33" s="771"/>
      <c r="G33" s="771"/>
      <c r="H33" s="771"/>
      <c r="I33" s="775"/>
      <c r="J33" s="775"/>
      <c r="K33" s="775"/>
      <c r="L33" s="775"/>
      <c r="M33" s="775"/>
      <c r="N33" s="1281">
        <v>2.2701169184037997E-2</v>
      </c>
      <c r="O33" s="772">
        <v>3.8970447980301727E-2</v>
      </c>
      <c r="P33" s="772">
        <v>3.5718205436596449E-2</v>
      </c>
      <c r="Q33" s="772">
        <v>4.4016591937522685E-2</v>
      </c>
      <c r="R33" s="772">
        <v>0.21378894220242065</v>
      </c>
      <c r="S33" s="772">
        <v>0.20120721315927498</v>
      </c>
      <c r="T33" s="772">
        <v>0.20258482393820468</v>
      </c>
      <c r="U33" s="772">
        <v>0.19686573439374414</v>
      </c>
      <c r="V33" s="2137">
        <f>'02 CO2'!M43</f>
        <v>0.21485326038940158</v>
      </c>
    </row>
    <row r="34" spans="2:42" x14ac:dyDescent="0.4">
      <c r="B34" s="769" t="s">
        <v>1906</v>
      </c>
      <c r="C34" s="898"/>
      <c r="D34" s="771"/>
      <c r="E34" s="771"/>
      <c r="F34" s="771"/>
      <c r="G34" s="771"/>
      <c r="H34" s="771"/>
      <c r="I34" s="775"/>
      <c r="J34" s="775"/>
      <c r="K34" s="775"/>
      <c r="L34" s="775"/>
      <c r="M34" s="775"/>
      <c r="N34" s="1586"/>
      <c r="O34" s="775"/>
      <c r="P34" s="775"/>
      <c r="Q34" s="775"/>
      <c r="R34" s="997">
        <v>0.65969103693986775</v>
      </c>
      <c r="S34" s="997">
        <v>0.67788025426231924</v>
      </c>
      <c r="T34" s="997">
        <v>0.6988446993544315</v>
      </c>
      <c r="U34" s="997">
        <v>0.53535750079062727</v>
      </c>
      <c r="V34" s="2137">
        <f>SUM('Ia.Energy-Stationary '!P56:P57,'Ia.Energy-Stationary '!P59)/1000000</f>
        <v>0.69644829946724474</v>
      </c>
    </row>
    <row r="35" spans="2:42" x14ac:dyDescent="0.4">
      <c r="B35" s="777" t="s">
        <v>1127</v>
      </c>
      <c r="C35" s="899">
        <v>19.739999999999998</v>
      </c>
      <c r="D35" s="778">
        <f t="shared" ref="D35:J35" si="2">SUM(D27:D30)</f>
        <v>24.06439736844953</v>
      </c>
      <c r="E35" s="778">
        <f t="shared" si="2"/>
        <v>21.757410238405313</v>
      </c>
      <c r="F35" s="778">
        <f t="shared" si="2"/>
        <v>21.102602551810513</v>
      </c>
      <c r="G35" s="778">
        <f t="shared" si="2"/>
        <v>20.447794865215712</v>
      </c>
      <c r="H35" s="778">
        <f t="shared" si="2"/>
        <v>20.054620596406679</v>
      </c>
      <c r="I35" s="779">
        <f t="shared" si="2"/>
        <v>19.229485935633587</v>
      </c>
      <c r="J35" s="779">
        <f t="shared" si="2"/>
        <v>20.620087344655516</v>
      </c>
      <c r="K35" s="779">
        <f>SUM(K27:K30)</f>
        <v>19.847267344655517</v>
      </c>
      <c r="L35" s="779">
        <f>SUM(L27:L30)</f>
        <v>19.851689294530832</v>
      </c>
      <c r="M35" s="779">
        <f>SUM(M27:M30)</f>
        <v>17.37830929453083</v>
      </c>
      <c r="N35" s="1587">
        <v>18.223314387780338</v>
      </c>
      <c r="O35" s="779">
        <v>16.118936530412956</v>
      </c>
      <c r="P35" s="779">
        <v>18.402126739177714</v>
      </c>
      <c r="Q35" s="779">
        <v>17.285541393485385</v>
      </c>
      <c r="R35" s="779">
        <v>15.986608773965372</v>
      </c>
      <c r="S35" s="779">
        <v>13.497882454018137</v>
      </c>
      <c r="T35" s="779">
        <v>11.625141355846177</v>
      </c>
      <c r="U35" s="779">
        <f>SUM(U27:U33)</f>
        <v>10.992647545128374</v>
      </c>
      <c r="V35" s="890">
        <f>SUM(V27:V33)</f>
        <v>10.419463682626466</v>
      </c>
      <c r="W35" s="780"/>
      <c r="X35" s="780"/>
      <c r="Y35" s="780"/>
      <c r="Z35" s="780"/>
      <c r="AA35" s="780"/>
      <c r="AB35" s="780"/>
      <c r="AC35" s="780"/>
      <c r="AD35" s="780"/>
      <c r="AE35" s="780"/>
      <c r="AF35" s="780"/>
      <c r="AG35" s="780"/>
      <c r="AH35" s="780"/>
      <c r="AI35" s="780"/>
      <c r="AJ35" s="780"/>
      <c r="AK35" s="780"/>
      <c r="AL35" s="780"/>
      <c r="AM35" s="780"/>
      <c r="AN35" s="780"/>
      <c r="AO35" s="780"/>
    </row>
    <row r="36" spans="2:42" x14ac:dyDescent="0.4">
      <c r="B36" s="784" t="s">
        <v>1615</v>
      </c>
      <c r="C36" s="875"/>
      <c r="D36" s="1590"/>
      <c r="E36" s="1299">
        <f t="shared" ref="E36:M36" si="3">(E$35-$D$35)/$D$35</f>
        <v>-9.5867230528235578E-2</v>
      </c>
      <c r="F36" s="1299">
        <f t="shared" si="3"/>
        <v>-0.12307787189893156</v>
      </c>
      <c r="G36" s="1299">
        <f t="shared" si="3"/>
        <v>-0.15028851326962755</v>
      </c>
      <c r="H36" s="1299">
        <f t="shared" si="3"/>
        <v>-0.1666269348302904</v>
      </c>
      <c r="I36" s="1299">
        <f t="shared" si="3"/>
        <v>-0.20091554169376055</v>
      </c>
      <c r="J36" s="1299">
        <f t="shared" si="3"/>
        <v>-0.14312887088167006</v>
      </c>
      <c r="K36" s="1299">
        <f t="shared" si="3"/>
        <v>-0.17524353339190737</v>
      </c>
      <c r="L36" s="1299">
        <f t="shared" si="3"/>
        <v>-0.17505977853581808</v>
      </c>
      <c r="M36" s="1299">
        <f t="shared" si="3"/>
        <v>-0.27784149220726923</v>
      </c>
      <c r="N36" s="889">
        <v>-0.24272716624632157</v>
      </c>
      <c r="O36" s="1299">
        <v>-0.33017493504548545</v>
      </c>
      <c r="P36" s="1299">
        <v>-0.23529658950427465</v>
      </c>
      <c r="Q36" s="1299">
        <v>-0.28169647762930483</v>
      </c>
      <c r="R36" s="1299">
        <v>-0.33567383678075502</v>
      </c>
      <c r="S36" s="1299">
        <v>-0.4390932693076699</v>
      </c>
      <c r="T36" s="1299">
        <f>(T$35-$D$35)/$D$35</f>
        <v>-0.51691533438989312</v>
      </c>
      <c r="U36" s="1299">
        <f>(U$35-$D$35)/$D$35</f>
        <v>-0.54319871896976446</v>
      </c>
      <c r="V36" s="1594">
        <f>(V$35-$D$35)/$D$35</f>
        <v>-0.56701746887344584</v>
      </c>
      <c r="W36" s="1828"/>
      <c r="X36" s="1828"/>
    </row>
    <row r="37" spans="2:42" x14ac:dyDescent="0.4">
      <c r="B37" s="2156" t="s">
        <v>2379</v>
      </c>
      <c r="C37" s="2158"/>
      <c r="D37" s="2159">
        <v>0.26335902503571434</v>
      </c>
      <c r="E37" s="2159">
        <v>0.28910248264285721</v>
      </c>
      <c r="F37" s="2159">
        <v>0.26750938639285721</v>
      </c>
      <c r="G37" s="2159">
        <v>0.24591629014285715</v>
      </c>
      <c r="H37" s="2159">
        <v>0.24695240453571429</v>
      </c>
      <c r="I37" s="2159">
        <v>0.23385485592857147</v>
      </c>
      <c r="J37" s="2159">
        <v>0.22452097071428576</v>
      </c>
      <c r="K37" s="2159">
        <v>0.22195282392857149</v>
      </c>
      <c r="L37" s="2159">
        <v>0.21938172525000002</v>
      </c>
      <c r="M37" s="2159">
        <v>0.2190038829642858</v>
      </c>
      <c r="N37" s="2159">
        <v>0.21862308878571432</v>
      </c>
      <c r="O37" s="2159">
        <v>0.17987063935714287</v>
      </c>
      <c r="P37" s="2159">
        <v>0.19613261710714286</v>
      </c>
      <c r="Q37" s="2159">
        <v>0.1992704792142857</v>
      </c>
      <c r="R37" s="2159">
        <v>0.17590034346428571</v>
      </c>
      <c r="S37" s="2159">
        <v>0.16482779335714287</v>
      </c>
      <c r="T37" s="2159">
        <v>0.17242301367857144</v>
      </c>
      <c r="U37" s="2159">
        <v>0.18387930985714288</v>
      </c>
      <c r="V37" s="2160">
        <f>'Ia.Energy-Stationary '!P95/1000000</f>
        <v>0.16640578435584918</v>
      </c>
      <c r="W37" s="773"/>
      <c r="X37" s="1828"/>
    </row>
    <row r="38" spans="2:42" ht="13.5" thickBot="1" x14ac:dyDescent="0.45">
      <c r="B38" s="777" t="s">
        <v>2383</v>
      </c>
      <c r="C38" s="2166">
        <f>C24+C35+C37</f>
        <v>35.58</v>
      </c>
      <c r="D38" s="2167">
        <f>D24+D35+D37</f>
        <v>41.86441984600382</v>
      </c>
      <c r="E38" s="2167">
        <f t="shared" ref="E38:U38" si="4">E24+E35+E37</f>
        <v>39.838055160514372</v>
      </c>
      <c r="F38" s="2167">
        <f t="shared" si="4"/>
        <v>39.320185772848305</v>
      </c>
      <c r="G38" s="2167">
        <f t="shared" si="4"/>
        <v>38.802316385182237</v>
      </c>
      <c r="H38" s="2167">
        <f t="shared" si="4"/>
        <v>37.150279488380711</v>
      </c>
      <c r="I38" s="2167">
        <f t="shared" si="4"/>
        <v>36.773300791562157</v>
      </c>
      <c r="J38" s="2167">
        <f t="shared" si="4"/>
        <v>38.069068315369798</v>
      </c>
      <c r="K38" s="2167">
        <f t="shared" si="4"/>
        <v>36.907470168584091</v>
      </c>
      <c r="L38" s="2167">
        <f t="shared" si="4"/>
        <v>36.996931019780838</v>
      </c>
      <c r="M38" s="2167">
        <f t="shared" si="4"/>
        <v>32.848563177495116</v>
      </c>
      <c r="N38" s="2167">
        <f t="shared" si="4"/>
        <v>34.326184773620717</v>
      </c>
      <c r="O38" s="2167">
        <f t="shared" si="4"/>
        <v>30.241884071658014</v>
      </c>
      <c r="P38" s="2167">
        <f t="shared" si="4"/>
        <v>33.941207580927831</v>
      </c>
      <c r="Q38" s="2167">
        <f t="shared" si="4"/>
        <v>32.394684172254117</v>
      </c>
      <c r="R38" s="2167">
        <f t="shared" si="4"/>
        <v>29.544486507470754</v>
      </c>
      <c r="S38" s="2167">
        <f t="shared" si="4"/>
        <v>25.791712023093975</v>
      </c>
      <c r="T38" s="2167">
        <f t="shared" si="4"/>
        <v>23.197083360998302</v>
      </c>
      <c r="U38" s="2167">
        <f t="shared" si="4"/>
        <v>22.513494339346362</v>
      </c>
      <c r="V38" s="2157">
        <f>V24+V35+V37</f>
        <v>21.153609223762096</v>
      </c>
      <c r="W38" s="1831"/>
      <c r="X38" s="1831"/>
      <c r="Y38" s="1831"/>
      <c r="Z38" s="1831"/>
      <c r="AA38" s="1831"/>
      <c r="AB38" s="1831"/>
      <c r="AC38" s="1831"/>
      <c r="AD38" s="1831"/>
      <c r="AE38" s="1831"/>
      <c r="AF38" s="1831"/>
      <c r="AG38" s="1831"/>
      <c r="AH38" s="1831"/>
      <c r="AI38" s="1831"/>
      <c r="AJ38" s="1831"/>
      <c r="AK38" s="1831"/>
      <c r="AL38" s="1831"/>
      <c r="AM38" s="1831"/>
      <c r="AN38" s="1831"/>
      <c r="AO38" s="1831"/>
      <c r="AP38" s="1831"/>
    </row>
    <row r="39" spans="2:42" x14ac:dyDescent="0.4">
      <c r="B39" s="783" t="s">
        <v>1788</v>
      </c>
      <c r="C39" s="2161" t="s">
        <v>1614</v>
      </c>
      <c r="D39" s="2162" t="s">
        <v>257</v>
      </c>
      <c r="E39" s="2162" t="s">
        <v>257</v>
      </c>
      <c r="F39" s="2162" t="s">
        <v>1614</v>
      </c>
      <c r="G39" s="2162" t="s">
        <v>257</v>
      </c>
      <c r="H39" s="2162" t="s">
        <v>257</v>
      </c>
      <c r="I39" s="2162" t="s">
        <v>365</v>
      </c>
      <c r="J39" s="2162" t="s">
        <v>257</v>
      </c>
      <c r="K39" s="2162" t="s">
        <v>1614</v>
      </c>
      <c r="L39" s="2162" t="s">
        <v>257</v>
      </c>
      <c r="M39" s="2163" t="s">
        <v>1614</v>
      </c>
      <c r="N39" s="2164" t="s">
        <v>257</v>
      </c>
      <c r="O39" s="2162" t="s">
        <v>1614</v>
      </c>
      <c r="P39" s="2162" t="s">
        <v>1614</v>
      </c>
      <c r="Q39" s="2162" t="s">
        <v>1614</v>
      </c>
      <c r="R39" s="2162" t="s">
        <v>257</v>
      </c>
      <c r="S39" s="2162" t="s">
        <v>1618</v>
      </c>
      <c r="T39" s="2162" t="s">
        <v>1614</v>
      </c>
      <c r="U39" s="2162" t="s">
        <v>1614</v>
      </c>
      <c r="V39" s="2165" t="s">
        <v>1614</v>
      </c>
      <c r="W39" s="2220" t="s">
        <v>1704</v>
      </c>
      <c r="X39" s="2220"/>
      <c r="Y39" s="2220"/>
      <c r="Z39" s="2221"/>
    </row>
    <row r="40" spans="2:42" ht="14.25" x14ac:dyDescent="0.4">
      <c r="B40" s="769" t="s">
        <v>758</v>
      </c>
      <c r="C40" s="895">
        <v>7.2198580274391704</v>
      </c>
      <c r="D40" s="770">
        <v>6.6230000000000002</v>
      </c>
      <c r="E40" s="770">
        <v>7.0018640922424504</v>
      </c>
      <c r="F40" s="771">
        <f>(G40-E40)/2+E40</f>
        <v>7.2403405461212254</v>
      </c>
      <c r="G40" s="770">
        <v>7.4788170000000003</v>
      </c>
      <c r="H40" s="770">
        <v>7.4316359508488175</v>
      </c>
      <c r="I40" s="770">
        <v>7.3213608571315705</v>
      </c>
      <c r="J40" s="770">
        <v>7.2592374179067614</v>
      </c>
      <c r="K40" s="771">
        <f>J40</f>
        <v>7.2592374179067614</v>
      </c>
      <c r="L40" s="770">
        <v>6.981446</v>
      </c>
      <c r="M40" s="897">
        <f>L40</f>
        <v>6.981446</v>
      </c>
      <c r="N40" s="772">
        <v>6.3921827831954143</v>
      </c>
      <c r="O40" s="775">
        <v>6.3921827831954143</v>
      </c>
      <c r="P40" s="775">
        <v>6.3921827831954143</v>
      </c>
      <c r="Q40" s="775">
        <v>6.356396803538142</v>
      </c>
      <c r="R40" s="775">
        <v>6.6202188248141747</v>
      </c>
      <c r="S40" s="775">
        <v>6.4321619599887416</v>
      </c>
      <c r="T40" s="775">
        <v>6.5258905053600857</v>
      </c>
      <c r="U40" s="772">
        <v>6.2554560166393234</v>
      </c>
      <c r="V40" s="1592">
        <f>'02 CO2'!S43</f>
        <v>6.2204863894384603</v>
      </c>
      <c r="W40" s="2222"/>
      <c r="X40" s="2222"/>
      <c r="Y40" s="2222"/>
      <c r="Z40" s="2223"/>
    </row>
    <row r="41" spans="2:42" ht="14.25" x14ac:dyDescent="0.4">
      <c r="B41" s="769" t="s">
        <v>1839</v>
      </c>
      <c r="C41" s="895">
        <v>1.38678591470095</v>
      </c>
      <c r="D41" s="770">
        <v>0.24322470170206273</v>
      </c>
      <c r="E41" s="770">
        <v>0.70016122219096422</v>
      </c>
      <c r="F41" s="771">
        <f>(G41-E41)/2+E41</f>
        <v>0.84057263264239745</v>
      </c>
      <c r="G41" s="770">
        <v>0.98098404309383069</v>
      </c>
      <c r="H41" s="770">
        <v>0.18596729283489999</v>
      </c>
      <c r="I41" s="770">
        <v>0.1915460016638694</v>
      </c>
      <c r="J41" s="770">
        <v>0.19154631992269994</v>
      </c>
      <c r="K41" s="771">
        <f>J41</f>
        <v>0.19154631992269994</v>
      </c>
      <c r="L41" s="770">
        <v>0.28214885322012995</v>
      </c>
      <c r="M41" s="897">
        <f>L41</f>
        <v>0.28214885322012995</v>
      </c>
      <c r="N41" s="772">
        <v>0.11117350639241576</v>
      </c>
      <c r="O41" s="775">
        <v>0.11117350639241576</v>
      </c>
      <c r="P41" s="775">
        <v>0.11117350639241576</v>
      </c>
      <c r="Q41" s="775">
        <v>0.12557715980016201</v>
      </c>
      <c r="R41" s="775">
        <v>8.3949808187274488E-2</v>
      </c>
      <c r="S41" s="775">
        <v>8.3949808187274488E-2</v>
      </c>
      <c r="T41" s="775">
        <v>8.137816432801484E-2</v>
      </c>
      <c r="U41" s="772">
        <v>7.8010084755004774E-2</v>
      </c>
      <c r="V41" s="1592">
        <f>'02 CO2'!Q43</f>
        <v>7.7994893509336638E-2</v>
      </c>
      <c r="W41" s="2222"/>
      <c r="X41" s="2222"/>
      <c r="Y41" s="2222"/>
      <c r="Z41" s="2223"/>
    </row>
    <row r="42" spans="2:42" ht="14.25" x14ac:dyDescent="0.4">
      <c r="B42" s="769" t="s">
        <v>1840</v>
      </c>
      <c r="C42" s="898"/>
      <c r="D42" s="770">
        <v>0.97868344904996896</v>
      </c>
      <c r="E42" s="770">
        <v>0.84044684005715253</v>
      </c>
      <c r="F42" s="771">
        <v>0.88044780475325091</v>
      </c>
      <c r="G42" s="770">
        <v>0.92044876944934928</v>
      </c>
      <c r="H42" s="770">
        <v>0.82802069826000013</v>
      </c>
      <c r="I42" s="770">
        <v>0.98461406436641197</v>
      </c>
      <c r="J42" s="770">
        <v>0.97870265534448198</v>
      </c>
      <c r="K42" s="771">
        <f>J42</f>
        <v>0.97870265534448198</v>
      </c>
      <c r="L42" s="770">
        <v>1.2372607054691678</v>
      </c>
      <c r="M42" s="897">
        <f>L42</f>
        <v>1.2372607054691678</v>
      </c>
      <c r="N42" s="772">
        <v>1.1211576458406993</v>
      </c>
      <c r="O42" s="775">
        <v>1.1844945258434656</v>
      </c>
      <c r="P42" s="775">
        <v>1.1844945258434656</v>
      </c>
      <c r="Q42" s="775">
        <v>1.1996198300002749</v>
      </c>
      <c r="R42" s="775">
        <v>0.90829124530733019</v>
      </c>
      <c r="S42" s="775">
        <v>0.79164554255208264</v>
      </c>
      <c r="T42" s="775">
        <v>0.6390822095782196</v>
      </c>
      <c r="U42" s="772">
        <v>0.57938228367663014</v>
      </c>
      <c r="V42" s="1593">
        <f>'02 CO2'!R43</f>
        <v>0.51696111278062928</v>
      </c>
      <c r="W42" s="2222"/>
      <c r="X42" s="2222"/>
      <c r="Y42" s="2222"/>
      <c r="Z42" s="2223"/>
    </row>
    <row r="43" spans="2:42" ht="14.25" x14ac:dyDescent="0.4">
      <c r="B43" s="769" t="s">
        <v>623</v>
      </c>
      <c r="C43" s="895">
        <v>0.857652802635539</v>
      </c>
      <c r="D43" s="770">
        <v>0.85599999999999998</v>
      </c>
      <c r="E43" s="770">
        <v>0.76137405382977974</v>
      </c>
      <c r="F43" s="771">
        <f>(G43-E43)/2+E43</f>
        <v>0.91406117986745539</v>
      </c>
      <c r="G43" s="770">
        <v>1.066748305905131</v>
      </c>
      <c r="H43" s="770">
        <v>1.2012669136783831</v>
      </c>
      <c r="I43" s="770">
        <v>1.3568150454926271</v>
      </c>
      <c r="J43" s="770">
        <v>1.3568150454926271</v>
      </c>
      <c r="K43" s="771">
        <f>J43</f>
        <v>1.3568150454926271</v>
      </c>
      <c r="L43" s="770">
        <v>1.3870149446322475</v>
      </c>
      <c r="M43" s="897">
        <f>L43</f>
        <v>1.3870149446322475</v>
      </c>
      <c r="N43" s="772">
        <v>0.87113930912428172</v>
      </c>
      <c r="O43" s="775">
        <v>0.87113930912428172</v>
      </c>
      <c r="P43" s="775">
        <v>0.87113930912428172</v>
      </c>
      <c r="Q43" s="775">
        <v>0.97911973477215308</v>
      </c>
      <c r="R43" s="775">
        <v>0.93093236312720706</v>
      </c>
      <c r="S43" s="775">
        <v>0.94284606113427893</v>
      </c>
      <c r="T43" s="775">
        <v>1.0408009661121822</v>
      </c>
      <c r="U43" s="772">
        <v>1.0034836484884981</v>
      </c>
      <c r="V43" s="1592">
        <f>'02 CO2'!O43</f>
        <v>1.0162493037802147</v>
      </c>
      <c r="W43" s="2222"/>
      <c r="X43" s="2222"/>
      <c r="Y43" s="2222"/>
      <c r="Z43" s="2223"/>
    </row>
    <row r="44" spans="2:42" ht="14.25" x14ac:dyDescent="0.4">
      <c r="B44" s="769" t="s">
        <v>624</v>
      </c>
      <c r="C44" s="895">
        <v>0.01</v>
      </c>
      <c r="D44" s="770">
        <v>1.2E-2</v>
      </c>
      <c r="E44" s="770">
        <v>5.13139064592229E-3</v>
      </c>
      <c r="F44" s="771">
        <f>(G44-E44)/2+E44</f>
        <v>6.1604476335638102E-3</v>
      </c>
      <c r="G44" s="770">
        <v>7.1895046212053313E-3</v>
      </c>
      <c r="H44" s="770">
        <v>7.1570000000000002E-3</v>
      </c>
      <c r="I44" s="770">
        <v>7.261400736176816E-3</v>
      </c>
      <c r="J44" s="770">
        <v>7.2276935E-3</v>
      </c>
      <c r="K44" s="771">
        <f>J44</f>
        <v>7.2276935E-3</v>
      </c>
      <c r="L44" s="770">
        <v>7.2276935E-3</v>
      </c>
      <c r="M44" s="897">
        <f>L44</f>
        <v>7.2276935E-3</v>
      </c>
      <c r="N44" s="772">
        <v>1.9368174180161506E-2</v>
      </c>
      <c r="O44" s="775">
        <v>1.9368174180161506E-2</v>
      </c>
      <c r="P44" s="775">
        <v>1.9368174180161506E-2</v>
      </c>
      <c r="Q44" s="775">
        <v>1.8856281222837393E-2</v>
      </c>
      <c r="R44" s="775">
        <v>3.1205121066773821E-2</v>
      </c>
      <c r="S44" s="775">
        <v>3.1806999099130366E-2</v>
      </c>
      <c r="T44" s="775">
        <v>4.4092880767461887E-2</v>
      </c>
      <c r="U44" s="772">
        <v>4.2953941506399189E-2</v>
      </c>
      <c r="V44" s="1592">
        <f>'02 CO2'!P43</f>
        <v>4.0106479659647032E-2</v>
      </c>
      <c r="W44" s="2222"/>
      <c r="X44" s="2222"/>
      <c r="Y44" s="2222"/>
      <c r="Z44" s="2223"/>
    </row>
    <row r="45" spans="2:42" ht="14.25" x14ac:dyDescent="0.4">
      <c r="B45" s="769" t="s">
        <v>1712</v>
      </c>
      <c r="C45" s="895"/>
      <c r="D45" s="771"/>
      <c r="E45" s="771"/>
      <c r="F45" s="771"/>
      <c r="G45" s="771"/>
      <c r="H45" s="771"/>
      <c r="I45" s="771"/>
      <c r="J45" s="771"/>
      <c r="K45" s="771"/>
      <c r="L45" s="771"/>
      <c r="M45" s="897"/>
      <c r="N45" s="771"/>
      <c r="O45" s="771"/>
      <c r="P45" s="771"/>
      <c r="Q45" s="771"/>
      <c r="R45" s="771"/>
      <c r="S45" s="771"/>
      <c r="T45" s="771"/>
      <c r="U45" s="771"/>
      <c r="V45" s="1592">
        <f>SUM('Ib.Energy-Transport '!P61:P68)/1000000</f>
        <v>0.2375850642750314</v>
      </c>
      <c r="W45" s="2222"/>
      <c r="X45" s="2222"/>
      <c r="Y45" s="2222"/>
      <c r="Z45" s="2223"/>
    </row>
    <row r="46" spans="2:42" x14ac:dyDescent="0.4">
      <c r="B46" s="785" t="s">
        <v>1127</v>
      </c>
      <c r="C46" s="899">
        <f t="shared" ref="C46:M46" si="5">SUM(C40:C44)</f>
        <v>9.4742967447756588</v>
      </c>
      <c r="D46" s="778">
        <f t="shared" si="5"/>
        <v>8.7129081507520318</v>
      </c>
      <c r="E46" s="778">
        <f t="shared" si="5"/>
        <v>9.3089775989662691</v>
      </c>
      <c r="F46" s="778">
        <f t="shared" si="5"/>
        <v>9.8815826110178921</v>
      </c>
      <c r="G46" s="778">
        <f t="shared" si="5"/>
        <v>10.454187623069517</v>
      </c>
      <c r="H46" s="778">
        <f t="shared" si="5"/>
        <v>9.6540478556220997</v>
      </c>
      <c r="I46" s="779">
        <f t="shared" si="5"/>
        <v>9.8615973693906565</v>
      </c>
      <c r="J46" s="779">
        <f t="shared" si="5"/>
        <v>9.7935291321665705</v>
      </c>
      <c r="K46" s="779">
        <f t="shared" si="5"/>
        <v>9.7935291321665705</v>
      </c>
      <c r="L46" s="779">
        <f t="shared" si="5"/>
        <v>9.8950981968215466</v>
      </c>
      <c r="M46" s="890">
        <f t="shared" si="5"/>
        <v>9.8950981968215466</v>
      </c>
      <c r="N46" s="786">
        <v>8.5150214187329727</v>
      </c>
      <c r="O46" s="786">
        <v>8.5783582987357399</v>
      </c>
      <c r="P46" s="786">
        <v>8.5783582987357399</v>
      </c>
      <c r="Q46" s="786">
        <v>8.679569809333568</v>
      </c>
      <c r="R46" s="786">
        <v>8.5745973625027609</v>
      </c>
      <c r="S46" s="786">
        <v>8.2824103709615073</v>
      </c>
      <c r="T46" s="786">
        <v>8.3312447261459646</v>
      </c>
      <c r="U46" s="779">
        <f>SUM(U40:U44)</f>
        <v>7.9592859750658551</v>
      </c>
      <c r="V46" s="1589">
        <f>SUM(V40:V45)</f>
        <v>8.10938324344332</v>
      </c>
      <c r="W46" s="2222"/>
      <c r="X46" s="2222"/>
      <c r="Y46" s="2222"/>
      <c r="Z46" s="2223"/>
    </row>
    <row r="47" spans="2:42" ht="14.25" customHeight="1" thickBot="1" x14ac:dyDescent="0.45">
      <c r="B47" s="769" t="s">
        <v>1615</v>
      </c>
      <c r="C47" s="875"/>
      <c r="D47" s="1590"/>
      <c r="E47" s="1299">
        <f t="shared" ref="E47:M47" si="6">(E$46-$D$46)/$D$46</f>
        <v>6.8412226767567738E-2</v>
      </c>
      <c r="F47" s="1299">
        <f t="shared" si="6"/>
        <v>0.13413138759703203</v>
      </c>
      <c r="G47" s="1299">
        <f t="shared" si="6"/>
        <v>0.19985054842649652</v>
      </c>
      <c r="H47" s="1299">
        <f t="shared" si="6"/>
        <v>0.10801671366050562</v>
      </c>
      <c r="I47" s="1299">
        <f t="shared" si="6"/>
        <v>0.13183763661498929</v>
      </c>
      <c r="J47" s="1299">
        <f t="shared" si="6"/>
        <v>0.12402529244168237</v>
      </c>
      <c r="K47" s="1299">
        <f t="shared" si="6"/>
        <v>0.12402529244168237</v>
      </c>
      <c r="L47" s="1299">
        <f t="shared" si="6"/>
        <v>0.1356826016773145</v>
      </c>
      <c r="M47" s="1594">
        <f t="shared" si="6"/>
        <v>0.1356826016773145</v>
      </c>
      <c r="N47" s="1299">
        <f t="shared" ref="N47:T47" si="7">(N46-$D$46)/$D$46</f>
        <v>-2.271190383224447E-2</v>
      </c>
      <c r="O47" s="1299">
        <f t="shared" si="7"/>
        <v>-1.5442588133409702E-2</v>
      </c>
      <c r="P47" s="1299">
        <f t="shared" si="7"/>
        <v>-1.5442588133409702E-2</v>
      </c>
      <c r="Q47" s="1299">
        <f t="shared" si="7"/>
        <v>-3.8263161784376555E-3</v>
      </c>
      <c r="R47" s="1299">
        <f t="shared" si="7"/>
        <v>-1.587423921567829E-2</v>
      </c>
      <c r="S47" s="1299">
        <f t="shared" si="7"/>
        <v>-4.9409195224141923E-2</v>
      </c>
      <c r="T47" s="1299">
        <f t="shared" si="7"/>
        <v>-4.3804366808701527E-2</v>
      </c>
      <c r="U47" s="1299">
        <f>(U46-$D$46)/$D$46</f>
        <v>-8.6494906482071643E-2</v>
      </c>
      <c r="V47" s="1595">
        <f>(V46-$D$46)/$D$46</f>
        <v>-6.9267906520582359E-2</v>
      </c>
      <c r="W47" s="2224"/>
      <c r="X47" s="2224"/>
      <c r="Y47" s="2224"/>
      <c r="Z47" s="2225"/>
    </row>
    <row r="48" spans="2:42" ht="14.25" customHeight="1" x14ac:dyDescent="0.4">
      <c r="B48" s="1596" t="s">
        <v>1785</v>
      </c>
      <c r="C48" s="1597"/>
      <c r="D48" s="1598"/>
      <c r="E48" s="1599"/>
      <c r="F48" s="1599"/>
      <c r="G48" s="1599"/>
      <c r="H48" s="1599"/>
      <c r="I48" s="1599"/>
      <c r="J48" s="1599"/>
      <c r="K48" s="1599"/>
      <c r="L48" s="1599"/>
      <c r="M48" s="1599"/>
      <c r="N48" s="1599"/>
      <c r="O48" s="1599"/>
      <c r="P48" s="1599"/>
      <c r="Q48" s="1599"/>
      <c r="R48" s="1599"/>
      <c r="S48" s="1599"/>
      <c r="T48" s="1599"/>
      <c r="U48" s="1599"/>
      <c r="V48" s="1600"/>
      <c r="W48" s="2168"/>
      <c r="X48" s="871"/>
      <c r="Y48" s="871"/>
      <c r="Z48" s="871"/>
    </row>
    <row r="49" spans="2:27" ht="14.25" customHeight="1" x14ac:dyDescent="0.4">
      <c r="B49" s="1601" t="s">
        <v>441</v>
      </c>
      <c r="C49" s="891" t="s">
        <v>363</v>
      </c>
      <c r="D49" s="770" t="s">
        <v>363</v>
      </c>
      <c r="E49" s="782" t="s">
        <v>363</v>
      </c>
      <c r="F49" s="770" t="s">
        <v>363</v>
      </c>
      <c r="G49" s="770" t="s">
        <v>363</v>
      </c>
      <c r="H49" s="782" t="s">
        <v>363</v>
      </c>
      <c r="I49" s="770" t="s">
        <v>363</v>
      </c>
      <c r="J49" s="770" t="s">
        <v>363</v>
      </c>
      <c r="K49" s="782" t="s">
        <v>363</v>
      </c>
      <c r="L49" s="770" t="s">
        <v>363</v>
      </c>
      <c r="M49" s="770" t="s">
        <v>363</v>
      </c>
      <c r="N49" s="782" t="s">
        <v>363</v>
      </c>
      <c r="O49" s="770" t="s">
        <v>363</v>
      </c>
      <c r="P49" s="770" t="s">
        <v>363</v>
      </c>
      <c r="Q49" s="782" t="s">
        <v>363</v>
      </c>
      <c r="R49" s="770" t="s">
        <v>363</v>
      </c>
      <c r="S49" s="770" t="s">
        <v>363</v>
      </c>
      <c r="T49" s="782" t="s">
        <v>363</v>
      </c>
      <c r="U49" s="770" t="s">
        <v>363</v>
      </c>
      <c r="V49" s="793" t="s">
        <v>363</v>
      </c>
      <c r="W49" s="2154"/>
      <c r="X49" s="881"/>
      <c r="Y49" s="871"/>
      <c r="Z49" s="871"/>
      <c r="AA49" s="789"/>
    </row>
    <row r="50" spans="2:27" ht="14.25" customHeight="1" x14ac:dyDescent="0.4">
      <c r="B50" s="1602" t="s">
        <v>447</v>
      </c>
      <c r="C50" s="1297">
        <v>0.1353614480747207</v>
      </c>
      <c r="D50" s="878"/>
      <c r="E50" s="814"/>
      <c r="F50" s="814"/>
      <c r="G50" s="770">
        <v>1.504689896339201</v>
      </c>
      <c r="H50" s="770">
        <v>1.647091885301589</v>
      </c>
      <c r="I50" s="770">
        <v>1.8176196885080351</v>
      </c>
      <c r="J50" s="770">
        <v>1.9187888333323815</v>
      </c>
      <c r="K50" s="770">
        <v>2.0151516298772565</v>
      </c>
      <c r="L50" s="770">
        <v>2.0776144178820997</v>
      </c>
      <c r="M50" s="770">
        <v>2.1595778697555623</v>
      </c>
      <c r="N50" s="770">
        <v>2.2869816644319361</v>
      </c>
      <c r="O50" s="770">
        <v>2.0713508781937842</v>
      </c>
      <c r="P50" s="770">
        <v>2.145738402109032</v>
      </c>
      <c r="Q50" s="770">
        <v>2.1839809917178226</v>
      </c>
      <c r="R50" s="770">
        <v>2.2130468519393287</v>
      </c>
      <c r="S50" s="770">
        <v>2.2115426661086151</v>
      </c>
      <c r="T50" s="770">
        <v>2.1121711517106307</v>
      </c>
      <c r="U50" s="770">
        <v>1.969070478008512</v>
      </c>
      <c r="V50" s="793">
        <f>SUM(II.IPPU!AH22:AH41)/1000000</f>
        <v>1.825695847836674</v>
      </c>
      <c r="W50" s="2154"/>
      <c r="X50" s="881"/>
      <c r="Y50" s="871"/>
      <c r="Z50" s="871"/>
      <c r="AA50" s="789"/>
    </row>
    <row r="51" spans="2:27" ht="14.25" customHeight="1" x14ac:dyDescent="0.4">
      <c r="B51" s="1603" t="s">
        <v>1127</v>
      </c>
      <c r="C51" s="899">
        <f>C50</f>
        <v>0.1353614480747207</v>
      </c>
      <c r="D51" s="778">
        <f>C51+((G51-C51)/4)</f>
        <v>0.47769356014084075</v>
      </c>
      <c r="E51" s="778">
        <f>D51+((G51-C51)/4)</f>
        <v>0.82002567220696077</v>
      </c>
      <c r="F51" s="778">
        <f>E51+((G51-C51)/4)</f>
        <v>1.1623577842730808</v>
      </c>
      <c r="G51" s="778">
        <f t="shared" ref="G51:V51" si="8">G50</f>
        <v>1.504689896339201</v>
      </c>
      <c r="H51" s="778">
        <f t="shared" si="8"/>
        <v>1.647091885301589</v>
      </c>
      <c r="I51" s="778">
        <f t="shared" si="8"/>
        <v>1.8176196885080351</v>
      </c>
      <c r="J51" s="778">
        <f t="shared" si="8"/>
        <v>1.9187888333323815</v>
      </c>
      <c r="K51" s="778">
        <f t="shared" si="8"/>
        <v>2.0151516298772565</v>
      </c>
      <c r="L51" s="778">
        <f t="shared" si="8"/>
        <v>2.0776144178820997</v>
      </c>
      <c r="M51" s="778">
        <f t="shared" si="8"/>
        <v>2.1595778697555623</v>
      </c>
      <c r="N51" s="778">
        <f t="shared" si="8"/>
        <v>2.2869816644319361</v>
      </c>
      <c r="O51" s="778">
        <f t="shared" si="8"/>
        <v>2.0713508781937842</v>
      </c>
      <c r="P51" s="778">
        <f t="shared" si="8"/>
        <v>2.145738402109032</v>
      </c>
      <c r="Q51" s="778">
        <f t="shared" si="8"/>
        <v>2.1839809917178226</v>
      </c>
      <c r="R51" s="778">
        <f t="shared" si="8"/>
        <v>2.2130468519393287</v>
      </c>
      <c r="S51" s="778">
        <f t="shared" si="8"/>
        <v>2.2115426661086151</v>
      </c>
      <c r="T51" s="778">
        <f t="shared" si="8"/>
        <v>2.1121711517106307</v>
      </c>
      <c r="U51" s="778">
        <f t="shared" si="8"/>
        <v>1.969070478008512</v>
      </c>
      <c r="V51" s="1604">
        <f t="shared" si="8"/>
        <v>1.825695847836674</v>
      </c>
      <c r="W51" s="871"/>
      <c r="X51" s="871"/>
      <c r="Y51" s="871"/>
      <c r="Z51" s="871"/>
      <c r="AA51" s="789"/>
    </row>
    <row r="52" spans="2:27" ht="14.25" hidden="1" customHeight="1" x14ac:dyDescent="0.4">
      <c r="B52" s="1605" t="s">
        <v>1615</v>
      </c>
      <c r="C52" s="875"/>
      <c r="D52" s="1298"/>
      <c r="E52" s="2127"/>
      <c r="F52" s="2127"/>
      <c r="G52" s="2127"/>
      <c r="H52" s="2127"/>
      <c r="I52" s="2127"/>
      <c r="J52" s="2127"/>
      <c r="K52" s="2127"/>
      <c r="L52" s="2127"/>
      <c r="M52" s="2127"/>
      <c r="N52" s="2127"/>
      <c r="O52" s="2127"/>
      <c r="P52" s="2127"/>
      <c r="Q52" s="2127"/>
      <c r="R52" s="2127"/>
      <c r="S52" s="2127"/>
      <c r="T52" s="2127"/>
      <c r="U52" s="2127"/>
      <c r="V52" s="2127"/>
      <c r="W52" s="871"/>
      <c r="X52" s="871"/>
      <c r="Y52" s="871"/>
      <c r="Z52" s="871"/>
      <c r="AA52" s="789"/>
    </row>
    <row r="53" spans="2:27" ht="14.25" customHeight="1" x14ac:dyDescent="0.4">
      <c r="B53" s="874" t="s">
        <v>1784</v>
      </c>
      <c r="C53" s="1597"/>
      <c r="D53" s="1598"/>
      <c r="E53" s="1599"/>
      <c r="F53" s="1599"/>
      <c r="G53" s="1599"/>
      <c r="H53" s="1599"/>
      <c r="I53" s="1599"/>
      <c r="J53" s="1599"/>
      <c r="K53" s="1599"/>
      <c r="L53" s="1599"/>
      <c r="M53" s="1599"/>
      <c r="N53" s="1599"/>
      <c r="O53" s="1599"/>
      <c r="P53" s="1599"/>
      <c r="Q53" s="1599"/>
      <c r="R53" s="1599"/>
      <c r="S53" s="1599"/>
      <c r="T53" s="1599"/>
      <c r="U53" s="1599"/>
      <c r="V53" s="1600"/>
      <c r="W53" s="871"/>
      <c r="X53" s="871"/>
      <c r="Y53" s="871"/>
      <c r="Z53" s="871"/>
      <c r="AA53" s="789"/>
    </row>
    <row r="54" spans="2:27" ht="14.25" customHeight="1" x14ac:dyDescent="0.4">
      <c r="B54" s="769" t="s">
        <v>1047</v>
      </c>
      <c r="C54" s="1606">
        <v>2.8358997655622085E-2</v>
      </c>
      <c r="D54" s="881">
        <v>2.1443250716666765E-2</v>
      </c>
      <c r="E54" s="881">
        <v>2.0121423678405387E-2</v>
      </c>
      <c r="F54" s="881">
        <v>1.864775759492308E-2</v>
      </c>
      <c r="G54" s="881">
        <v>1.7569016696668827E-2</v>
      </c>
      <c r="H54" s="881">
        <v>1.7870952368564744E-2</v>
      </c>
      <c r="I54" s="881">
        <v>1.3147487363629468E-2</v>
      </c>
      <c r="J54" s="881">
        <v>1.2955266564111329E-2</v>
      </c>
      <c r="K54" s="881">
        <v>1.1235466535935766E-2</v>
      </c>
      <c r="L54" s="881">
        <v>1.138026822326885E-2</v>
      </c>
      <c r="M54" s="881">
        <v>1.16203113576504E-2</v>
      </c>
      <c r="N54" s="881">
        <v>1.3361898717437492E-2</v>
      </c>
      <c r="O54" s="881">
        <v>1.2955426234678442E-2</v>
      </c>
      <c r="P54" s="881">
        <v>1.2563089616518619E-2</v>
      </c>
      <c r="Q54" s="881">
        <v>1.1839146322238567E-2</v>
      </c>
      <c r="R54" s="881">
        <v>1.0645547008260928E-2</v>
      </c>
      <c r="S54" s="881">
        <v>1.0300334107414828E-2</v>
      </c>
      <c r="T54" s="881">
        <v>1.0242812518309951E-2</v>
      </c>
      <c r="U54" s="881">
        <v>1.0130796780762428E-2</v>
      </c>
      <c r="V54" s="1607">
        <v>1.0356521475130005E-2</v>
      </c>
      <c r="W54" s="871"/>
      <c r="X54" s="871"/>
      <c r="Y54" s="871"/>
      <c r="Z54" s="871"/>
      <c r="AA54" s="789"/>
    </row>
    <row r="55" spans="2:27" ht="14.25" customHeight="1" x14ac:dyDescent="0.4">
      <c r="B55" s="769" t="s">
        <v>381</v>
      </c>
      <c r="C55" s="1606">
        <v>0.13665979189079658</v>
      </c>
      <c r="D55" s="881">
        <v>0.12932166970719453</v>
      </c>
      <c r="E55" s="881">
        <v>0.12730634529926266</v>
      </c>
      <c r="F55" s="881">
        <v>0.12581040652407827</v>
      </c>
      <c r="G55" s="881">
        <v>0.12398263593252648</v>
      </c>
      <c r="H55" s="881">
        <v>0.1205075798884533</v>
      </c>
      <c r="I55" s="881">
        <v>0.11955126992171697</v>
      </c>
      <c r="J55" s="881">
        <v>0.1171267859305356</v>
      </c>
      <c r="K55" s="881">
        <v>0.11564482361576663</v>
      </c>
      <c r="L55" s="881">
        <v>0.11377004886058774</v>
      </c>
      <c r="M55" s="881">
        <v>0.11259781977377388</v>
      </c>
      <c r="N55" s="881">
        <v>0.11161635465942349</v>
      </c>
      <c r="O55" s="881">
        <v>0.11046022416247736</v>
      </c>
      <c r="P55" s="881">
        <v>0.10881792511973541</v>
      </c>
      <c r="Q55" s="881">
        <v>0.10654469524127952</v>
      </c>
      <c r="R55" s="881">
        <v>0.10984624341071941</v>
      </c>
      <c r="S55" s="881">
        <v>0.10478077164963315</v>
      </c>
      <c r="T55" s="881">
        <v>0.10569714389842726</v>
      </c>
      <c r="U55" s="881">
        <v>0.10324654382285642</v>
      </c>
      <c r="V55" s="1607">
        <v>0.10236322178856604</v>
      </c>
      <c r="W55" s="871"/>
      <c r="X55" s="871"/>
      <c r="Y55" s="871"/>
      <c r="Z55" s="871"/>
      <c r="AA55" s="789"/>
    </row>
    <row r="56" spans="2:27" ht="14.25" customHeight="1" x14ac:dyDescent="0.4">
      <c r="B56" s="769" t="s">
        <v>1781</v>
      </c>
      <c r="C56" s="1608">
        <v>2.3073093372078172E-4</v>
      </c>
      <c r="D56" s="892">
        <v>0</v>
      </c>
      <c r="E56" s="892">
        <v>0</v>
      </c>
      <c r="F56" s="892">
        <v>0</v>
      </c>
      <c r="G56" s="892">
        <v>0</v>
      </c>
      <c r="H56" s="892">
        <v>0</v>
      </c>
      <c r="I56" s="892">
        <v>0</v>
      </c>
      <c r="J56" s="892">
        <v>0</v>
      </c>
      <c r="K56" s="892">
        <v>0</v>
      </c>
      <c r="L56" s="892">
        <v>0</v>
      </c>
      <c r="M56" s="892">
        <v>0</v>
      </c>
      <c r="N56" s="892">
        <v>0</v>
      </c>
      <c r="O56" s="892">
        <v>0</v>
      </c>
      <c r="P56" s="892">
        <v>0</v>
      </c>
      <c r="Q56" s="892">
        <v>0</v>
      </c>
      <c r="R56" s="892">
        <v>0</v>
      </c>
      <c r="S56" s="892">
        <v>0</v>
      </c>
      <c r="T56" s="892">
        <v>0</v>
      </c>
      <c r="U56" s="892">
        <v>0</v>
      </c>
      <c r="V56" s="1609">
        <v>0</v>
      </c>
      <c r="W56" s="871"/>
      <c r="X56" s="871"/>
      <c r="Y56" s="871"/>
      <c r="Z56" s="871"/>
      <c r="AA56" s="789"/>
    </row>
    <row r="57" spans="2:27" ht="14.25" customHeight="1" x14ac:dyDescent="0.4">
      <c r="B57" s="769" t="s">
        <v>1228</v>
      </c>
      <c r="C57" s="1610">
        <v>9.886184656308885E-3</v>
      </c>
      <c r="D57" s="893">
        <v>8.3771062208103653E-3</v>
      </c>
      <c r="E57" s="894">
        <v>7.5283287831450591E-3</v>
      </c>
      <c r="F57" s="894">
        <v>7.3351517372419687E-3</v>
      </c>
      <c r="G57" s="894">
        <v>7.3181826388705688E-3</v>
      </c>
      <c r="H57" s="894">
        <v>6.8690117759108776E-3</v>
      </c>
      <c r="I57" s="894">
        <v>7.089151665911805E-3</v>
      </c>
      <c r="J57" s="894">
        <v>7.7843653910415174E-3</v>
      </c>
      <c r="K57" s="894">
        <v>5.9424759554059193E-3</v>
      </c>
      <c r="L57" s="894">
        <v>6.6130885181524077E-3</v>
      </c>
      <c r="M57" s="894">
        <v>5.8695691537471789E-3</v>
      </c>
      <c r="N57" s="894">
        <v>6.7016826096160881E-3</v>
      </c>
      <c r="O57" s="894">
        <v>6.6430068472611717E-3</v>
      </c>
      <c r="P57" s="894">
        <v>7.2109759895467142E-3</v>
      </c>
      <c r="Q57" s="894">
        <v>6.6016606876922457E-3</v>
      </c>
      <c r="R57" s="894">
        <v>7.1956235971829697E-3</v>
      </c>
      <c r="S57" s="894">
        <v>6.9585995437638579E-3</v>
      </c>
      <c r="T57" s="894">
        <v>6.3958097506563536E-3</v>
      </c>
      <c r="U57" s="894">
        <v>5.9678364394213984E-3</v>
      </c>
      <c r="V57" s="1611">
        <v>6.4362579149010966E-3</v>
      </c>
      <c r="W57" s="871"/>
      <c r="X57" s="871"/>
      <c r="Y57" s="871"/>
      <c r="Z57" s="871"/>
      <c r="AA57" s="789"/>
    </row>
    <row r="58" spans="2:27" ht="14.25" customHeight="1" x14ac:dyDescent="0.4">
      <c r="B58" s="777" t="s">
        <v>1127</v>
      </c>
      <c r="C58" s="899">
        <f>SUM(C54:C57)</f>
        <v>0.17513570513644833</v>
      </c>
      <c r="D58" s="778">
        <f t="shared" ref="D58:V58" si="9">SUM(D54:D57)</f>
        <v>0.15914202664467167</v>
      </c>
      <c r="E58" s="778">
        <f t="shared" si="9"/>
        <v>0.15495609776081309</v>
      </c>
      <c r="F58" s="778">
        <f t="shared" si="9"/>
        <v>0.15179331585624331</v>
      </c>
      <c r="G58" s="778">
        <f t="shared" si="9"/>
        <v>0.14886983526806588</v>
      </c>
      <c r="H58" s="778">
        <f t="shared" si="9"/>
        <v>0.14524754403292892</v>
      </c>
      <c r="I58" s="778">
        <f t="shared" si="9"/>
        <v>0.13978790895125826</v>
      </c>
      <c r="J58" s="778">
        <f t="shared" si="9"/>
        <v>0.13786641788568846</v>
      </c>
      <c r="K58" s="778">
        <f t="shared" si="9"/>
        <v>0.1328227661071083</v>
      </c>
      <c r="L58" s="778">
        <f t="shared" si="9"/>
        <v>0.131763405602009</v>
      </c>
      <c r="M58" s="778">
        <f t="shared" si="9"/>
        <v>0.13008770028517147</v>
      </c>
      <c r="N58" s="778">
        <f t="shared" si="9"/>
        <v>0.13167993598647706</v>
      </c>
      <c r="O58" s="778">
        <f t="shared" si="9"/>
        <v>0.13005865724441698</v>
      </c>
      <c r="P58" s="778">
        <f t="shared" si="9"/>
        <v>0.12859199072580074</v>
      </c>
      <c r="Q58" s="778">
        <f t="shared" si="9"/>
        <v>0.12498550225121033</v>
      </c>
      <c r="R58" s="778">
        <f t="shared" si="9"/>
        <v>0.12768741401616332</v>
      </c>
      <c r="S58" s="778">
        <f t="shared" si="9"/>
        <v>0.12203970530081183</v>
      </c>
      <c r="T58" s="778">
        <f t="shared" si="9"/>
        <v>0.12233576616739357</v>
      </c>
      <c r="U58" s="778">
        <f t="shared" si="9"/>
        <v>0.11934517704304023</v>
      </c>
      <c r="V58" s="1604">
        <f t="shared" si="9"/>
        <v>0.11915600117859715</v>
      </c>
      <c r="W58" s="871"/>
      <c r="X58" s="871"/>
      <c r="Y58" s="871"/>
      <c r="Z58" s="871"/>
      <c r="AA58" s="789"/>
    </row>
    <row r="59" spans="2:27" ht="14.25" customHeight="1" x14ac:dyDescent="0.4">
      <c r="B59" s="777" t="s">
        <v>1830</v>
      </c>
      <c r="C59" s="891">
        <v>-0.10776934707644574</v>
      </c>
      <c r="D59" s="770">
        <v>-0.12316365157678677</v>
      </c>
      <c r="E59" s="770">
        <v>-0.12562143109596471</v>
      </c>
      <c r="F59" s="770">
        <v>-0.12750644247093307</v>
      </c>
      <c r="G59" s="770">
        <v>-0.12967459764508657</v>
      </c>
      <c r="H59" s="770">
        <v>-0.13145663314287434</v>
      </c>
      <c r="I59" s="770">
        <v>-0.13334311002921487</v>
      </c>
      <c r="J59" s="770">
        <v>-0.13607170598065085</v>
      </c>
      <c r="K59" s="770">
        <v>-0.13791716476159052</v>
      </c>
      <c r="L59" s="770">
        <v>-0.13959849431003707</v>
      </c>
      <c r="M59" s="770">
        <v>-0.14043470960273685</v>
      </c>
      <c r="N59" s="770">
        <v>-0.14277009127093146</v>
      </c>
      <c r="O59" s="770">
        <v>-0.14474843674654186</v>
      </c>
      <c r="P59" s="770">
        <v>-0.14667310336901079</v>
      </c>
      <c r="Q59" s="770">
        <v>-0.14833615232541161</v>
      </c>
      <c r="R59" s="770">
        <v>-0.14962014388865794</v>
      </c>
      <c r="S59" s="770">
        <v>-0.15153397287038334</v>
      </c>
      <c r="T59" s="770">
        <v>-0.15297185029355942</v>
      </c>
      <c r="U59" s="770">
        <v>-0.15398779226860582</v>
      </c>
      <c r="V59" s="793">
        <v>-0.15494902590685694</v>
      </c>
      <c r="W59" s="871"/>
      <c r="X59" s="871"/>
      <c r="Y59" s="871"/>
      <c r="Z59" s="871"/>
      <c r="AA59" s="789"/>
    </row>
    <row r="60" spans="2:27" ht="14.25" customHeight="1" x14ac:dyDescent="0.4">
      <c r="B60" s="769" t="s">
        <v>1615</v>
      </c>
      <c r="C60" s="875"/>
      <c r="D60" s="1590"/>
      <c r="E60" s="1299">
        <f>(E$58-$D$58)/$D$58</f>
        <v>-2.630310152581387E-2</v>
      </c>
      <c r="F60" s="1299">
        <f t="shared" ref="F60:V60" si="10">(F$58-$D$58)/$D$58</f>
        <v>-4.6177059217904617E-2</v>
      </c>
      <c r="G60" s="1299">
        <f t="shared" si="10"/>
        <v>-6.4547320360204288E-2</v>
      </c>
      <c r="H60" s="1299">
        <f t="shared" si="10"/>
        <v>-8.7308694659054498E-2</v>
      </c>
      <c r="I60" s="1299">
        <f t="shared" si="10"/>
        <v>-0.12161537779474685</v>
      </c>
      <c r="J60" s="1299">
        <f t="shared" si="10"/>
        <v>-0.13368944211378467</v>
      </c>
      <c r="K60" s="1299">
        <f t="shared" si="10"/>
        <v>-0.16538221293567129</v>
      </c>
      <c r="L60" s="1299">
        <f t="shared" si="10"/>
        <v>-0.17203891153022055</v>
      </c>
      <c r="M60" s="1299">
        <f t="shared" si="10"/>
        <v>-0.18256853310264781</v>
      </c>
      <c r="N60" s="1299">
        <f t="shared" si="10"/>
        <v>-0.17256340915848253</v>
      </c>
      <c r="O60" s="1299">
        <f t="shared" si="10"/>
        <v>-0.18275103072044763</v>
      </c>
      <c r="P60" s="1299">
        <f t="shared" si="10"/>
        <v>-0.19196711618535739</v>
      </c>
      <c r="Q60" s="1299">
        <f t="shared" si="10"/>
        <v>-0.21462919075251677</v>
      </c>
      <c r="R60" s="1299">
        <f t="shared" si="10"/>
        <v>-0.19765120057657315</v>
      </c>
      <c r="S60" s="1299">
        <f t="shared" si="10"/>
        <v>-0.23313968111453659</v>
      </c>
      <c r="T60" s="1299">
        <f t="shared" si="10"/>
        <v>-0.23127932484772357</v>
      </c>
      <c r="U60" s="1299">
        <f t="shared" si="10"/>
        <v>-0.25007127558133241</v>
      </c>
      <c r="V60" s="1591">
        <f t="shared" si="10"/>
        <v>-0.25125999906583013</v>
      </c>
      <c r="W60" s="871"/>
      <c r="X60" s="871"/>
      <c r="Y60" s="871"/>
      <c r="Z60" s="871"/>
      <c r="AA60" s="789"/>
    </row>
    <row r="61" spans="2:27" ht="14.25" customHeight="1" x14ac:dyDescent="0.4">
      <c r="B61" s="874" t="s">
        <v>1783</v>
      </c>
      <c r="C61" s="1597"/>
      <c r="D61" s="1598"/>
      <c r="E61" s="1599"/>
      <c r="F61" s="1599"/>
      <c r="G61" s="1599"/>
      <c r="H61" s="1599"/>
      <c r="I61" s="1599"/>
      <c r="J61" s="1599"/>
      <c r="K61" s="1599"/>
      <c r="L61" s="1599"/>
      <c r="M61" s="1599"/>
      <c r="N61" s="1599"/>
      <c r="O61" s="1599"/>
      <c r="P61" s="1599"/>
      <c r="Q61" s="1599"/>
      <c r="R61" s="1599"/>
      <c r="S61" s="1599"/>
      <c r="T61" s="1599"/>
      <c r="U61" s="1599"/>
      <c r="V61" s="1600"/>
      <c r="W61" s="871"/>
      <c r="X61" s="871"/>
      <c r="Y61" s="871"/>
      <c r="Z61" s="871"/>
      <c r="AA61" s="789"/>
    </row>
    <row r="62" spans="2:27" ht="14.25" customHeight="1" x14ac:dyDescent="0.4">
      <c r="B62" s="769" t="s">
        <v>393</v>
      </c>
      <c r="C62" s="1026"/>
      <c r="D62" s="878"/>
      <c r="E62" s="814"/>
      <c r="F62" s="814"/>
      <c r="G62" s="814"/>
      <c r="H62" s="814"/>
      <c r="I62" s="814"/>
      <c r="J62" s="814"/>
      <c r="K62" s="814"/>
      <c r="L62" s="1572">
        <v>0.69020713027510983</v>
      </c>
      <c r="M62" s="1572">
        <v>0.67180502596569047</v>
      </c>
      <c r="N62" s="1572">
        <v>0.65031794749618133</v>
      </c>
      <c r="O62" s="1572">
        <v>0.6291802372083598</v>
      </c>
      <c r="P62" s="1572">
        <v>0.60769623971258402</v>
      </c>
      <c r="Q62" s="1572">
        <v>0.62467422843073006</v>
      </c>
      <c r="R62" s="1572">
        <v>0.63926400724353138</v>
      </c>
      <c r="S62" s="1572">
        <v>0.65005597473555887</v>
      </c>
      <c r="T62" s="1572">
        <v>0.65852303930209355</v>
      </c>
      <c r="U62" s="1572">
        <v>0.68476181595461927</v>
      </c>
      <c r="V62" s="1612">
        <f>IV.Waste!P10/1000000</f>
        <v>0.67500000000000004</v>
      </c>
      <c r="W62" s="871"/>
      <c r="X62" s="871"/>
      <c r="Y62" s="871"/>
      <c r="Z62" s="871"/>
      <c r="AA62" s="789"/>
    </row>
    <row r="63" spans="2:27" ht="14.25" customHeight="1" x14ac:dyDescent="0.4">
      <c r="B63" s="769" t="s">
        <v>1257</v>
      </c>
      <c r="C63" s="1026"/>
      <c r="D63" s="878"/>
      <c r="E63" s="814"/>
      <c r="F63" s="814"/>
      <c r="G63" s="814"/>
      <c r="H63" s="814"/>
      <c r="I63" s="814"/>
      <c r="J63" s="814"/>
      <c r="K63" s="814"/>
      <c r="L63" s="814"/>
      <c r="M63" s="814"/>
      <c r="N63" s="814"/>
      <c r="O63" s="814"/>
      <c r="P63" s="814"/>
      <c r="Q63" s="814"/>
      <c r="R63" s="1027"/>
      <c r="S63" s="1027"/>
      <c r="T63" s="1027"/>
      <c r="U63" s="1573">
        <v>1.6105436200000003E-2</v>
      </c>
      <c r="V63" s="1613">
        <f>(IV.Waste!P11+IV.Waste!P13)/1000000</f>
        <v>2.8922562187199991E-2</v>
      </c>
      <c r="W63" s="871"/>
      <c r="X63" s="871"/>
      <c r="Y63" s="871"/>
      <c r="Z63" s="871"/>
      <c r="AA63" s="789"/>
    </row>
    <row r="64" spans="2:27" ht="14.25" customHeight="1" x14ac:dyDescent="0.45">
      <c r="B64" s="769" t="s">
        <v>390</v>
      </c>
      <c r="C64" s="1026"/>
      <c r="D64" s="878"/>
      <c r="E64" s="814"/>
      <c r="F64" s="814"/>
      <c r="G64" s="814"/>
      <c r="H64" s="814"/>
      <c r="I64" s="814"/>
      <c r="J64" s="814"/>
      <c r="K64" s="814"/>
      <c r="L64" s="814"/>
      <c r="M64" s="814"/>
      <c r="N64" s="814"/>
      <c r="O64" s="814"/>
      <c r="P64" s="814"/>
      <c r="Q64" s="1614">
        <v>0.47029456773775485</v>
      </c>
      <c r="R64" s="1614">
        <v>0.47438967059509912</v>
      </c>
      <c r="S64" s="1614">
        <v>0.47256470717359872</v>
      </c>
      <c r="T64" s="1614">
        <v>0.47804249045331743</v>
      </c>
      <c r="U64" s="1614">
        <v>0.47789872137765177</v>
      </c>
      <c r="V64" s="1615">
        <f>IV.Waste!P15/1000000</f>
        <v>0.46298820000000002</v>
      </c>
      <c r="W64" s="1028"/>
      <c r="X64" s="871"/>
      <c r="Y64" s="871"/>
      <c r="Z64" s="871"/>
      <c r="AA64" s="789"/>
    </row>
    <row r="65" spans="2:27" ht="14.25" customHeight="1" x14ac:dyDescent="0.4">
      <c r="B65" s="777" t="s">
        <v>1127</v>
      </c>
      <c r="C65" s="899">
        <f t="shared" ref="C65:V65" si="11">SUM(C62:C64)</f>
        <v>0</v>
      </c>
      <c r="D65" s="778">
        <f t="shared" si="11"/>
        <v>0</v>
      </c>
      <c r="E65" s="778">
        <f t="shared" si="11"/>
        <v>0</v>
      </c>
      <c r="F65" s="778">
        <f t="shared" si="11"/>
        <v>0</v>
      </c>
      <c r="G65" s="778">
        <f t="shared" si="11"/>
        <v>0</v>
      </c>
      <c r="H65" s="778">
        <f t="shared" si="11"/>
        <v>0</v>
      </c>
      <c r="I65" s="778">
        <f t="shared" si="11"/>
        <v>0</v>
      </c>
      <c r="J65" s="778">
        <f t="shared" si="11"/>
        <v>0</v>
      </c>
      <c r="K65" s="778">
        <f t="shared" si="11"/>
        <v>0</v>
      </c>
      <c r="L65" s="778">
        <f t="shared" si="11"/>
        <v>0.69020713027510983</v>
      </c>
      <c r="M65" s="778">
        <f t="shared" si="11"/>
        <v>0.67180502596569047</v>
      </c>
      <c r="N65" s="778">
        <f t="shared" si="11"/>
        <v>0.65031794749618133</v>
      </c>
      <c r="O65" s="778">
        <f t="shared" si="11"/>
        <v>0.6291802372083598</v>
      </c>
      <c r="P65" s="778">
        <f t="shared" si="11"/>
        <v>0.60769623971258402</v>
      </c>
      <c r="Q65" s="778">
        <f t="shared" si="11"/>
        <v>1.0949687961684849</v>
      </c>
      <c r="R65" s="778">
        <f t="shared" si="11"/>
        <v>1.1136536778386306</v>
      </c>
      <c r="S65" s="778">
        <f t="shared" si="11"/>
        <v>1.1226206819091575</v>
      </c>
      <c r="T65" s="778">
        <f t="shared" si="11"/>
        <v>1.1365655297554109</v>
      </c>
      <c r="U65" s="778">
        <f t="shared" si="11"/>
        <v>1.1787659735322711</v>
      </c>
      <c r="V65" s="1604">
        <f t="shared" si="11"/>
        <v>1.1669107621872001</v>
      </c>
      <c r="W65" s="2155"/>
      <c r="X65" s="881"/>
      <c r="Y65" s="871"/>
      <c r="Z65" s="871"/>
      <c r="AA65" s="789"/>
    </row>
    <row r="66" spans="2:27" ht="18.75" hidden="1" customHeight="1" x14ac:dyDescent="0.4">
      <c r="B66" s="769" t="s">
        <v>1615</v>
      </c>
      <c r="C66" s="1026"/>
      <c r="D66" s="878"/>
      <c r="E66" s="814"/>
      <c r="F66" s="814"/>
      <c r="G66" s="814"/>
      <c r="H66" s="814"/>
      <c r="I66" s="814"/>
      <c r="J66" s="814"/>
      <c r="K66" s="814"/>
      <c r="L66" s="814"/>
      <c r="M66" s="814"/>
      <c r="N66" s="2177"/>
      <c r="O66" s="2177"/>
      <c r="P66" s="2177"/>
      <c r="Q66" s="2177"/>
      <c r="R66" s="2177"/>
      <c r="S66" s="2177"/>
      <c r="T66" s="2177"/>
      <c r="U66" s="2177"/>
      <c r="V66" s="2178"/>
      <c r="W66" s="871"/>
      <c r="X66" s="871"/>
      <c r="Y66" s="871"/>
      <c r="Z66" s="871"/>
      <c r="AA66" s="789"/>
    </row>
    <row r="67" spans="2:27" ht="18.75" customHeight="1" thickBot="1" x14ac:dyDescent="0.45">
      <c r="B67" s="1616" t="s">
        <v>665</v>
      </c>
      <c r="C67" s="2179">
        <f t="shared" ref="C67:U67" si="12">C24+C35+C46+C51+C65+C58+C37</f>
        <v>45.364793897986821</v>
      </c>
      <c r="D67" s="2180">
        <f t="shared" si="12"/>
        <v>51.214163583541371</v>
      </c>
      <c r="E67" s="2180">
        <f t="shared" si="12"/>
        <v>50.122014529448407</v>
      </c>
      <c r="F67" s="2180">
        <f t="shared" si="12"/>
        <v>50.515919483995525</v>
      </c>
      <c r="G67" s="2180">
        <f t="shared" si="12"/>
        <v>50.910063739859019</v>
      </c>
      <c r="H67" s="2180">
        <f t="shared" si="12"/>
        <v>48.596666773337326</v>
      </c>
      <c r="I67" s="2180">
        <f t="shared" si="12"/>
        <v>48.592305758412103</v>
      </c>
      <c r="J67" s="2180">
        <f t="shared" si="12"/>
        <v>49.919252698754434</v>
      </c>
      <c r="K67" s="2180">
        <f t="shared" si="12"/>
        <v>48.84897369673503</v>
      </c>
      <c r="L67" s="2180">
        <f t="shared" si="12"/>
        <v>49.791614170361605</v>
      </c>
      <c r="M67" s="2180">
        <f t="shared" si="12"/>
        <v>45.705131970323087</v>
      </c>
      <c r="N67" s="2180">
        <f t="shared" si="12"/>
        <v>45.910185740268282</v>
      </c>
      <c r="O67" s="2180">
        <f t="shared" si="12"/>
        <v>41.650832143040311</v>
      </c>
      <c r="P67" s="2180">
        <f t="shared" si="12"/>
        <v>45.401592512210982</v>
      </c>
      <c r="Q67" s="2180">
        <f t="shared" si="12"/>
        <v>44.478189271725206</v>
      </c>
      <c r="R67" s="2180">
        <f t="shared" si="12"/>
        <v>41.57347181376764</v>
      </c>
      <c r="S67" s="2180">
        <f t="shared" si="12"/>
        <v>37.530325447374061</v>
      </c>
      <c r="T67" s="2180">
        <f t="shared" si="12"/>
        <v>34.899400534777705</v>
      </c>
      <c r="U67" s="2180">
        <f t="shared" si="12"/>
        <v>33.739961942996032</v>
      </c>
      <c r="V67" s="2181">
        <f>V24+V35+V46+V51+V65+V58+V37</f>
        <v>32.374755078407894</v>
      </c>
      <c r="W67" s="871"/>
      <c r="X67" s="871"/>
      <c r="Y67" s="871"/>
      <c r="Z67" s="871"/>
      <c r="AA67" s="789"/>
    </row>
    <row r="68" spans="2:27" x14ac:dyDescent="0.4">
      <c r="B68" s="1574" t="s">
        <v>1621</v>
      </c>
      <c r="C68" s="1618"/>
      <c r="D68" s="787">
        <f>(D$67-$C$67)/$C$67</f>
        <v>0.12894073097098607</v>
      </c>
      <c r="E68" s="787">
        <f t="shared" ref="E68:F68" si="13">(E$67-$C$67)/$C$67</f>
        <v>0.10486591523284093</v>
      </c>
      <c r="F68" s="787">
        <f t="shared" si="13"/>
        <v>0.11354896922032082</v>
      </c>
      <c r="G68" s="787">
        <f t="shared" ref="G68:V68" si="14">(G$67-$C$67)/$C$67</f>
        <v>0.12223729825251743</v>
      </c>
      <c r="H68" s="787">
        <f t="shared" si="14"/>
        <v>7.1241872775132942E-2</v>
      </c>
      <c r="I68" s="787">
        <f t="shared" si="14"/>
        <v>7.1145740630566612E-2</v>
      </c>
      <c r="J68" s="787">
        <f t="shared" si="14"/>
        <v>0.1003963296076989</v>
      </c>
      <c r="K68" s="787">
        <f t="shared" si="14"/>
        <v>7.680360692441783E-2</v>
      </c>
      <c r="L68" s="787">
        <f t="shared" si="14"/>
        <v>9.7582726427226971E-2</v>
      </c>
      <c r="M68" s="787">
        <f t="shared" si="14"/>
        <v>7.5022510429914964E-3</v>
      </c>
      <c r="N68" s="787">
        <f t="shared" si="14"/>
        <v>1.2022359089912324E-2</v>
      </c>
      <c r="O68" s="787">
        <f t="shared" si="14"/>
        <v>-8.1868811380433198E-2</v>
      </c>
      <c r="P68" s="787">
        <f t="shared" si="14"/>
        <v>8.1117119824043911E-4</v>
      </c>
      <c r="Q68" s="787">
        <f t="shared" si="14"/>
        <v>-1.9543891861502769E-2</v>
      </c>
      <c r="R68" s="787">
        <f t="shared" si="14"/>
        <v>-8.3574105786633615E-2</v>
      </c>
      <c r="S68" s="787">
        <f t="shared" si="14"/>
        <v>-0.17269930660834404</v>
      </c>
      <c r="T68" s="787">
        <f t="shared" si="14"/>
        <v>-0.23069416752433533</v>
      </c>
      <c r="U68" s="787">
        <f t="shared" si="14"/>
        <v>-0.25625228191561716</v>
      </c>
      <c r="V68" s="2126">
        <f t="shared" si="14"/>
        <v>-0.28634625451600243</v>
      </c>
      <c r="W68" s="790"/>
    </row>
    <row r="69" spans="2:27" x14ac:dyDescent="0.4">
      <c r="B69" s="769" t="s">
        <v>1615</v>
      </c>
      <c r="C69" s="1618"/>
      <c r="D69" s="789"/>
      <c r="E69" s="787">
        <f>(E$67-$D$67)/$D$67</f>
        <v>-2.1325136986986671E-2</v>
      </c>
      <c r="F69" s="787">
        <f t="shared" ref="F69:V69" si="15">(F$67-$D$67)/$D$67</f>
        <v>-1.363380851484295E-2</v>
      </c>
      <c r="G69" s="787">
        <f t="shared" si="15"/>
        <v>-5.9378074814460035E-3</v>
      </c>
      <c r="H69" s="787">
        <f t="shared" si="15"/>
        <v>-5.1108846206857253E-2</v>
      </c>
      <c r="I69" s="787">
        <f t="shared" si="15"/>
        <v>-5.1193998723662676E-2</v>
      </c>
      <c r="J69" s="787">
        <f t="shared" si="15"/>
        <v>-2.5284233777920776E-2</v>
      </c>
      <c r="K69" s="787">
        <f t="shared" si="15"/>
        <v>-4.6182339441084602E-2</v>
      </c>
      <c r="L69" s="787">
        <f t="shared" si="15"/>
        <v>-2.7776484348109687E-2</v>
      </c>
      <c r="M69" s="787">
        <f t="shared" si="15"/>
        <v>-0.10756851674892361</v>
      </c>
      <c r="N69" s="787">
        <f t="shared" si="15"/>
        <v>-0.10356466789936253</v>
      </c>
      <c r="O69" s="787">
        <f t="shared" si="15"/>
        <v>-0.18673216101442716</v>
      </c>
      <c r="P69" s="787">
        <f t="shared" si="15"/>
        <v>-0.1134953822266145</v>
      </c>
      <c r="Q69" s="787">
        <f t="shared" si="15"/>
        <v>-0.1315256140194174</v>
      </c>
      <c r="R69" s="787">
        <f t="shared" si="15"/>
        <v>-0.18824268708494438</v>
      </c>
      <c r="S69" s="787">
        <f t="shared" si="15"/>
        <v>-0.26718855056269758</v>
      </c>
      <c r="T69" s="787">
        <f t="shared" si="15"/>
        <v>-0.31855959186272292</v>
      </c>
      <c r="U69" s="787">
        <f t="shared" si="15"/>
        <v>-0.34119861416932329</v>
      </c>
      <c r="V69" s="2126">
        <f t="shared" si="15"/>
        <v>-0.36785543660011805</v>
      </c>
      <c r="W69" s="780"/>
    </row>
    <row r="70" spans="2:27" x14ac:dyDescent="0.4">
      <c r="B70" s="769" t="s">
        <v>1622</v>
      </c>
      <c r="C70" s="1259">
        <v>6798800</v>
      </c>
      <c r="D70" s="791">
        <v>7236700</v>
      </c>
      <c r="E70" s="791">
        <v>7322400</v>
      </c>
      <c r="F70" s="791">
        <v>7376700</v>
      </c>
      <c r="G70" s="791">
        <v>7394800</v>
      </c>
      <c r="H70" s="791">
        <v>7432700</v>
      </c>
      <c r="I70" s="791">
        <v>7519000</v>
      </c>
      <c r="J70" s="791">
        <v>7597800</v>
      </c>
      <c r="K70" s="791">
        <v>7693600</v>
      </c>
      <c r="L70" s="791">
        <v>7812400</v>
      </c>
      <c r="M70" s="791">
        <v>7942500</v>
      </c>
      <c r="N70" s="791">
        <v>8061495</v>
      </c>
      <c r="O70" s="791">
        <v>8204407</v>
      </c>
      <c r="P70" s="791">
        <v>8308369</v>
      </c>
      <c r="Q70" s="791">
        <v>8416535</v>
      </c>
      <c r="R70" s="791">
        <v>8538689</v>
      </c>
      <c r="S70" s="791">
        <v>8673713</v>
      </c>
      <c r="T70" s="791">
        <v>8769659</v>
      </c>
      <c r="U70" s="791">
        <v>8825001</v>
      </c>
      <c r="V70" s="792">
        <v>8908081</v>
      </c>
      <c r="W70" s="780"/>
    </row>
    <row r="71" spans="2:27" ht="15.4" x14ac:dyDescent="0.4">
      <c r="B71" s="769" t="s">
        <v>1623</v>
      </c>
      <c r="C71" s="1619">
        <f t="shared" ref="C71:M71" si="16">C67/C70*1000000</f>
        <v>6.6724707151242608</v>
      </c>
      <c r="D71" s="770">
        <f t="shared" si="16"/>
        <v>7.0770052072825145</v>
      </c>
      <c r="E71" s="770">
        <f t="shared" si="16"/>
        <v>6.8450254738130125</v>
      </c>
      <c r="F71" s="770">
        <f t="shared" si="16"/>
        <v>6.8480376705024639</v>
      </c>
      <c r="G71" s="770">
        <f t="shared" si="16"/>
        <v>6.8845761534942147</v>
      </c>
      <c r="H71" s="770">
        <f t="shared" si="16"/>
        <v>6.538225244303864</v>
      </c>
      <c r="I71" s="770">
        <f t="shared" si="16"/>
        <v>6.4626021756100682</v>
      </c>
      <c r="J71" s="770">
        <f t="shared" si="16"/>
        <v>6.5702246306502454</v>
      </c>
      <c r="K71" s="770">
        <f t="shared" si="16"/>
        <v>6.3492998981926574</v>
      </c>
      <c r="L71" s="770">
        <f t="shared" si="16"/>
        <v>6.3734081934311613</v>
      </c>
      <c r="M71" s="770">
        <f t="shared" si="16"/>
        <v>5.7545019792663634</v>
      </c>
      <c r="N71" s="770">
        <v>5.2871809885843719</v>
      </c>
      <c r="O71" s="770">
        <v>4.7097092734473813</v>
      </c>
      <c r="P71" s="770">
        <v>5.0940724060951572</v>
      </c>
      <c r="Q71" s="770">
        <v>4.8565096565716646</v>
      </c>
      <c r="R71" s="770">
        <v>4.4436778908927623</v>
      </c>
      <c r="S71" s="770">
        <v>3.9094323965640014</v>
      </c>
      <c r="T71" s="770">
        <v>3.5201984511711704</v>
      </c>
      <c r="U71" s="770">
        <f>U67/U70*1000000</f>
        <v>3.8232247161213953</v>
      </c>
      <c r="V71" s="793">
        <f>V67/V70*1000000</f>
        <v>3.6343130555736858</v>
      </c>
    </row>
    <row r="72" spans="2:27" ht="15.4" x14ac:dyDescent="0.4">
      <c r="B72" s="769" t="s">
        <v>1624</v>
      </c>
      <c r="C72" s="1619">
        <f t="shared" ref="C72:M72" si="17">(C24+C46)/C70*1000000</f>
        <v>3.7233477591303847</v>
      </c>
      <c r="D72" s="998">
        <f t="shared" si="17"/>
        <v>3.6272847573162643</v>
      </c>
      <c r="E72" s="998">
        <f t="shared" si="17"/>
        <v>3.7010433790058546</v>
      </c>
      <c r="F72" s="998">
        <f t="shared" si="17"/>
        <v>3.7729142361303594</v>
      </c>
      <c r="G72" s="998">
        <f t="shared" si="17"/>
        <v>3.8625510971078572</v>
      </c>
      <c r="H72" s="998">
        <f t="shared" si="17"/>
        <v>3.5656967647100548</v>
      </c>
      <c r="I72" s="998">
        <f t="shared" si="17"/>
        <v>3.6137195597008454</v>
      </c>
      <c r="J72" s="998">
        <f t="shared" si="17"/>
        <v>3.5560279465327556</v>
      </c>
      <c r="K72" s="998">
        <f t="shared" si="17"/>
        <v>3.4615497468241876</v>
      </c>
      <c r="L72" s="998">
        <f t="shared" si="17"/>
        <v>3.4331265932135513</v>
      </c>
      <c r="M72" s="998">
        <f t="shared" si="17"/>
        <v>3.166049505422921</v>
      </c>
      <c r="N72" s="998">
        <v>3.0266431618189471</v>
      </c>
      <c r="O72" s="998">
        <v>2.7450411956188492</v>
      </c>
      <c r="P72" s="998">
        <v>2.8791820059242328</v>
      </c>
      <c r="Q72" s="998">
        <v>2.8027498381326774</v>
      </c>
      <c r="R72" s="998">
        <v>2.5714222350227134</v>
      </c>
      <c r="S72" s="998">
        <v>2.3532496575203954</v>
      </c>
      <c r="T72" s="998">
        <v>2.2236832443061054</v>
      </c>
      <c r="U72" s="998">
        <f>(U24+U46)/U70*1000000</f>
        <v>2.186544053584436</v>
      </c>
      <c r="V72" s="1575">
        <f>(V24+V46)/V70*1000000</f>
        <v>2.0966494355207481</v>
      </c>
      <c r="W72" s="789"/>
    </row>
    <row r="73" spans="2:27" x14ac:dyDescent="0.4">
      <c r="B73" s="769" t="s">
        <v>1892</v>
      </c>
      <c r="C73" s="1619">
        <f t="shared" ref="C73:V73" si="18">C67+C59</f>
        <v>45.257024550910373</v>
      </c>
      <c r="D73" s="998">
        <f t="shared" si="18"/>
        <v>51.090999931964582</v>
      </c>
      <c r="E73" s="998">
        <f t="shared" si="18"/>
        <v>49.996393098352442</v>
      </c>
      <c r="F73" s="998">
        <f t="shared" si="18"/>
        <v>50.388413041524593</v>
      </c>
      <c r="G73" s="998">
        <f t="shared" si="18"/>
        <v>50.780389142213934</v>
      </c>
      <c r="H73" s="998">
        <f t="shared" si="18"/>
        <v>48.465210140194451</v>
      </c>
      <c r="I73" s="998">
        <f t="shared" si="18"/>
        <v>48.458962648382887</v>
      </c>
      <c r="J73" s="998">
        <f t="shared" si="18"/>
        <v>49.783180992773786</v>
      </c>
      <c r="K73" s="998">
        <f t="shared" si="18"/>
        <v>48.711056531973441</v>
      </c>
      <c r="L73" s="998">
        <f t="shared" si="18"/>
        <v>49.652015676051569</v>
      </c>
      <c r="M73" s="998">
        <f t="shared" si="18"/>
        <v>45.564697260720351</v>
      </c>
      <c r="N73" s="998">
        <f t="shared" si="18"/>
        <v>45.76741564899735</v>
      </c>
      <c r="O73" s="998">
        <f t="shared" si="18"/>
        <v>41.506083706293772</v>
      </c>
      <c r="P73" s="998">
        <f t="shared" si="18"/>
        <v>45.254919408841971</v>
      </c>
      <c r="Q73" s="998">
        <f t="shared" si="18"/>
        <v>44.329853119399793</v>
      </c>
      <c r="R73" s="998">
        <f t="shared" si="18"/>
        <v>41.423851669878985</v>
      </c>
      <c r="S73" s="998">
        <f t="shared" si="18"/>
        <v>37.378791474503679</v>
      </c>
      <c r="T73" s="998">
        <f t="shared" si="18"/>
        <v>34.746428684484144</v>
      </c>
      <c r="U73" s="998">
        <f t="shared" si="18"/>
        <v>33.585974150727424</v>
      </c>
      <c r="V73" s="1575">
        <f t="shared" si="18"/>
        <v>32.219806052501035</v>
      </c>
      <c r="W73" s="789"/>
    </row>
    <row r="74" spans="2:27" ht="13.5" thickBot="1" x14ac:dyDescent="0.45">
      <c r="B74" s="1621" t="s">
        <v>1837</v>
      </c>
      <c r="C74" s="1620"/>
      <c r="D74" s="1576"/>
      <c r="E74" s="1576"/>
      <c r="F74" s="1576"/>
      <c r="G74" s="1576"/>
      <c r="H74" s="1576"/>
      <c r="I74" s="1576"/>
      <c r="J74" s="1576"/>
      <c r="K74" s="1576"/>
      <c r="L74" s="1577"/>
      <c r="M74" s="1577"/>
      <c r="N74" s="1578"/>
      <c r="O74" s="1578"/>
      <c r="P74" s="1578"/>
      <c r="Q74" s="1578"/>
      <c r="R74" s="794">
        <v>1.6598979030237551</v>
      </c>
      <c r="S74" s="794">
        <v>1.7012386942594682</v>
      </c>
      <c r="T74" s="794">
        <v>1.7463147063679285</v>
      </c>
      <c r="U74" s="794">
        <v>1.454560543760794</v>
      </c>
      <c r="V74" s="2118">
        <f>(IV.Waste!O10+'Ia.Energy-Stationary '!O57)/1000000</f>
        <v>1.6187906816174873</v>
      </c>
      <c r="W74" s="879"/>
    </row>
    <row r="75" spans="2:27" x14ac:dyDescent="0.4">
      <c r="B75" s="2226" t="s">
        <v>1625</v>
      </c>
      <c r="C75" s="2227"/>
      <c r="D75" s="2227"/>
      <c r="E75" s="2227"/>
      <c r="F75" s="2227"/>
      <c r="G75" s="2227"/>
      <c r="H75" s="2227"/>
      <c r="I75" s="2227"/>
      <c r="J75" s="2227"/>
      <c r="K75" s="2227"/>
      <c r="L75" s="2227"/>
      <c r="M75" s="2227"/>
      <c r="N75" s="2227"/>
      <c r="O75" s="2227"/>
      <c r="P75" s="2227"/>
      <c r="Q75" s="2227"/>
      <c r="R75" s="2227"/>
      <c r="S75" s="2227"/>
      <c r="T75" s="2227"/>
      <c r="U75" s="2227"/>
      <c r="V75" s="796"/>
      <c r="W75" s="797"/>
      <c r="X75" s="780"/>
    </row>
    <row r="76" spans="2:27" x14ac:dyDescent="0.4">
      <c r="B76" s="2227"/>
      <c r="C76" s="2227"/>
      <c r="D76" s="2227"/>
      <c r="E76" s="2227"/>
      <c r="F76" s="2227"/>
      <c r="G76" s="2227"/>
      <c r="H76" s="2227"/>
      <c r="I76" s="2227"/>
      <c r="J76" s="2227"/>
      <c r="K76" s="2227"/>
      <c r="L76" s="2227"/>
      <c r="M76" s="2227"/>
      <c r="N76" s="2227"/>
      <c r="O76" s="2227"/>
      <c r="P76" s="2227"/>
      <c r="Q76" s="2227"/>
      <c r="R76" s="2227"/>
      <c r="S76" s="2227"/>
      <c r="T76" s="2227"/>
      <c r="U76" s="2227"/>
      <c r="V76" s="788"/>
      <c r="W76" s="798"/>
      <c r="X76" s="780"/>
    </row>
    <row r="78" spans="2:27" ht="18.75" customHeight="1" x14ac:dyDescent="0.4"/>
    <row r="79" spans="2:27" ht="18" x14ac:dyDescent="0.55000000000000004">
      <c r="B79" s="755" t="s">
        <v>1626</v>
      </c>
      <c r="C79" s="755" t="s">
        <v>1627</v>
      </c>
    </row>
    <row r="80" spans="2:27" ht="13.5" thickBot="1" x14ac:dyDescent="0.45">
      <c r="B80" s="795"/>
      <c r="C80" s="778"/>
      <c r="D80" s="799"/>
      <c r="E80" s="799"/>
      <c r="F80" s="799"/>
      <c r="G80" s="799"/>
      <c r="H80" s="799"/>
      <c r="I80" s="799"/>
      <c r="J80" s="799"/>
      <c r="K80" s="799"/>
      <c r="L80" s="770"/>
      <c r="M80" s="770"/>
      <c r="U80" s="879"/>
    </row>
    <row r="81" spans="2:24" x14ac:dyDescent="0.4">
      <c r="B81" s="800" t="s">
        <v>1628</v>
      </c>
      <c r="C81" s="1265" t="s">
        <v>1629</v>
      </c>
      <c r="D81" s="801"/>
      <c r="E81" s="801"/>
      <c r="F81" s="801"/>
      <c r="G81" s="801"/>
      <c r="H81" s="801"/>
      <c r="I81" s="801"/>
      <c r="J81" s="801"/>
      <c r="K81" s="801"/>
      <c r="L81" s="801"/>
      <c r="M81" s="801"/>
      <c r="N81" s="801"/>
      <c r="O81" s="801"/>
      <c r="P81" s="801"/>
      <c r="Q81" s="801"/>
      <c r="R81" s="801"/>
      <c r="S81" s="801"/>
      <c r="T81" s="801"/>
      <c r="U81" s="801"/>
      <c r="V81" s="802"/>
    </row>
    <row r="82" spans="2:24" s="804" customFormat="1" x14ac:dyDescent="0.4">
      <c r="B82" s="803"/>
      <c r="C82" s="1266">
        <v>1990</v>
      </c>
      <c r="D82" s="1267">
        <v>2000</v>
      </c>
      <c r="E82" s="1267">
        <v>2001</v>
      </c>
      <c r="F82" s="1267">
        <v>2002</v>
      </c>
      <c r="G82" s="1267">
        <v>2003</v>
      </c>
      <c r="H82" s="1267">
        <v>2004</v>
      </c>
      <c r="I82" s="1267">
        <v>2005</v>
      </c>
      <c r="J82" s="1267">
        <v>2006</v>
      </c>
      <c r="K82" s="1267">
        <v>2007</v>
      </c>
      <c r="L82" s="1267">
        <v>2008</v>
      </c>
      <c r="M82" s="1268">
        <v>2009</v>
      </c>
      <c r="N82" s="1268">
        <v>2010</v>
      </c>
      <c r="O82" s="1268">
        <v>2011</v>
      </c>
      <c r="P82" s="1268">
        <v>2012</v>
      </c>
      <c r="Q82" s="1268">
        <v>2013</v>
      </c>
      <c r="R82" s="1268">
        <v>2014</v>
      </c>
      <c r="S82" s="1268">
        <v>2015</v>
      </c>
      <c r="T82" s="1268">
        <v>2016</v>
      </c>
      <c r="U82" s="1268">
        <v>2017</v>
      </c>
      <c r="V82" s="1269">
        <v>2018</v>
      </c>
    </row>
    <row r="83" spans="2:24" x14ac:dyDescent="0.4">
      <c r="B83" s="1264"/>
      <c r="C83" s="2228" t="s">
        <v>1630</v>
      </c>
      <c r="D83" s="2229"/>
      <c r="E83" s="2229"/>
      <c r="F83" s="2229"/>
      <c r="G83" s="2229"/>
      <c r="H83" s="2229"/>
      <c r="I83" s="2229"/>
      <c r="J83" s="2229"/>
      <c r="K83" s="2229"/>
      <c r="L83" s="2229"/>
      <c r="M83" s="2230"/>
      <c r="N83" s="883" t="s">
        <v>1631</v>
      </c>
      <c r="O83" s="805"/>
      <c r="P83" s="805"/>
      <c r="Q83" s="805"/>
      <c r="R83" s="805"/>
      <c r="S83" s="805"/>
      <c r="T83" s="805"/>
      <c r="U83" s="805"/>
      <c r="V83" s="806"/>
    </row>
    <row r="84" spans="2:24" x14ac:dyDescent="0.4">
      <c r="B84" s="808" t="s">
        <v>1613</v>
      </c>
      <c r="C84" s="1270" t="s">
        <v>1614</v>
      </c>
      <c r="D84" s="1271" t="s">
        <v>257</v>
      </c>
      <c r="E84" s="1271" t="s">
        <v>257</v>
      </c>
      <c r="F84" s="1271" t="s">
        <v>1614</v>
      </c>
      <c r="G84" s="1271" t="s">
        <v>257</v>
      </c>
      <c r="H84" s="1271" t="s">
        <v>257</v>
      </c>
      <c r="I84" s="1271" t="s">
        <v>257</v>
      </c>
      <c r="J84" s="1271" t="s">
        <v>257</v>
      </c>
      <c r="K84" s="1271" t="s">
        <v>1614</v>
      </c>
      <c r="L84" s="1272" t="s">
        <v>257</v>
      </c>
      <c r="M84" s="1272" t="s">
        <v>1614</v>
      </c>
      <c r="N84" s="1257" t="s">
        <v>257</v>
      </c>
      <c r="O84" s="1258" t="s">
        <v>257</v>
      </c>
      <c r="P84" s="1258" t="s">
        <v>257</v>
      </c>
      <c r="Q84" s="1258" t="s">
        <v>257</v>
      </c>
      <c r="R84" s="1258" t="s">
        <v>257</v>
      </c>
      <c r="S84" s="1258" t="s">
        <v>257</v>
      </c>
      <c r="T84" s="1258" t="s">
        <v>257</v>
      </c>
      <c r="U84" s="1258" t="s">
        <v>257</v>
      </c>
      <c r="V84" s="1273" t="s">
        <v>1111</v>
      </c>
      <c r="W84" s="780"/>
      <c r="X84" s="780"/>
    </row>
    <row r="85" spans="2:24" x14ac:dyDescent="0.4">
      <c r="B85" s="769" t="s">
        <v>592</v>
      </c>
      <c r="C85" s="1274"/>
      <c r="D85" s="791">
        <v>54743</v>
      </c>
      <c r="E85" s="791">
        <v>64627.994084601567</v>
      </c>
      <c r="F85" s="809">
        <f>(E85+G85)/2</f>
        <v>59994.202042300785</v>
      </c>
      <c r="G85" s="791">
        <v>55360.41</v>
      </c>
      <c r="H85" s="791">
        <v>55299.044916451021</v>
      </c>
      <c r="I85" s="791">
        <v>52218.969078739989</v>
      </c>
      <c r="J85" s="791">
        <v>50583.057883720001</v>
      </c>
      <c r="K85" s="809">
        <f>(J85+L85)/2</f>
        <v>50255.726259630006</v>
      </c>
      <c r="L85" s="791">
        <v>49928.394635540011</v>
      </c>
      <c r="M85" s="809">
        <f>(L85+N85)/2</f>
        <v>49515.566916937358</v>
      </c>
      <c r="N85" s="1259">
        <v>49102.739198334712</v>
      </c>
      <c r="O85" s="791">
        <v>40115.500464077901</v>
      </c>
      <c r="P85" s="791">
        <v>43875.261389507454</v>
      </c>
      <c r="Q85" s="791">
        <v>44746.985958172081</v>
      </c>
      <c r="R85" s="791">
        <v>39960.843414376388</v>
      </c>
      <c r="S85" s="791">
        <v>38240.663658490455</v>
      </c>
      <c r="T85" s="791">
        <v>39768.578465017556</v>
      </c>
      <c r="U85" s="791">
        <v>41702.31042473999</v>
      </c>
      <c r="V85" s="1275">
        <f>'01 Energy'!D43</f>
        <v>39643.153234487014</v>
      </c>
      <c r="W85" s="791"/>
      <c r="X85" s="2182"/>
    </row>
    <row r="86" spans="2:24" x14ac:dyDescent="0.4">
      <c r="B86" s="769" t="s">
        <v>16</v>
      </c>
      <c r="C86" s="1274"/>
      <c r="D86" s="791">
        <v>13125.562869004429</v>
      </c>
      <c r="E86" s="791">
        <v>13535.612015696201</v>
      </c>
      <c r="F86" s="809">
        <f>(E86+G86)/2</f>
        <v>13615.786007848099</v>
      </c>
      <c r="G86" s="791">
        <v>13695.96</v>
      </c>
      <c r="H86" s="791">
        <v>13459.23607744</v>
      </c>
      <c r="I86" s="791">
        <v>13775.338028199996</v>
      </c>
      <c r="J86" s="791">
        <v>13588.501723240002</v>
      </c>
      <c r="K86" s="809">
        <f>(J86+L86)/2</f>
        <v>13682.274666759999</v>
      </c>
      <c r="L86" s="791">
        <v>13776.047610279995</v>
      </c>
      <c r="M86" s="809">
        <f>(L86+N86)/2</f>
        <v>13622.271029564992</v>
      </c>
      <c r="N86" s="1259">
        <v>13468.494448849991</v>
      </c>
      <c r="O86" s="791">
        <v>13373.950132499975</v>
      </c>
      <c r="P86" s="791">
        <v>13275.356970999999</v>
      </c>
      <c r="Q86" s="791">
        <v>13101.747370999999</v>
      </c>
      <c r="R86" s="791">
        <v>13204.3765243</v>
      </c>
      <c r="S86" s="791">
        <v>12978.745941179999</v>
      </c>
      <c r="T86" s="791">
        <v>12918.736708100003</v>
      </c>
      <c r="U86" s="791">
        <v>12791.222867160002</v>
      </c>
      <c r="V86" s="1275">
        <f>'01 Energy'!C43</f>
        <v>12553.478736920004</v>
      </c>
      <c r="W86" s="1831"/>
    </row>
    <row r="87" spans="2:24" x14ac:dyDescent="0.4">
      <c r="B87" s="769" t="s">
        <v>593</v>
      </c>
      <c r="C87" s="1274"/>
      <c r="D87" s="791">
        <v>0</v>
      </c>
      <c r="E87" s="791">
        <v>0</v>
      </c>
      <c r="F87" s="809">
        <f>(E87+G87)/2</f>
        <v>23.806915</v>
      </c>
      <c r="G87" s="791">
        <v>47.61383</v>
      </c>
      <c r="H87" s="791">
        <v>25.004655103889998</v>
      </c>
      <c r="I87" s="791">
        <v>11.497008414300002</v>
      </c>
      <c r="J87" s="791">
        <v>17.514491514590006</v>
      </c>
      <c r="K87" s="809">
        <f>(J87+L87)/2</f>
        <v>25.005319738977452</v>
      </c>
      <c r="L87" s="791">
        <v>32.496147963364898</v>
      </c>
      <c r="M87" s="809">
        <f>(L87+N87)/2</f>
        <v>83.370618981682455</v>
      </c>
      <c r="N87" s="1259">
        <v>134.24509</v>
      </c>
      <c r="O87" s="791">
        <v>124.35959</v>
      </c>
      <c r="P87" s="791">
        <v>119.98671</v>
      </c>
      <c r="Q87" s="791">
        <v>132.32532432262221</v>
      </c>
      <c r="R87" s="791">
        <v>129.33324159730844</v>
      </c>
      <c r="S87" s="791">
        <v>132.13101028112993</v>
      </c>
      <c r="T87" s="791">
        <v>127.93</v>
      </c>
      <c r="U87" s="791">
        <v>145.05913334158237</v>
      </c>
      <c r="V87" s="1275">
        <f>'01 Energy'!E43</f>
        <v>150.15559585644195</v>
      </c>
      <c r="W87" s="810"/>
      <c r="X87" s="810"/>
    </row>
    <row r="88" spans="2:24" x14ac:dyDescent="0.4">
      <c r="B88" s="769" t="s">
        <v>350</v>
      </c>
      <c r="C88" s="1274"/>
      <c r="D88" s="791">
        <v>187</v>
      </c>
      <c r="E88" s="791">
        <v>661.73030647934274</v>
      </c>
      <c r="F88" s="809">
        <f>(E88+G88)/2</f>
        <v>614.28460323967136</v>
      </c>
      <c r="G88" s="791">
        <v>566.83889999999997</v>
      </c>
      <c r="H88" s="791">
        <v>267.27990870000002</v>
      </c>
      <c r="I88" s="791">
        <v>426.72344219999997</v>
      </c>
      <c r="J88" s="791">
        <v>284.48996003999997</v>
      </c>
      <c r="K88" s="809">
        <f>(J88+L88)/2</f>
        <v>276.33569848999997</v>
      </c>
      <c r="L88" s="791">
        <v>268.18143693999997</v>
      </c>
      <c r="M88" s="809">
        <f>(L88+N88)/2</f>
        <v>240.59244346999998</v>
      </c>
      <c r="N88" s="1259">
        <v>213.00344999999999</v>
      </c>
      <c r="O88" s="791">
        <v>186.56845999999999</v>
      </c>
      <c r="P88" s="791">
        <v>188.69675000000001</v>
      </c>
      <c r="Q88" s="791">
        <v>192.92732870700468</v>
      </c>
      <c r="R88" s="791">
        <v>188.84154985654052</v>
      </c>
      <c r="S88" s="791">
        <v>187.87445361266893</v>
      </c>
      <c r="T88" s="791">
        <v>188.40600000000001</v>
      </c>
      <c r="U88" s="791">
        <v>190.0531103977855</v>
      </c>
      <c r="V88" s="1275">
        <f>'01 Energy'!F43</f>
        <v>188.49824209191218</v>
      </c>
      <c r="W88" s="1831"/>
    </row>
    <row r="89" spans="2:24" x14ac:dyDescent="0.4">
      <c r="B89" s="811" t="s">
        <v>1127</v>
      </c>
      <c r="C89" s="1276"/>
      <c r="D89" s="1260">
        <f>SUM(D85:D88)</f>
        <v>68055.562869004425</v>
      </c>
      <c r="E89" s="1260">
        <f t="shared" ref="E89:M89" si="19">SUM(E85:E88)</f>
        <v>78825.336406777104</v>
      </c>
      <c r="F89" s="1260">
        <f t="shared" si="19"/>
        <v>74248.079568388552</v>
      </c>
      <c r="G89" s="1260">
        <f t="shared" si="19"/>
        <v>69670.82273</v>
      </c>
      <c r="H89" s="1260">
        <f t="shared" si="19"/>
        <v>69050.565557694907</v>
      </c>
      <c r="I89" s="1260">
        <f t="shared" si="19"/>
        <v>66432.527557554291</v>
      </c>
      <c r="J89" s="1260">
        <f t="shared" si="19"/>
        <v>64473.564058514588</v>
      </c>
      <c r="K89" s="1260">
        <f t="shared" si="19"/>
        <v>64239.341944618987</v>
      </c>
      <c r="L89" s="1260">
        <f t="shared" si="19"/>
        <v>64005.119830723372</v>
      </c>
      <c r="M89" s="1260">
        <f t="shared" si="19"/>
        <v>63461.801008954026</v>
      </c>
      <c r="N89" s="812">
        <f>SUM(N85:N88)</f>
        <v>62918.482187184694</v>
      </c>
      <c r="O89" s="1260">
        <f>SUM(O85:O88)</f>
        <v>53800.378646577876</v>
      </c>
      <c r="P89" s="1260">
        <v>57459.301820507455</v>
      </c>
      <c r="Q89" s="1260">
        <v>58173.985982201702</v>
      </c>
      <c r="R89" s="1260">
        <v>53483.394730130232</v>
      </c>
      <c r="S89" s="1260">
        <v>51539.415063564258</v>
      </c>
      <c r="T89" s="1260">
        <v>53003.651173117563</v>
      </c>
      <c r="U89" s="1260">
        <f>SUM(U85:U88)</f>
        <v>54828.645535639356</v>
      </c>
      <c r="V89" s="813">
        <f>SUM(V85:V88)</f>
        <v>52535.285809355373</v>
      </c>
    </row>
    <row r="90" spans="2:24" x14ac:dyDescent="0.4">
      <c r="B90" s="783" t="s">
        <v>1616</v>
      </c>
      <c r="C90" s="1270" t="s">
        <v>1614</v>
      </c>
      <c r="D90" s="1271" t="s">
        <v>257</v>
      </c>
      <c r="E90" s="1271" t="s">
        <v>257</v>
      </c>
      <c r="F90" s="1271" t="s">
        <v>1614</v>
      </c>
      <c r="G90" s="1271" t="s">
        <v>257</v>
      </c>
      <c r="H90" s="1271" t="s">
        <v>257</v>
      </c>
      <c r="I90" s="1271" t="s">
        <v>257</v>
      </c>
      <c r="J90" s="1271" t="s">
        <v>257</v>
      </c>
      <c r="K90" s="1271" t="s">
        <v>1614</v>
      </c>
      <c r="L90" s="1272" t="s">
        <v>257</v>
      </c>
      <c r="M90" s="1272" t="s">
        <v>1614</v>
      </c>
      <c r="N90" s="1257" t="s">
        <v>257</v>
      </c>
      <c r="O90" s="1258" t="s">
        <v>257</v>
      </c>
      <c r="P90" s="1258" t="s">
        <v>257</v>
      </c>
      <c r="Q90" s="1258" t="s">
        <v>257</v>
      </c>
      <c r="R90" s="1258" t="s">
        <v>257</v>
      </c>
      <c r="S90" s="1258" t="s">
        <v>257</v>
      </c>
      <c r="T90" s="1258" t="s">
        <v>257</v>
      </c>
      <c r="U90" s="1261" t="s">
        <v>1111</v>
      </c>
      <c r="V90" s="1277" t="s">
        <v>1111</v>
      </c>
    </row>
    <row r="91" spans="2:24" x14ac:dyDescent="0.4">
      <c r="B91" s="769" t="s">
        <v>592</v>
      </c>
      <c r="C91" s="1274"/>
      <c r="D91" s="791">
        <v>34474</v>
      </c>
      <c r="E91" s="791">
        <v>33310.346662700606</v>
      </c>
      <c r="F91" s="809">
        <f>(E91+G91)/2</f>
        <v>30628.788331350304</v>
      </c>
      <c r="G91" s="791">
        <v>27947.23</v>
      </c>
      <c r="H91" s="791">
        <v>28360.294593989998</v>
      </c>
      <c r="I91" s="791">
        <v>27002.914969840007</v>
      </c>
      <c r="J91" s="791">
        <v>25477.328037660001</v>
      </c>
      <c r="K91" s="809">
        <f>(J91+L91)/2</f>
        <v>24933.988109275</v>
      </c>
      <c r="L91" s="791">
        <v>24390.648180889995</v>
      </c>
      <c r="M91" s="809">
        <f>(L91+N91)/2</f>
        <v>24674.974781846231</v>
      </c>
      <c r="N91" s="1259">
        <v>24959.301382802467</v>
      </c>
      <c r="O91" s="791">
        <v>20818.987120365873</v>
      </c>
      <c r="P91" s="791">
        <v>22567.694628485609</v>
      </c>
      <c r="Q91" s="791">
        <v>22758.568964514561</v>
      </c>
      <c r="R91" s="791">
        <v>19628.2895532945</v>
      </c>
      <c r="S91" s="791">
        <v>17597.589381536047</v>
      </c>
      <c r="T91" s="791">
        <v>18642.435269472255</v>
      </c>
      <c r="U91" s="791">
        <v>20589.933874599999</v>
      </c>
      <c r="V91" s="1275">
        <f>'01 Energy'!J43</f>
        <v>20376.175921959999</v>
      </c>
      <c r="W91" s="815"/>
    </row>
    <row r="92" spans="2:24" x14ac:dyDescent="0.4">
      <c r="B92" s="769" t="s">
        <v>16</v>
      </c>
      <c r="C92" s="1274"/>
      <c r="D92" s="791">
        <v>25884.017461733678</v>
      </c>
      <c r="E92" s="791">
        <v>25258.504627145001</v>
      </c>
      <c r="F92" s="809">
        <f>(E92+G92)/2</f>
        <v>25399.897313572503</v>
      </c>
      <c r="G92" s="791">
        <v>25541.29</v>
      </c>
      <c r="H92" s="791">
        <v>26422.586736460009</v>
      </c>
      <c r="I92" s="791">
        <v>27321.795835639998</v>
      </c>
      <c r="J92" s="791">
        <v>26374.429184790002</v>
      </c>
      <c r="K92" s="809">
        <f>(J92+L92)/2</f>
        <v>26233.935451215002</v>
      </c>
      <c r="L92" s="791">
        <v>26093.441717640006</v>
      </c>
      <c r="M92" s="809">
        <f>(L92+N92)/2</f>
        <v>26040.031241417026</v>
      </c>
      <c r="N92" s="1259">
        <v>25986.620765194042</v>
      </c>
      <c r="O92" s="791">
        <v>24312.626543893988</v>
      </c>
      <c r="P92" s="791">
        <v>25272.714193994052</v>
      </c>
      <c r="Q92" s="791">
        <v>25025.330900864563</v>
      </c>
      <c r="R92" s="791">
        <v>25783.70153149523</v>
      </c>
      <c r="S92" s="791">
        <v>24677.775983485706</v>
      </c>
      <c r="T92" s="791">
        <v>23222.962643682749</v>
      </c>
      <c r="U92" s="791">
        <v>23307.73849302276</v>
      </c>
      <c r="V92" s="1275">
        <f>'01 Energy'!I43</f>
        <v>23203.751844109738</v>
      </c>
      <c r="W92" s="780"/>
    </row>
    <row r="93" spans="2:24" x14ac:dyDescent="0.4">
      <c r="B93" s="769" t="s">
        <v>1617</v>
      </c>
      <c r="C93" s="1274"/>
      <c r="D93" s="809"/>
      <c r="E93" s="809"/>
      <c r="F93" s="809"/>
      <c r="G93" s="809"/>
      <c r="H93" s="809"/>
      <c r="I93" s="809"/>
      <c r="J93" s="809"/>
      <c r="K93" s="809"/>
      <c r="L93" s="809"/>
      <c r="M93" s="809"/>
      <c r="N93" s="1259">
        <v>366.54423178225164</v>
      </c>
      <c r="O93" s="791">
        <v>126.22588829408255</v>
      </c>
      <c r="P93" s="791">
        <v>167.67459605607374</v>
      </c>
      <c r="Q93" s="791">
        <v>173.68878443460824</v>
      </c>
      <c r="R93" s="791">
        <v>106.06196469181363</v>
      </c>
      <c r="S93" s="791">
        <v>100.53871731595413</v>
      </c>
      <c r="T93" s="791">
        <v>73.236818</v>
      </c>
      <c r="U93" s="791">
        <v>74.802096000000006</v>
      </c>
      <c r="V93" s="1278">
        <f>'01 Energy'!J41/1000000</f>
        <v>74.802096000000006</v>
      </c>
    </row>
    <row r="94" spans="2:24" x14ac:dyDescent="0.4">
      <c r="B94" s="769" t="s">
        <v>593</v>
      </c>
      <c r="C94" s="1274"/>
      <c r="D94" s="791">
        <v>255</v>
      </c>
      <c r="E94" s="791">
        <v>52.512477774288797</v>
      </c>
      <c r="F94" s="809">
        <f>(E94+G94)/2</f>
        <v>37.871163887144398</v>
      </c>
      <c r="G94" s="791">
        <v>23.229849999999999</v>
      </c>
      <c r="H94" s="791">
        <v>41.90340298237097</v>
      </c>
      <c r="I94" s="791">
        <v>21.604388100205</v>
      </c>
      <c r="J94" s="791">
        <v>38.003833643995193</v>
      </c>
      <c r="K94" s="809">
        <f>(J94+L94)/2</f>
        <v>38.003833643995193</v>
      </c>
      <c r="L94" s="791">
        <v>38.003833643995186</v>
      </c>
      <c r="M94" s="809">
        <f>(L94+N94)/2</f>
        <v>53.665131821997591</v>
      </c>
      <c r="N94" s="1259">
        <v>69.326430000000002</v>
      </c>
      <c r="O94" s="791">
        <v>64.883769999999998</v>
      </c>
      <c r="P94" s="791">
        <v>63.988259999999997</v>
      </c>
      <c r="Q94" s="791">
        <v>36.900778466962549</v>
      </c>
      <c r="R94" s="791">
        <v>31.662736473767001</v>
      </c>
      <c r="S94" s="791">
        <v>19.920339437501251</v>
      </c>
      <c r="T94" s="791">
        <v>41.868000000000002</v>
      </c>
      <c r="U94" s="791">
        <v>27.760936061561928</v>
      </c>
      <c r="V94" s="1275">
        <f>'01 Energy'!K43</f>
        <v>25.07245511021868</v>
      </c>
      <c r="W94" s="810"/>
    </row>
    <row r="95" spans="2:24" x14ac:dyDescent="0.4">
      <c r="B95" s="769" t="s">
        <v>350</v>
      </c>
      <c r="C95" s="1274"/>
      <c r="D95" s="791">
        <v>6420</v>
      </c>
      <c r="E95" s="791">
        <v>3142.9621898984146</v>
      </c>
      <c r="F95" s="809">
        <f>(E95+G95)/2</f>
        <v>2967.6900949492074</v>
      </c>
      <c r="G95" s="791">
        <v>2792.4180000000001</v>
      </c>
      <c r="H95" s="791">
        <v>3345.3337455999999</v>
      </c>
      <c r="I95" s="791">
        <v>3016.4231448999994</v>
      </c>
      <c r="J95" s="791">
        <v>3175.9475508600003</v>
      </c>
      <c r="K95" s="809">
        <f>(J95+L95)/2</f>
        <v>2964.5147780450002</v>
      </c>
      <c r="L95" s="791">
        <v>2753.08200523</v>
      </c>
      <c r="M95" s="809">
        <f>(L95+N95)/2</f>
        <v>2475.7330076150001</v>
      </c>
      <c r="N95" s="1259">
        <v>2198.3840100000002</v>
      </c>
      <c r="O95" s="791">
        <v>2010.1408300000001</v>
      </c>
      <c r="P95" s="791">
        <v>1958.79438</v>
      </c>
      <c r="Q95" s="791">
        <v>1874.3437397132795</v>
      </c>
      <c r="R95" s="791">
        <v>2085.3212559628937</v>
      </c>
      <c r="S95" s="791">
        <v>2118.8088575325905</v>
      </c>
      <c r="T95" s="791">
        <v>2203.8850000000002</v>
      </c>
      <c r="U95" s="791">
        <v>2312.1473704001301</v>
      </c>
      <c r="V95" s="1275">
        <f>'01 Energy'!L43</f>
        <v>2203.7790529818044</v>
      </c>
    </row>
    <row r="96" spans="2:24" x14ac:dyDescent="0.4">
      <c r="B96" s="769" t="s">
        <v>600</v>
      </c>
      <c r="C96" s="1274"/>
      <c r="D96" s="791">
        <v>1734</v>
      </c>
      <c r="E96" s="791">
        <v>326.66819372383708</v>
      </c>
      <c r="F96" s="809">
        <f>(E96+G96)/2</f>
        <v>297.33204686191857</v>
      </c>
      <c r="G96" s="791">
        <v>267.99590000000001</v>
      </c>
      <c r="H96" s="791">
        <v>349.15640051129998</v>
      </c>
      <c r="I96" s="791">
        <v>2.8293413003270009</v>
      </c>
      <c r="J96" s="791">
        <v>242.73651725999994</v>
      </c>
      <c r="K96" s="809">
        <f>(J96+L96)/2</f>
        <v>242.73651725999994</v>
      </c>
      <c r="L96" s="791">
        <v>242.73651725999994</v>
      </c>
      <c r="M96" s="809">
        <f>(L96+N96)/2</f>
        <v>203.19693862999998</v>
      </c>
      <c r="N96" s="1259">
        <v>163.65736000000001</v>
      </c>
      <c r="O96" s="791">
        <v>280.94591000000003</v>
      </c>
      <c r="P96" s="791">
        <v>257.49982999999997</v>
      </c>
      <c r="Q96" s="791">
        <v>317.32459127071672</v>
      </c>
      <c r="R96" s="791">
        <v>1541.2481002362711</v>
      </c>
      <c r="S96" s="791">
        <v>1450.5438487176157</v>
      </c>
      <c r="T96" s="791">
        <v>1399.0889999999999</v>
      </c>
      <c r="U96" s="791">
        <v>1414.8098468434935</v>
      </c>
      <c r="V96" s="1275">
        <f>'01 Energy'!M43</f>
        <v>1548.9209871818366</v>
      </c>
    </row>
    <row r="97" spans="2:25" x14ac:dyDescent="0.4">
      <c r="B97" s="785" t="s">
        <v>1127</v>
      </c>
      <c r="C97" s="1279"/>
      <c r="D97" s="816">
        <f>SUM(D91:D96)</f>
        <v>68767.017461733674</v>
      </c>
      <c r="E97" s="816">
        <f t="shared" ref="E97:M97" si="20">SUM(E91:E96)</f>
        <v>62090.99415124215</v>
      </c>
      <c r="F97" s="816">
        <f t="shared" si="20"/>
        <v>59331.578950621079</v>
      </c>
      <c r="G97" s="816">
        <f t="shared" si="20"/>
        <v>56572.163750000007</v>
      </c>
      <c r="H97" s="816">
        <f t="shared" si="20"/>
        <v>58519.274879543686</v>
      </c>
      <c r="I97" s="816">
        <f t="shared" si="20"/>
        <v>57365.567679780535</v>
      </c>
      <c r="J97" s="816">
        <f t="shared" si="20"/>
        <v>55308.445124213998</v>
      </c>
      <c r="K97" s="816">
        <f t="shared" si="20"/>
        <v>54413.178689438995</v>
      </c>
      <c r="L97" s="816">
        <f t="shared" si="20"/>
        <v>53517.912254663992</v>
      </c>
      <c r="M97" s="816">
        <f t="shared" si="20"/>
        <v>53447.601101330249</v>
      </c>
      <c r="N97" s="812">
        <f>SUM(N91:N96)</f>
        <v>53743.834179778758</v>
      </c>
      <c r="O97" s="1260">
        <f>SUM(O91:O96)</f>
        <v>47613.810062553937</v>
      </c>
      <c r="P97" s="1260">
        <v>50288.365888535729</v>
      </c>
      <c r="Q97" s="1260">
        <v>50186.157759264679</v>
      </c>
      <c r="R97" s="1260">
        <v>49176.285142154469</v>
      </c>
      <c r="S97" s="1260">
        <v>45898.041249285292</v>
      </c>
      <c r="T97" s="1260">
        <v>45583.476731155002</v>
      </c>
      <c r="U97" s="1260">
        <f>SUM(U91:U96)</f>
        <v>47727.19261692794</v>
      </c>
      <c r="V97" s="813">
        <f>SUM(V91:V96)</f>
        <v>47432.502357343597</v>
      </c>
    </row>
    <row r="98" spans="2:25" x14ac:dyDescent="0.4">
      <c r="B98" s="817" t="s">
        <v>407</v>
      </c>
      <c r="C98" s="1270" t="s">
        <v>1614</v>
      </c>
      <c r="D98" s="1271" t="s">
        <v>257</v>
      </c>
      <c r="E98" s="1271" t="s">
        <v>257</v>
      </c>
      <c r="F98" s="1271" t="s">
        <v>1614</v>
      </c>
      <c r="G98" s="1271" t="s">
        <v>257</v>
      </c>
      <c r="H98" s="1271" t="s">
        <v>257</v>
      </c>
      <c r="I98" s="1271" t="s">
        <v>257</v>
      </c>
      <c r="J98" s="1271" t="s">
        <v>257</v>
      </c>
      <c r="K98" s="1271" t="s">
        <v>1614</v>
      </c>
      <c r="L98" s="1272" t="s">
        <v>257</v>
      </c>
      <c r="M98" s="1272" t="s">
        <v>1614</v>
      </c>
      <c r="N98" s="1262" t="s">
        <v>257</v>
      </c>
      <c r="O98" s="1261" t="s">
        <v>1614</v>
      </c>
      <c r="P98" s="1261" t="s">
        <v>1614</v>
      </c>
      <c r="Q98" s="1261" t="s">
        <v>1614</v>
      </c>
      <c r="R98" s="1261" t="s">
        <v>257</v>
      </c>
      <c r="S98" s="1261" t="s">
        <v>1111</v>
      </c>
      <c r="T98" s="1261" t="s">
        <v>1111</v>
      </c>
      <c r="U98" s="1261" t="s">
        <v>1111</v>
      </c>
      <c r="V98" s="1277" t="s">
        <v>1111</v>
      </c>
    </row>
    <row r="99" spans="2:25" x14ac:dyDescent="0.4">
      <c r="B99" s="769" t="s">
        <v>758</v>
      </c>
      <c r="C99" s="1274"/>
      <c r="D99" s="791">
        <v>26995</v>
      </c>
      <c r="E99" s="791">
        <v>26768.876419005865</v>
      </c>
      <c r="F99" s="809">
        <f>(E99+G99)/2</f>
        <v>27730.098209502932</v>
      </c>
      <c r="G99" s="791">
        <v>28691.32</v>
      </c>
      <c r="H99" s="791">
        <v>30004.672718411308</v>
      </c>
      <c r="I99" s="791">
        <v>28276.620657742027</v>
      </c>
      <c r="J99" s="791">
        <v>29313.171370193359</v>
      </c>
      <c r="K99" s="809">
        <f>(J99+L99)/2</f>
        <v>28754.780685096681</v>
      </c>
      <c r="L99" s="791">
        <v>28196.39</v>
      </c>
      <c r="M99" s="809">
        <f>(L99+N99)/2</f>
        <v>27372.06567230697</v>
      </c>
      <c r="N99" s="1259">
        <v>26547.741344613936</v>
      </c>
      <c r="O99" s="809">
        <f t="shared" ref="O99:O104" si="21">N99</f>
        <v>26547.741344613936</v>
      </c>
      <c r="P99" s="809">
        <v>26547.741344613936</v>
      </c>
      <c r="Q99" s="809">
        <v>25077.745590469851</v>
      </c>
      <c r="R99" s="809">
        <v>26608.886927364107</v>
      </c>
      <c r="S99" s="809">
        <v>26495.502638436064</v>
      </c>
      <c r="T99" s="809">
        <v>26933.639947800002</v>
      </c>
      <c r="U99" s="791">
        <v>25660.80057245936</v>
      </c>
      <c r="V99" s="1275">
        <f>'01 Energy'!S43</f>
        <v>25681.847656151993</v>
      </c>
    </row>
    <row r="100" spans="2:25" x14ac:dyDescent="0.4">
      <c r="B100" s="769" t="s">
        <v>1619</v>
      </c>
      <c r="C100" s="1274"/>
      <c r="D100" s="791">
        <v>2019</v>
      </c>
      <c r="E100" s="791">
        <v>1094.0036459486394</v>
      </c>
      <c r="F100" s="809">
        <f>(E100+G100)/2</f>
        <v>1313.3968229743195</v>
      </c>
      <c r="G100" s="791">
        <v>1532.79</v>
      </c>
      <c r="H100" s="791">
        <v>290.57388603570001</v>
      </c>
      <c r="I100" s="791">
        <v>299.29110259980007</v>
      </c>
      <c r="J100" s="791">
        <v>299.29110259980007</v>
      </c>
      <c r="K100" s="809">
        <f>(J100+L100)/2</f>
        <v>370.07438541099998</v>
      </c>
      <c r="L100" s="791">
        <v>440.85766822219989</v>
      </c>
      <c r="M100" s="809">
        <f>(L100+N100)/2</f>
        <v>446.94372081121367</v>
      </c>
      <c r="N100" s="1259">
        <v>453.02977340022738</v>
      </c>
      <c r="O100" s="809">
        <f t="shared" si="21"/>
        <v>453.02977340022738</v>
      </c>
      <c r="P100" s="809">
        <v>453.02977340022738</v>
      </c>
      <c r="Q100" s="809">
        <v>463.36725508343608</v>
      </c>
      <c r="R100" s="809">
        <v>303.8249133626918</v>
      </c>
      <c r="S100" s="809">
        <v>303.8249133626918</v>
      </c>
      <c r="T100" s="809">
        <v>303.8249133626918</v>
      </c>
      <c r="U100" s="791">
        <v>303.8249133626918</v>
      </c>
      <c r="V100" s="1275">
        <f>'01 Energy'!Q43</f>
        <v>303.8249133626918</v>
      </c>
      <c r="W100" s="780"/>
      <c r="X100" s="780"/>
    </row>
    <row r="101" spans="2:25" x14ac:dyDescent="0.4">
      <c r="B101" s="818" t="s">
        <v>1620</v>
      </c>
      <c r="C101" s="1274"/>
      <c r="D101" s="809"/>
      <c r="E101" s="809"/>
      <c r="F101" s="809"/>
      <c r="G101" s="809"/>
      <c r="H101" s="809"/>
      <c r="I101" s="809"/>
      <c r="J101" s="809"/>
      <c r="K101" s="809"/>
      <c r="L101" s="809"/>
      <c r="M101" s="809"/>
      <c r="N101" s="1259">
        <v>2258.8045650059421</v>
      </c>
      <c r="O101" s="809">
        <f t="shared" si="21"/>
        <v>2258.8045650059421</v>
      </c>
      <c r="P101" s="809">
        <v>2258.8045650059421</v>
      </c>
      <c r="Q101" s="809">
        <v>2350.9391161354333</v>
      </c>
      <c r="R101" s="809">
        <v>1969.3679959243532</v>
      </c>
      <c r="S101" s="809">
        <v>1997.7930590472456</v>
      </c>
      <c r="T101" s="809">
        <v>2001.8282110272457</v>
      </c>
      <c r="U101" s="791">
        <v>2001.8934972772454</v>
      </c>
      <c r="V101" s="1275">
        <f>'01 Energy'!R43</f>
        <v>2042.7372309272455</v>
      </c>
      <c r="X101" s="810"/>
      <c r="Y101" s="780"/>
    </row>
    <row r="102" spans="2:25" x14ac:dyDescent="0.4">
      <c r="B102" s="769" t="s">
        <v>1632</v>
      </c>
      <c r="C102" s="1274"/>
      <c r="D102" s="791">
        <v>3453</v>
      </c>
      <c r="E102" s="791">
        <v>3145.9975904246494</v>
      </c>
      <c r="F102" s="809">
        <f>(E102+G102)/2</f>
        <v>3776.9007952123247</v>
      </c>
      <c r="G102" s="791">
        <v>4407.8040000000001</v>
      </c>
      <c r="H102" s="791">
        <v>4963.6348873190791</v>
      </c>
      <c r="I102" s="791">
        <v>5606.359767975533</v>
      </c>
      <c r="J102" s="791">
        <v>5606.359767975533</v>
      </c>
      <c r="K102" s="809">
        <f>(J102+L102)/2</f>
        <v>5668.75275959799</v>
      </c>
      <c r="L102" s="791">
        <v>5731.1457512204479</v>
      </c>
      <c r="M102" s="809">
        <f>(L102+N102)/2</f>
        <v>4616.3037677081065</v>
      </c>
      <c r="N102" s="1259">
        <v>3501.4617841957643</v>
      </c>
      <c r="O102" s="809">
        <f t="shared" si="21"/>
        <v>3501.4617841957643</v>
      </c>
      <c r="P102" s="809">
        <v>3501.4617841957643</v>
      </c>
      <c r="Q102" s="809">
        <v>3952.2563573722741</v>
      </c>
      <c r="R102" s="809">
        <v>3762.0882425936279</v>
      </c>
      <c r="S102" s="809">
        <v>3808.6506690268602</v>
      </c>
      <c r="T102" s="809">
        <v>3808.6506690268602</v>
      </c>
      <c r="U102" s="791">
        <v>4052.788693991105</v>
      </c>
      <c r="V102" s="1275">
        <f>'01 Energy'!O43</f>
        <v>4104.7956922764488</v>
      </c>
    </row>
    <row r="103" spans="2:25" x14ac:dyDescent="0.4">
      <c r="B103" s="769" t="s">
        <v>1633</v>
      </c>
      <c r="C103" s="1274"/>
      <c r="D103" s="791">
        <v>51</v>
      </c>
      <c r="E103" s="791">
        <v>7.6820141062087073</v>
      </c>
      <c r="F103" s="809">
        <f>(E103+G103)/2</f>
        <v>9.2225770531043541</v>
      </c>
      <c r="G103" s="791">
        <v>10.76314</v>
      </c>
      <c r="H103" s="791">
        <v>10.763142</v>
      </c>
      <c r="I103" s="791">
        <v>10.870773</v>
      </c>
      <c r="J103" s="791">
        <v>10.820770640000001</v>
      </c>
      <c r="K103" s="809">
        <f>(J103+L103)/2</f>
        <v>10.820770640000001</v>
      </c>
      <c r="L103" s="791">
        <v>10.820770640000001</v>
      </c>
      <c r="M103" s="809">
        <f>(L103+N103)/2</f>
        <v>43.67091652222841</v>
      </c>
      <c r="N103" s="1259">
        <v>76.521062404456814</v>
      </c>
      <c r="O103" s="809">
        <f t="shared" si="21"/>
        <v>76.521062404456814</v>
      </c>
      <c r="P103" s="809">
        <v>76.521062404456814</v>
      </c>
      <c r="Q103" s="809">
        <v>75.270367082005237</v>
      </c>
      <c r="R103" s="809">
        <v>78.262309331780344</v>
      </c>
      <c r="S103" s="809">
        <v>78.262309331780344</v>
      </c>
      <c r="T103" s="809">
        <v>78.262309331780344</v>
      </c>
      <c r="U103" s="791">
        <v>78.262309331780344</v>
      </c>
      <c r="V103" s="1275">
        <f>'01 Energy'!P43</f>
        <v>68.318833645334806</v>
      </c>
    </row>
    <row r="104" spans="2:25" x14ac:dyDescent="0.4">
      <c r="B104" s="811" t="s">
        <v>1127</v>
      </c>
      <c r="C104" s="1276"/>
      <c r="D104" s="1260">
        <f>SUM(D99:D103)</f>
        <v>32518</v>
      </c>
      <c r="E104" s="1260">
        <f t="shared" ref="E104:M104" si="22">SUM(E99:E103)</f>
        <v>31016.559669485363</v>
      </c>
      <c r="F104" s="1260">
        <f>SUM(F99:F103)</f>
        <v>32829.61840474268</v>
      </c>
      <c r="G104" s="1260">
        <f t="shared" si="22"/>
        <v>34642.677140000007</v>
      </c>
      <c r="H104" s="1260">
        <f t="shared" si="22"/>
        <v>35269.644633766089</v>
      </c>
      <c r="I104" s="1260">
        <f t="shared" si="22"/>
        <v>34193.142301317363</v>
      </c>
      <c r="J104" s="1260">
        <f t="shared" si="22"/>
        <v>35229.643011408691</v>
      </c>
      <c r="K104" s="1260">
        <f t="shared" si="22"/>
        <v>34804.428600745669</v>
      </c>
      <c r="L104" s="1260">
        <f t="shared" si="22"/>
        <v>34379.214190082646</v>
      </c>
      <c r="M104" s="1260">
        <f t="shared" si="22"/>
        <v>32478.984077348519</v>
      </c>
      <c r="N104" s="819">
        <f>SUM(N99:N103)</f>
        <v>32837.558529620328</v>
      </c>
      <c r="O104" s="1263">
        <f t="shared" si="21"/>
        <v>32837.558529620328</v>
      </c>
      <c r="P104" s="1263">
        <v>32837.558529620328</v>
      </c>
      <c r="Q104" s="1263">
        <v>31919.578686142995</v>
      </c>
      <c r="R104" s="1263">
        <v>32722.430388576562</v>
      </c>
      <c r="S104" s="1263">
        <v>32684.033589204646</v>
      </c>
      <c r="T104" s="1263">
        <v>33126.206050548579</v>
      </c>
      <c r="U104" s="1263">
        <f>SUM(U99:U103)</f>
        <v>32097.569986422182</v>
      </c>
      <c r="V104" s="820">
        <f>SUM(V99:V103)</f>
        <v>32201.524326363717</v>
      </c>
    </row>
    <row r="105" spans="2:25" ht="13.5" thickBot="1" x14ac:dyDescent="0.45">
      <c r="B105" s="821" t="s">
        <v>665</v>
      </c>
      <c r="C105" s="1280">
        <v>160431</v>
      </c>
      <c r="D105" s="822">
        <f>D89+D97+D104</f>
        <v>169340.5803307381</v>
      </c>
      <c r="E105" s="822">
        <f>E89+E97+E104</f>
        <v>171932.89022750463</v>
      </c>
      <c r="F105" s="822">
        <f>F89+F97+F104</f>
        <v>166409.2769237523</v>
      </c>
      <c r="G105" s="822">
        <f t="shared" ref="G105:O105" si="23">G89+G97+G104</f>
        <v>160885.66362000001</v>
      </c>
      <c r="H105" s="822">
        <f t="shared" si="23"/>
        <v>162839.48507100469</v>
      </c>
      <c r="I105" s="822">
        <f t="shared" si="23"/>
        <v>157991.2375386522</v>
      </c>
      <c r="J105" s="822">
        <f t="shared" si="23"/>
        <v>155011.65219413728</v>
      </c>
      <c r="K105" s="822">
        <f t="shared" si="23"/>
        <v>153456.94923480367</v>
      </c>
      <c r="L105" s="822">
        <f t="shared" si="23"/>
        <v>151902.24627547001</v>
      </c>
      <c r="M105" s="822">
        <f t="shared" si="23"/>
        <v>149388.3861876328</v>
      </c>
      <c r="N105" s="822">
        <f t="shared" si="23"/>
        <v>149499.87489658379</v>
      </c>
      <c r="O105" s="822">
        <f t="shared" si="23"/>
        <v>134251.74723875214</v>
      </c>
      <c r="P105" s="822">
        <v>140585.22623866351</v>
      </c>
      <c r="Q105" s="822">
        <v>140279.72242760938</v>
      </c>
      <c r="R105" s="822">
        <v>135382.11026086126</v>
      </c>
      <c r="S105" s="822">
        <v>130121.48990205419</v>
      </c>
      <c r="T105" s="822">
        <v>131713.33395482114</v>
      </c>
      <c r="U105" s="822">
        <f>U89+U97+U104</f>
        <v>134653.40813898947</v>
      </c>
      <c r="V105" s="823">
        <f>V89+V97+V104</f>
        <v>132169.31249306269</v>
      </c>
      <c r="W105" s="810"/>
    </row>
    <row r="106" spans="2:25" x14ac:dyDescent="0.4">
      <c r="U106" s="788"/>
      <c r="V106" s="766"/>
    </row>
    <row r="107" spans="2:25" x14ac:dyDescent="0.4">
      <c r="C107" s="810"/>
      <c r="D107" s="810"/>
      <c r="E107" s="810"/>
      <c r="F107" s="810"/>
      <c r="G107" s="810"/>
      <c r="H107" s="810"/>
      <c r="I107" s="810"/>
      <c r="J107" s="810"/>
      <c r="K107" s="810"/>
      <c r="L107" s="810"/>
      <c r="M107" s="810"/>
      <c r="N107" s="810"/>
      <c r="O107" s="810"/>
      <c r="P107" s="810"/>
      <c r="Q107" s="810"/>
      <c r="R107" s="810"/>
      <c r="S107" s="810"/>
      <c r="T107" s="810"/>
      <c r="U107" s="810"/>
      <c r="V107" s="810"/>
    </row>
    <row r="109" spans="2:25" x14ac:dyDescent="0.4">
      <c r="C109" s="810"/>
      <c r="D109" s="810"/>
      <c r="E109" s="810"/>
      <c r="F109" s="810"/>
      <c r="G109" s="810"/>
      <c r="H109" s="810"/>
      <c r="I109" s="810"/>
      <c r="J109" s="810"/>
      <c r="K109" s="810"/>
      <c r="L109" s="810"/>
      <c r="M109" s="810"/>
      <c r="N109" s="810"/>
      <c r="O109" s="810"/>
      <c r="P109" s="810"/>
      <c r="Q109" s="810"/>
      <c r="R109" s="810"/>
      <c r="S109" s="810"/>
      <c r="T109" s="810"/>
      <c r="U109" s="810"/>
      <c r="V109" s="810"/>
    </row>
    <row r="110" spans="2:25" x14ac:dyDescent="0.4">
      <c r="C110" s="810"/>
      <c r="D110" s="810"/>
      <c r="E110" s="810"/>
      <c r="F110" s="810"/>
      <c r="G110" s="810"/>
      <c r="H110" s="810"/>
      <c r="I110" s="810"/>
      <c r="J110" s="810"/>
      <c r="K110" s="810"/>
      <c r="L110" s="810"/>
      <c r="M110" s="810"/>
      <c r="N110" s="810"/>
      <c r="O110" s="810"/>
      <c r="P110" s="810"/>
      <c r="Q110" s="810"/>
      <c r="R110" s="810"/>
      <c r="S110" s="810"/>
      <c r="T110" s="810"/>
      <c r="U110" s="810"/>
      <c r="V110" s="810"/>
    </row>
    <row r="113" spans="3:22" x14ac:dyDescent="0.4">
      <c r="C113" s="810"/>
      <c r="D113" s="810"/>
      <c r="E113" s="810"/>
      <c r="F113" s="810"/>
      <c r="G113" s="810"/>
      <c r="H113" s="810"/>
      <c r="I113" s="810"/>
      <c r="J113" s="810"/>
      <c r="K113" s="810"/>
      <c r="L113" s="810"/>
      <c r="M113" s="810"/>
      <c r="N113" s="810"/>
      <c r="O113" s="810"/>
      <c r="P113" s="810"/>
      <c r="Q113" s="810"/>
      <c r="R113" s="810"/>
      <c r="S113" s="810"/>
      <c r="T113" s="810"/>
      <c r="U113" s="810"/>
      <c r="V113" s="810"/>
    </row>
    <row r="114" spans="3:22" x14ac:dyDescent="0.4">
      <c r="C114" s="810"/>
      <c r="D114" s="810"/>
      <c r="E114" s="810"/>
      <c r="F114" s="810"/>
      <c r="G114" s="810"/>
      <c r="H114" s="810"/>
      <c r="I114" s="810"/>
      <c r="J114" s="810"/>
      <c r="K114" s="810"/>
      <c r="L114" s="810"/>
      <c r="M114" s="810"/>
      <c r="N114" s="810"/>
      <c r="O114" s="810"/>
      <c r="P114" s="810"/>
      <c r="Q114" s="810"/>
      <c r="R114" s="810"/>
      <c r="S114" s="810"/>
      <c r="T114" s="810"/>
      <c r="U114" s="810"/>
      <c r="V114" s="810"/>
    </row>
  </sheetData>
  <sheetProtection algorithmName="SHA-512" hashValue="QkoIk/PmIBOskw7fz9NHBNjpTb/JHoi2ocMGC24s+qDbrAnZaDkdxagtVXAOlCikW8Udvjcpm6xQoIUQm4RlCA==" saltValue="X2FhCq5GdH6qhQ9u8QYPzw==" spinCount="100000" sheet="1" objects="1" scenarios="1"/>
  <mergeCells count="9">
    <mergeCell ref="W39:Z47"/>
    <mergeCell ref="B75:U76"/>
    <mergeCell ref="C83:M83"/>
    <mergeCell ref="C4:Q4"/>
    <mergeCell ref="B15:B16"/>
    <mergeCell ref="C15:M15"/>
    <mergeCell ref="C17:M17"/>
    <mergeCell ref="N15:V15"/>
    <mergeCell ref="N17:V17"/>
  </mergeCells>
  <pageMargins left="0.25" right="0.25" top="0.75" bottom="0.75" header="0.3" footer="0.3"/>
  <pageSetup paperSize="8" scale="54"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4" tint="0.79998168889431442"/>
    <pageSetUpPr fitToPage="1"/>
  </sheetPr>
  <dimension ref="B1:V44"/>
  <sheetViews>
    <sheetView topLeftCell="A19" zoomScaleNormal="100" zoomScaleSheetLayoutView="100" workbookViewId="0">
      <selection activeCell="C3" sqref="C3"/>
    </sheetView>
  </sheetViews>
  <sheetFormatPr defaultRowHeight="12.75" x14ac:dyDescent="0.35"/>
  <cols>
    <col min="1" max="1" width="2" style="1677" customWidth="1"/>
    <col min="2" max="2" width="23.265625" style="1677" customWidth="1"/>
    <col min="3" max="22" width="14.73046875" style="1677" customWidth="1"/>
    <col min="23" max="257" width="9.1328125" style="1677"/>
    <col min="258" max="258" width="2" style="1677" customWidth="1"/>
    <col min="259" max="259" width="23.265625" style="1677" customWidth="1"/>
    <col min="260" max="278" width="14.73046875" style="1677" customWidth="1"/>
    <col min="279" max="513" width="9.1328125" style="1677"/>
    <col min="514" max="514" width="2" style="1677" customWidth="1"/>
    <col min="515" max="515" width="23.265625" style="1677" customWidth="1"/>
    <col min="516" max="534" width="14.73046875" style="1677" customWidth="1"/>
    <col min="535" max="769" width="9.1328125" style="1677"/>
    <col min="770" max="770" width="2" style="1677" customWidth="1"/>
    <col min="771" max="771" width="23.265625" style="1677" customWidth="1"/>
    <col min="772" max="790" width="14.73046875" style="1677" customWidth="1"/>
    <col min="791" max="1025" width="9.1328125" style="1677"/>
    <col min="1026" max="1026" width="2" style="1677" customWidth="1"/>
    <col min="1027" max="1027" width="23.265625" style="1677" customWidth="1"/>
    <col min="1028" max="1046" width="14.73046875" style="1677" customWidth="1"/>
    <col min="1047" max="1281" width="9.1328125" style="1677"/>
    <col min="1282" max="1282" width="2" style="1677" customWidth="1"/>
    <col min="1283" max="1283" width="23.265625" style="1677" customWidth="1"/>
    <col min="1284" max="1302" width="14.73046875" style="1677" customWidth="1"/>
    <col min="1303" max="1537" width="9.1328125" style="1677"/>
    <col min="1538" max="1538" width="2" style="1677" customWidth="1"/>
    <col min="1539" max="1539" width="23.265625" style="1677" customWidth="1"/>
    <col min="1540" max="1558" width="14.73046875" style="1677" customWidth="1"/>
    <col min="1559" max="1793" width="9.1328125" style="1677"/>
    <col min="1794" max="1794" width="2" style="1677" customWidth="1"/>
    <col min="1795" max="1795" width="23.265625" style="1677" customWidth="1"/>
    <col min="1796" max="1814" width="14.73046875" style="1677" customWidth="1"/>
    <col min="1815" max="2049" width="9.1328125" style="1677"/>
    <col min="2050" max="2050" width="2" style="1677" customWidth="1"/>
    <col min="2051" max="2051" width="23.265625" style="1677" customWidth="1"/>
    <col min="2052" max="2070" width="14.73046875" style="1677" customWidth="1"/>
    <col min="2071" max="2305" width="9.1328125" style="1677"/>
    <col min="2306" max="2306" width="2" style="1677" customWidth="1"/>
    <col min="2307" max="2307" width="23.265625" style="1677" customWidth="1"/>
    <col min="2308" max="2326" width="14.73046875" style="1677" customWidth="1"/>
    <col min="2327" max="2561" width="9.1328125" style="1677"/>
    <col min="2562" max="2562" width="2" style="1677" customWidth="1"/>
    <col min="2563" max="2563" width="23.265625" style="1677" customWidth="1"/>
    <col min="2564" max="2582" width="14.73046875" style="1677" customWidth="1"/>
    <col min="2583" max="2817" width="9.1328125" style="1677"/>
    <col min="2818" max="2818" width="2" style="1677" customWidth="1"/>
    <col min="2819" max="2819" width="23.265625" style="1677" customWidth="1"/>
    <col min="2820" max="2838" width="14.73046875" style="1677" customWidth="1"/>
    <col min="2839" max="3073" width="9.1328125" style="1677"/>
    <col min="3074" max="3074" width="2" style="1677" customWidth="1"/>
    <col min="3075" max="3075" width="23.265625" style="1677" customWidth="1"/>
    <col min="3076" max="3094" width="14.73046875" style="1677" customWidth="1"/>
    <col min="3095" max="3329" width="9.1328125" style="1677"/>
    <col min="3330" max="3330" width="2" style="1677" customWidth="1"/>
    <col min="3331" max="3331" width="23.265625" style="1677" customWidth="1"/>
    <col min="3332" max="3350" width="14.73046875" style="1677" customWidth="1"/>
    <col min="3351" max="3585" width="9.1328125" style="1677"/>
    <col min="3586" max="3586" width="2" style="1677" customWidth="1"/>
    <col min="3587" max="3587" width="23.265625" style="1677" customWidth="1"/>
    <col min="3588" max="3606" width="14.73046875" style="1677" customWidth="1"/>
    <col min="3607" max="3841" width="9.1328125" style="1677"/>
    <col min="3842" max="3842" width="2" style="1677" customWidth="1"/>
    <col min="3843" max="3843" width="23.265625" style="1677" customWidth="1"/>
    <col min="3844" max="3862" width="14.73046875" style="1677" customWidth="1"/>
    <col min="3863" max="4097" width="9.1328125" style="1677"/>
    <col min="4098" max="4098" width="2" style="1677" customWidth="1"/>
    <col min="4099" max="4099" width="23.265625" style="1677" customWidth="1"/>
    <col min="4100" max="4118" width="14.73046875" style="1677" customWidth="1"/>
    <col min="4119" max="4353" width="9.1328125" style="1677"/>
    <col min="4354" max="4354" width="2" style="1677" customWidth="1"/>
    <col min="4355" max="4355" width="23.265625" style="1677" customWidth="1"/>
    <col min="4356" max="4374" width="14.73046875" style="1677" customWidth="1"/>
    <col min="4375" max="4609" width="9.1328125" style="1677"/>
    <col min="4610" max="4610" width="2" style="1677" customWidth="1"/>
    <col min="4611" max="4611" width="23.265625" style="1677" customWidth="1"/>
    <col min="4612" max="4630" width="14.73046875" style="1677" customWidth="1"/>
    <col min="4631" max="4865" width="9.1328125" style="1677"/>
    <col min="4866" max="4866" width="2" style="1677" customWidth="1"/>
    <col min="4867" max="4867" width="23.265625" style="1677" customWidth="1"/>
    <col min="4868" max="4886" width="14.73046875" style="1677" customWidth="1"/>
    <col min="4887" max="5121" width="9.1328125" style="1677"/>
    <col min="5122" max="5122" width="2" style="1677" customWidth="1"/>
    <col min="5123" max="5123" width="23.265625" style="1677" customWidth="1"/>
    <col min="5124" max="5142" width="14.73046875" style="1677" customWidth="1"/>
    <col min="5143" max="5377" width="9.1328125" style="1677"/>
    <col min="5378" max="5378" width="2" style="1677" customWidth="1"/>
    <col min="5379" max="5379" width="23.265625" style="1677" customWidth="1"/>
    <col min="5380" max="5398" width="14.73046875" style="1677" customWidth="1"/>
    <col min="5399" max="5633" width="9.1328125" style="1677"/>
    <col min="5634" max="5634" width="2" style="1677" customWidth="1"/>
    <col min="5635" max="5635" width="23.265625" style="1677" customWidth="1"/>
    <col min="5636" max="5654" width="14.73046875" style="1677" customWidth="1"/>
    <col min="5655" max="5889" width="9.1328125" style="1677"/>
    <col min="5890" max="5890" width="2" style="1677" customWidth="1"/>
    <col min="5891" max="5891" width="23.265625" style="1677" customWidth="1"/>
    <col min="5892" max="5910" width="14.73046875" style="1677" customWidth="1"/>
    <col min="5911" max="6145" width="9.1328125" style="1677"/>
    <col min="6146" max="6146" width="2" style="1677" customWidth="1"/>
    <col min="6147" max="6147" width="23.265625" style="1677" customWidth="1"/>
    <col min="6148" max="6166" width="14.73046875" style="1677" customWidth="1"/>
    <col min="6167" max="6401" width="9.1328125" style="1677"/>
    <col min="6402" max="6402" width="2" style="1677" customWidth="1"/>
    <col min="6403" max="6403" width="23.265625" style="1677" customWidth="1"/>
    <col min="6404" max="6422" width="14.73046875" style="1677" customWidth="1"/>
    <col min="6423" max="6657" width="9.1328125" style="1677"/>
    <col min="6658" max="6658" width="2" style="1677" customWidth="1"/>
    <col min="6659" max="6659" width="23.265625" style="1677" customWidth="1"/>
    <col min="6660" max="6678" width="14.73046875" style="1677" customWidth="1"/>
    <col min="6679" max="6913" width="9.1328125" style="1677"/>
    <col min="6914" max="6914" width="2" style="1677" customWidth="1"/>
    <col min="6915" max="6915" width="23.265625" style="1677" customWidth="1"/>
    <col min="6916" max="6934" width="14.73046875" style="1677" customWidth="1"/>
    <col min="6935" max="7169" width="9.1328125" style="1677"/>
    <col min="7170" max="7170" width="2" style="1677" customWidth="1"/>
    <col min="7171" max="7171" width="23.265625" style="1677" customWidth="1"/>
    <col min="7172" max="7190" width="14.73046875" style="1677" customWidth="1"/>
    <col min="7191" max="7425" width="9.1328125" style="1677"/>
    <col min="7426" max="7426" width="2" style="1677" customWidth="1"/>
    <col min="7427" max="7427" width="23.265625" style="1677" customWidth="1"/>
    <col min="7428" max="7446" width="14.73046875" style="1677" customWidth="1"/>
    <col min="7447" max="7681" width="9.1328125" style="1677"/>
    <col min="7682" max="7682" width="2" style="1677" customWidth="1"/>
    <col min="7683" max="7683" width="23.265625" style="1677" customWidth="1"/>
    <col min="7684" max="7702" width="14.73046875" style="1677" customWidth="1"/>
    <col min="7703" max="7937" width="9.1328125" style="1677"/>
    <col min="7938" max="7938" width="2" style="1677" customWidth="1"/>
    <col min="7939" max="7939" width="23.265625" style="1677" customWidth="1"/>
    <col min="7940" max="7958" width="14.73046875" style="1677" customWidth="1"/>
    <col min="7959" max="8193" width="9.1328125" style="1677"/>
    <col min="8194" max="8194" width="2" style="1677" customWidth="1"/>
    <col min="8195" max="8195" width="23.265625" style="1677" customWidth="1"/>
    <col min="8196" max="8214" width="14.73046875" style="1677" customWidth="1"/>
    <col min="8215" max="8449" width="9.1328125" style="1677"/>
    <col min="8450" max="8450" width="2" style="1677" customWidth="1"/>
    <col min="8451" max="8451" width="23.265625" style="1677" customWidth="1"/>
    <col min="8452" max="8470" width="14.73046875" style="1677" customWidth="1"/>
    <col min="8471" max="8705" width="9.1328125" style="1677"/>
    <col min="8706" max="8706" width="2" style="1677" customWidth="1"/>
    <col min="8707" max="8707" width="23.265625" style="1677" customWidth="1"/>
    <col min="8708" max="8726" width="14.73046875" style="1677" customWidth="1"/>
    <col min="8727" max="8961" width="9.1328125" style="1677"/>
    <col min="8962" max="8962" width="2" style="1677" customWidth="1"/>
    <col min="8963" max="8963" width="23.265625" style="1677" customWidth="1"/>
    <col min="8964" max="8982" width="14.73046875" style="1677" customWidth="1"/>
    <col min="8983" max="9217" width="9.1328125" style="1677"/>
    <col min="9218" max="9218" width="2" style="1677" customWidth="1"/>
    <col min="9219" max="9219" width="23.265625" style="1677" customWidth="1"/>
    <col min="9220" max="9238" width="14.73046875" style="1677" customWidth="1"/>
    <col min="9239" max="9473" width="9.1328125" style="1677"/>
    <col min="9474" max="9474" width="2" style="1677" customWidth="1"/>
    <col min="9475" max="9475" width="23.265625" style="1677" customWidth="1"/>
    <col min="9476" max="9494" width="14.73046875" style="1677" customWidth="1"/>
    <col min="9495" max="9729" width="9.1328125" style="1677"/>
    <col min="9730" max="9730" width="2" style="1677" customWidth="1"/>
    <col min="9731" max="9731" width="23.265625" style="1677" customWidth="1"/>
    <col min="9732" max="9750" width="14.73046875" style="1677" customWidth="1"/>
    <col min="9751" max="9985" width="9.1328125" style="1677"/>
    <col min="9986" max="9986" width="2" style="1677" customWidth="1"/>
    <col min="9987" max="9987" width="23.265625" style="1677" customWidth="1"/>
    <col min="9988" max="10006" width="14.73046875" style="1677" customWidth="1"/>
    <col min="10007" max="10241" width="9.1328125" style="1677"/>
    <col min="10242" max="10242" width="2" style="1677" customWidth="1"/>
    <col min="10243" max="10243" width="23.265625" style="1677" customWidth="1"/>
    <col min="10244" max="10262" width="14.73046875" style="1677" customWidth="1"/>
    <col min="10263" max="10497" width="9.1328125" style="1677"/>
    <col min="10498" max="10498" width="2" style="1677" customWidth="1"/>
    <col min="10499" max="10499" width="23.265625" style="1677" customWidth="1"/>
    <col min="10500" max="10518" width="14.73046875" style="1677" customWidth="1"/>
    <col min="10519" max="10753" width="9.1328125" style="1677"/>
    <col min="10754" max="10754" width="2" style="1677" customWidth="1"/>
    <col min="10755" max="10755" width="23.265625" style="1677" customWidth="1"/>
    <col min="10756" max="10774" width="14.73046875" style="1677" customWidth="1"/>
    <col min="10775" max="11009" width="9.1328125" style="1677"/>
    <col min="11010" max="11010" width="2" style="1677" customWidth="1"/>
    <col min="11011" max="11011" width="23.265625" style="1677" customWidth="1"/>
    <col min="11012" max="11030" width="14.73046875" style="1677" customWidth="1"/>
    <col min="11031" max="11265" width="9.1328125" style="1677"/>
    <col min="11266" max="11266" width="2" style="1677" customWidth="1"/>
    <col min="11267" max="11267" width="23.265625" style="1677" customWidth="1"/>
    <col min="11268" max="11286" width="14.73046875" style="1677" customWidth="1"/>
    <col min="11287" max="11521" width="9.1328125" style="1677"/>
    <col min="11522" max="11522" width="2" style="1677" customWidth="1"/>
    <col min="11523" max="11523" width="23.265625" style="1677" customWidth="1"/>
    <col min="11524" max="11542" width="14.73046875" style="1677" customWidth="1"/>
    <col min="11543" max="11777" width="9.1328125" style="1677"/>
    <col min="11778" max="11778" width="2" style="1677" customWidth="1"/>
    <col min="11779" max="11779" width="23.265625" style="1677" customWidth="1"/>
    <col min="11780" max="11798" width="14.73046875" style="1677" customWidth="1"/>
    <col min="11799" max="12033" width="9.1328125" style="1677"/>
    <col min="12034" max="12034" width="2" style="1677" customWidth="1"/>
    <col min="12035" max="12035" width="23.265625" style="1677" customWidth="1"/>
    <col min="12036" max="12054" width="14.73046875" style="1677" customWidth="1"/>
    <col min="12055" max="12289" width="9.1328125" style="1677"/>
    <col min="12290" max="12290" width="2" style="1677" customWidth="1"/>
    <col min="12291" max="12291" width="23.265625" style="1677" customWidth="1"/>
    <col min="12292" max="12310" width="14.73046875" style="1677" customWidth="1"/>
    <col min="12311" max="12545" width="9.1328125" style="1677"/>
    <col min="12546" max="12546" width="2" style="1677" customWidth="1"/>
    <col min="12547" max="12547" width="23.265625" style="1677" customWidth="1"/>
    <col min="12548" max="12566" width="14.73046875" style="1677" customWidth="1"/>
    <col min="12567" max="12801" width="9.1328125" style="1677"/>
    <col min="12802" max="12802" width="2" style="1677" customWidth="1"/>
    <col min="12803" max="12803" width="23.265625" style="1677" customWidth="1"/>
    <col min="12804" max="12822" width="14.73046875" style="1677" customWidth="1"/>
    <col min="12823" max="13057" width="9.1328125" style="1677"/>
    <col min="13058" max="13058" width="2" style="1677" customWidth="1"/>
    <col min="13059" max="13059" width="23.265625" style="1677" customWidth="1"/>
    <col min="13060" max="13078" width="14.73046875" style="1677" customWidth="1"/>
    <col min="13079" max="13313" width="9.1328125" style="1677"/>
    <col min="13314" max="13314" width="2" style="1677" customWidth="1"/>
    <col min="13315" max="13315" width="23.265625" style="1677" customWidth="1"/>
    <col min="13316" max="13334" width="14.73046875" style="1677" customWidth="1"/>
    <col min="13335" max="13569" width="9.1328125" style="1677"/>
    <col min="13570" max="13570" width="2" style="1677" customWidth="1"/>
    <col min="13571" max="13571" width="23.265625" style="1677" customWidth="1"/>
    <col min="13572" max="13590" width="14.73046875" style="1677" customWidth="1"/>
    <col min="13591" max="13825" width="9.1328125" style="1677"/>
    <col min="13826" max="13826" width="2" style="1677" customWidth="1"/>
    <col min="13827" max="13827" width="23.265625" style="1677" customWidth="1"/>
    <col min="13828" max="13846" width="14.73046875" style="1677" customWidth="1"/>
    <col min="13847" max="14081" width="9.1328125" style="1677"/>
    <col min="14082" max="14082" width="2" style="1677" customWidth="1"/>
    <col min="14083" max="14083" width="23.265625" style="1677" customWidth="1"/>
    <col min="14084" max="14102" width="14.73046875" style="1677" customWidth="1"/>
    <col min="14103" max="14337" width="9.1328125" style="1677"/>
    <col min="14338" max="14338" width="2" style="1677" customWidth="1"/>
    <col min="14339" max="14339" width="23.265625" style="1677" customWidth="1"/>
    <col min="14340" max="14358" width="14.73046875" style="1677" customWidth="1"/>
    <col min="14359" max="14593" width="9.1328125" style="1677"/>
    <col min="14594" max="14594" width="2" style="1677" customWidth="1"/>
    <col min="14595" max="14595" width="23.265625" style="1677" customWidth="1"/>
    <col min="14596" max="14614" width="14.73046875" style="1677" customWidth="1"/>
    <col min="14615" max="14849" width="9.1328125" style="1677"/>
    <col min="14850" max="14850" width="2" style="1677" customWidth="1"/>
    <col min="14851" max="14851" width="23.265625" style="1677" customWidth="1"/>
    <col min="14852" max="14870" width="14.73046875" style="1677" customWidth="1"/>
    <col min="14871" max="15105" width="9.1328125" style="1677"/>
    <col min="15106" max="15106" width="2" style="1677" customWidth="1"/>
    <col min="15107" max="15107" width="23.265625" style="1677" customWidth="1"/>
    <col min="15108" max="15126" width="14.73046875" style="1677" customWidth="1"/>
    <col min="15127" max="15361" width="9.1328125" style="1677"/>
    <col min="15362" max="15362" width="2" style="1677" customWidth="1"/>
    <col min="15363" max="15363" width="23.265625" style="1677" customWidth="1"/>
    <col min="15364" max="15382" width="14.73046875" style="1677" customWidth="1"/>
    <col min="15383" max="15617" width="9.1328125" style="1677"/>
    <col min="15618" max="15618" width="2" style="1677" customWidth="1"/>
    <col min="15619" max="15619" width="23.265625" style="1677" customWidth="1"/>
    <col min="15620" max="15638" width="14.73046875" style="1677" customWidth="1"/>
    <col min="15639" max="15873" width="9.1328125" style="1677"/>
    <col min="15874" max="15874" width="2" style="1677" customWidth="1"/>
    <col min="15875" max="15875" width="23.265625" style="1677" customWidth="1"/>
    <col min="15876" max="15894" width="14.73046875" style="1677" customWidth="1"/>
    <col min="15895" max="16129" width="9.1328125" style="1677"/>
    <col min="16130" max="16130" width="2" style="1677" customWidth="1"/>
    <col min="16131" max="16131" width="23.265625" style="1677" customWidth="1"/>
    <col min="16132" max="16150" width="14.73046875" style="1677" customWidth="1"/>
    <col min="16151" max="16384" width="9.1328125" style="1677"/>
  </cols>
  <sheetData>
    <row r="1" spans="2:22" x14ac:dyDescent="0.35">
      <c r="C1" s="1679"/>
    </row>
    <row r="2" spans="2:22" ht="17.649999999999999" x14ac:dyDescent="0.5">
      <c r="B2" s="1676" t="s">
        <v>1634</v>
      </c>
      <c r="C2" s="1676" t="s">
        <v>2384</v>
      </c>
      <c r="H2" s="1679"/>
    </row>
    <row r="4" spans="2:22" ht="13.15" x14ac:dyDescent="0.4">
      <c r="B4" s="824" t="s">
        <v>1635</v>
      </c>
      <c r="C4" s="2246" t="s">
        <v>380</v>
      </c>
      <c r="D4" s="2247"/>
      <c r="E4" s="2247"/>
      <c r="F4" s="2247"/>
      <c r="G4" s="2247"/>
      <c r="H4" s="2247"/>
      <c r="I4" s="2247"/>
      <c r="J4" s="2247"/>
      <c r="K4" s="2247"/>
      <c r="L4" s="2247"/>
      <c r="M4" s="2247"/>
      <c r="N4" s="2247"/>
      <c r="O4" s="2247"/>
      <c r="P4" s="2247"/>
      <c r="Q4" s="2247"/>
      <c r="R4" s="2247"/>
      <c r="S4" s="2247"/>
      <c r="T4" s="2248"/>
      <c r="U4" s="2247"/>
      <c r="V4" s="2249" t="s">
        <v>1636</v>
      </c>
    </row>
    <row r="5" spans="2:22" ht="13.15" x14ac:dyDescent="0.4">
      <c r="B5" s="825"/>
      <c r="C5" s="2252" t="s">
        <v>591</v>
      </c>
      <c r="D5" s="2252"/>
      <c r="E5" s="2252"/>
      <c r="F5" s="2252"/>
      <c r="G5" s="2252"/>
      <c r="H5" s="2253" t="s">
        <v>765</v>
      </c>
      <c r="I5" s="2254"/>
      <c r="J5" s="2254"/>
      <c r="K5" s="2254"/>
      <c r="L5" s="2254"/>
      <c r="M5" s="2254"/>
      <c r="N5" s="2255"/>
      <c r="O5" s="1202" t="s">
        <v>570</v>
      </c>
      <c r="P5" s="1203"/>
      <c r="Q5" s="1203"/>
      <c r="R5" s="1203"/>
      <c r="S5" s="1203"/>
      <c r="T5" s="1211"/>
      <c r="U5" s="1204"/>
      <c r="V5" s="2250"/>
    </row>
    <row r="6" spans="2:22" s="1680" customFormat="1" ht="25.5" customHeight="1" x14ac:dyDescent="0.45">
      <c r="B6" s="826"/>
      <c r="C6" s="827" t="s">
        <v>16</v>
      </c>
      <c r="D6" s="827" t="s">
        <v>592</v>
      </c>
      <c r="E6" s="827" t="s">
        <v>593</v>
      </c>
      <c r="F6" s="827" t="s">
        <v>350</v>
      </c>
      <c r="G6" s="827" t="s">
        <v>667</v>
      </c>
      <c r="H6" s="828" t="s">
        <v>16</v>
      </c>
      <c r="I6" s="828" t="s">
        <v>1637</v>
      </c>
      <c r="J6" s="828" t="s">
        <v>592</v>
      </c>
      <c r="K6" s="827" t="s">
        <v>593</v>
      </c>
      <c r="L6" s="827" t="s">
        <v>350</v>
      </c>
      <c r="M6" s="1678" t="s">
        <v>600</v>
      </c>
      <c r="N6" s="828" t="s">
        <v>667</v>
      </c>
      <c r="O6" s="828" t="s">
        <v>623</v>
      </c>
      <c r="P6" s="828" t="s">
        <v>624</v>
      </c>
      <c r="Q6" s="828" t="s">
        <v>1638</v>
      </c>
      <c r="R6" s="828" t="s">
        <v>1639</v>
      </c>
      <c r="S6" s="828" t="s">
        <v>1893</v>
      </c>
      <c r="T6" s="1205" t="s">
        <v>1843</v>
      </c>
      <c r="U6" s="828" t="s">
        <v>667</v>
      </c>
      <c r="V6" s="2251"/>
    </row>
    <row r="7" spans="2:22" ht="13.15" x14ac:dyDescent="0.4">
      <c r="B7" s="829" t="s">
        <v>588</v>
      </c>
      <c r="C7" s="830">
        <v>2018</v>
      </c>
      <c r="D7" s="830">
        <v>2018</v>
      </c>
      <c r="E7" s="830">
        <v>2018</v>
      </c>
      <c r="F7" s="830">
        <v>2018</v>
      </c>
      <c r="G7" s="830">
        <v>2018</v>
      </c>
      <c r="H7" s="830">
        <v>2018</v>
      </c>
      <c r="I7" s="830">
        <v>2018</v>
      </c>
      <c r="J7" s="830">
        <v>2018</v>
      </c>
      <c r="K7" s="830">
        <v>2018</v>
      </c>
      <c r="L7" s="830">
        <v>2018</v>
      </c>
      <c r="M7" s="830">
        <v>2018</v>
      </c>
      <c r="N7" s="830">
        <v>2018</v>
      </c>
      <c r="O7" s="830" t="s">
        <v>1702</v>
      </c>
      <c r="P7" s="831">
        <v>2018</v>
      </c>
      <c r="Q7" s="831">
        <v>2014</v>
      </c>
      <c r="R7" s="831">
        <v>2018</v>
      </c>
      <c r="S7" s="831">
        <v>2018</v>
      </c>
      <c r="T7" s="1212">
        <v>2018</v>
      </c>
      <c r="U7" s="832"/>
      <c r="V7" s="832"/>
    </row>
    <row r="8" spans="2:22" ht="13.15" x14ac:dyDescent="0.4">
      <c r="B8" s="833" t="s">
        <v>528</v>
      </c>
      <c r="C8" s="834">
        <f>'Ia.Energy-Stationary '!H126</f>
        <v>253256267.66999999</v>
      </c>
      <c r="D8" s="835">
        <f>'Ia.Energy-Stationary '!L126</f>
        <v>744624564.95000005</v>
      </c>
      <c r="E8" s="835">
        <f>'Ia.Energy-Stationary '!L169</f>
        <v>5799385.987710055</v>
      </c>
      <c r="F8" s="835">
        <f>'Ia.Energy-Stationary '!M169</f>
        <v>2521168.1887649284</v>
      </c>
      <c r="G8" s="836">
        <f>SUM(C8:F8)</f>
        <v>1006201386.7964749</v>
      </c>
      <c r="H8" s="835">
        <f>'Ia.Energy-Stationary '!I126</f>
        <v>381559211.42000002</v>
      </c>
      <c r="I8" s="835">
        <f>H8-R8-T8</f>
        <v>336635549.00581992</v>
      </c>
      <c r="J8" s="835">
        <f>'Ia.Energy-Stationary '!M126</f>
        <v>204378609.99000001</v>
      </c>
      <c r="K8" s="835">
        <f>'Ia.Energy-Stationary '!N169</f>
        <v>142564.46873820102</v>
      </c>
      <c r="L8" s="835">
        <f>'Ia.Energy-Stationary '!O169</f>
        <v>95646800.224489838</v>
      </c>
      <c r="M8" s="835">
        <f>'Ia.Energy-Stationary '!P169</f>
        <v>54288983.104809202</v>
      </c>
      <c r="N8" s="836">
        <f>SUM(I8:M8)</f>
        <v>691092506.7938571</v>
      </c>
      <c r="O8" s="835">
        <f>'Ib.Energy-Transport '!N181</f>
        <v>0</v>
      </c>
      <c r="P8" s="835">
        <f>'Ib.Energy-Transport '!O181</f>
        <v>7692324.5069670752</v>
      </c>
      <c r="Q8" s="835">
        <f>'Ib.Energy-Transport '!L181</f>
        <v>6173389.8667076286</v>
      </c>
      <c r="R8" s="835">
        <f>'Ib.Energy-Transport '!M181</f>
        <v>44923182.446170032</v>
      </c>
      <c r="S8" s="835">
        <f>'Ib.Energy-Transport '!K181</f>
        <v>561110119.88499999</v>
      </c>
      <c r="T8" s="835">
        <v>479.96801005908526</v>
      </c>
      <c r="U8" s="836">
        <f>SUM(O8:T8)</f>
        <v>619899496.67285478</v>
      </c>
      <c r="V8" s="837">
        <f>G8+N8+U8</f>
        <v>2317193390.2631869</v>
      </c>
    </row>
    <row r="9" spans="2:22" ht="13.15" x14ac:dyDescent="0.4">
      <c r="B9" s="833" t="s">
        <v>529</v>
      </c>
      <c r="C9" s="834">
        <f>'Ia.Energy-Stationary '!H127</f>
        <v>607687141.01999998</v>
      </c>
      <c r="D9" s="835">
        <f>'Ia.Energy-Stationary '!L127</f>
        <v>2143961137.2</v>
      </c>
      <c r="E9" s="835">
        <f>'Ia.Energy-Stationary '!L170</f>
        <v>5544519.0823436733</v>
      </c>
      <c r="F9" s="835">
        <f>'Ia.Energy-Stationary '!M170</f>
        <v>8422662.4602945913</v>
      </c>
      <c r="G9" s="836">
        <f t="shared" ref="G9:G40" si="0">SUM(C9:F9)</f>
        <v>2765615459.7626386</v>
      </c>
      <c r="H9" s="835">
        <f>'Ia.Energy-Stationary '!I127</f>
        <v>499468691.77000004</v>
      </c>
      <c r="I9" s="835">
        <f t="shared" ref="I9:I41" si="1">H9-R9-T9</f>
        <v>419143868.54947501</v>
      </c>
      <c r="J9" s="835">
        <f>'Ia.Energy-Stationary '!M127</f>
        <v>561389979.99000001</v>
      </c>
      <c r="K9" s="835">
        <f>'Ia.Energy-Stationary '!N170</f>
        <v>1631730.012333916</v>
      </c>
      <c r="L9" s="835">
        <f>'Ia.Energy-Stationary '!O170</f>
        <v>55887817.519318588</v>
      </c>
      <c r="M9" s="835">
        <f>'Ia.Energy-Stationary '!P170</f>
        <v>52495133.329779871</v>
      </c>
      <c r="N9" s="836">
        <f t="shared" ref="N9:N40" si="2">SUM(I9:M9)</f>
        <v>1090548529.4009073</v>
      </c>
      <c r="O9" s="835">
        <f>'Ib.Energy-Transport '!N182</f>
        <v>899413.7047357402</v>
      </c>
      <c r="P9" s="835">
        <f>'Ib.Energy-Transport '!O182</f>
        <v>0</v>
      </c>
      <c r="Q9" s="835">
        <f>'Ib.Energy-Transport '!L182</f>
        <v>19614625.163475428</v>
      </c>
      <c r="R9" s="835">
        <f>'Ib.Energy-Transport '!M182</f>
        <v>80323391.862371594</v>
      </c>
      <c r="S9" s="835">
        <f>'Ib.Energy-Transport '!K182</f>
        <v>1400071577.266</v>
      </c>
      <c r="T9" s="835">
        <v>1431.3581533902609</v>
      </c>
      <c r="U9" s="836">
        <f t="shared" ref="U9:U41" si="3">SUM(O9:T9)</f>
        <v>1500910439.3547361</v>
      </c>
      <c r="V9" s="837">
        <f t="shared" ref="V9:V43" si="4">G9+N9+U9</f>
        <v>5357074428.5182819</v>
      </c>
    </row>
    <row r="10" spans="2:22" ht="13.15" x14ac:dyDescent="0.4">
      <c r="B10" s="833" t="s">
        <v>530</v>
      </c>
      <c r="C10" s="834">
        <f>'Ia.Energy-Stationary '!H128</f>
        <v>364604173.80000001</v>
      </c>
      <c r="D10" s="835">
        <f>'Ia.Energy-Stationary '!L128</f>
        <v>1209415518.6999998</v>
      </c>
      <c r="E10" s="835">
        <f>'Ia.Energy-Stationary '!L171</f>
        <v>6825047.7507068366</v>
      </c>
      <c r="F10" s="835">
        <f>'Ia.Energy-Stationary '!M171</f>
        <v>5889688.6275661383</v>
      </c>
      <c r="G10" s="836">
        <f t="shared" si="0"/>
        <v>1586734428.8782728</v>
      </c>
      <c r="H10" s="835">
        <f>'Ia.Energy-Stationary '!I128</f>
        <v>416902724.95999998</v>
      </c>
      <c r="I10" s="835">
        <f t="shared" si="1"/>
        <v>396198125.55894506</v>
      </c>
      <c r="J10" s="835">
        <f>'Ia.Energy-Stationary '!M128</f>
        <v>703019963.26000011</v>
      </c>
      <c r="K10" s="835">
        <f>'Ia.Energy-Stationary '!N171</f>
        <v>513621.15195797983</v>
      </c>
      <c r="L10" s="835">
        <f>'Ia.Energy-Stationary '!O171</f>
        <v>99734606.65839529</v>
      </c>
      <c r="M10" s="835">
        <f>'Ia.Energy-Stationary '!P171</f>
        <v>92975865.451150864</v>
      </c>
      <c r="N10" s="836">
        <f t="shared" si="2"/>
        <v>1292442182.0804493</v>
      </c>
      <c r="O10" s="835">
        <f>'Ib.Energy-Transport '!N183</f>
        <v>34219049.355692662</v>
      </c>
      <c r="P10" s="835">
        <f>'Ib.Energy-Transport '!O183</f>
        <v>3815795.6243671118</v>
      </c>
      <c r="Q10" s="835">
        <f>'Ib.Energy-Transport '!L183</f>
        <v>3191701.2134066112</v>
      </c>
      <c r="R10" s="835">
        <f>'Ib.Energy-Transport '!M183</f>
        <v>20703867.205102108</v>
      </c>
      <c r="S10" s="835">
        <f>'Ib.Energy-Transport '!K183</f>
        <v>1649525616.9679999</v>
      </c>
      <c r="T10" s="835">
        <v>732.19595281227328</v>
      </c>
      <c r="U10" s="836">
        <f t="shared" si="3"/>
        <v>1711456762.5625212</v>
      </c>
      <c r="V10" s="837">
        <f t="shared" si="4"/>
        <v>4590633373.5212431</v>
      </c>
    </row>
    <row r="11" spans="2:22" ht="13.15" x14ac:dyDescent="0.4">
      <c r="B11" s="833" t="s">
        <v>531</v>
      </c>
      <c r="C11" s="834">
        <f>'Ia.Energy-Stationary '!H129</f>
        <v>416891258.40000004</v>
      </c>
      <c r="D11" s="835">
        <f>'Ia.Energy-Stationary '!L129</f>
        <v>1498862445.5</v>
      </c>
      <c r="E11" s="835">
        <f>'Ia.Energy-Stationary '!L172</f>
        <v>4004979.4851024481</v>
      </c>
      <c r="F11" s="835">
        <f>'Ia.Energy-Stationary '!M172</f>
        <v>5019803.3367985459</v>
      </c>
      <c r="G11" s="836">
        <f t="shared" si="0"/>
        <v>1924778486.7219009</v>
      </c>
      <c r="H11" s="835">
        <f>'Ia.Energy-Stationary '!I129</f>
        <v>774259743.38</v>
      </c>
      <c r="I11" s="835">
        <f t="shared" si="1"/>
        <v>674552984.73495674</v>
      </c>
      <c r="J11" s="835">
        <f>'Ia.Energy-Stationary '!M129</f>
        <v>578192228.08999991</v>
      </c>
      <c r="K11" s="835">
        <f>'Ia.Energy-Stationary '!N172</f>
        <v>0</v>
      </c>
      <c r="L11" s="835">
        <f>'Ia.Energy-Stationary '!O172</f>
        <v>84607460.079175889</v>
      </c>
      <c r="M11" s="835">
        <f>'Ia.Energy-Stationary '!P172</f>
        <v>38296945.68167907</v>
      </c>
      <c r="N11" s="836">
        <f t="shared" si="2"/>
        <v>1375649618.5858116</v>
      </c>
      <c r="O11" s="835">
        <f>'Ib.Energy-Transport '!N184</f>
        <v>1249605.626557962</v>
      </c>
      <c r="P11" s="835">
        <f>'Ib.Energy-Transport '!O184</f>
        <v>0</v>
      </c>
      <c r="Q11" s="835">
        <f>'Ib.Energy-Transport '!L184</f>
        <v>32386800.637071129</v>
      </c>
      <c r="R11" s="835">
        <f>'Ib.Energy-Transport '!M184</f>
        <v>99706016.142632276</v>
      </c>
      <c r="S11" s="835">
        <f>'Ib.Energy-Transport '!K184</f>
        <v>1142858565.224</v>
      </c>
      <c r="T11" s="835">
        <v>742.50241099463324</v>
      </c>
      <c r="U11" s="836">
        <f t="shared" si="3"/>
        <v>1276201730.1326723</v>
      </c>
      <c r="V11" s="837">
        <f t="shared" si="4"/>
        <v>4576629835.4403849</v>
      </c>
    </row>
    <row r="12" spans="2:22" ht="13.15" x14ac:dyDescent="0.4">
      <c r="B12" s="833" t="s">
        <v>532</v>
      </c>
      <c r="C12" s="834">
        <f>'Ia.Energy-Stationary '!H130</f>
        <v>533013729.87</v>
      </c>
      <c r="D12" s="835">
        <f>'Ia.Energy-Stationary '!L130</f>
        <v>2007875742</v>
      </c>
      <c r="E12" s="835">
        <f>'Ia.Energy-Stationary '!L173</f>
        <v>7330559.6185886525</v>
      </c>
      <c r="F12" s="835">
        <f>'Ia.Energy-Stationary '!M173</f>
        <v>13448875.886865271</v>
      </c>
      <c r="G12" s="836">
        <f t="shared" si="0"/>
        <v>2561668907.3754535</v>
      </c>
      <c r="H12" s="835">
        <f>'Ia.Energy-Stationary '!I130</f>
        <v>410876467.5</v>
      </c>
      <c r="I12" s="835">
        <f t="shared" si="1"/>
        <v>361615122.45543027</v>
      </c>
      <c r="J12" s="835">
        <f>'Ia.Energy-Stationary '!M130</f>
        <v>368246664.29000002</v>
      </c>
      <c r="K12" s="835">
        <f>'Ia.Energy-Stationary '!N173</f>
        <v>7324.3406602051355</v>
      </c>
      <c r="L12" s="835">
        <f>'Ia.Energy-Stationary '!O173</f>
        <v>80601500.310208201</v>
      </c>
      <c r="M12" s="835">
        <f>'Ia.Energy-Stationary '!P173</f>
        <v>65251820.079274572</v>
      </c>
      <c r="N12" s="836">
        <f t="shared" si="2"/>
        <v>875722431.47557318</v>
      </c>
      <c r="O12" s="835">
        <f>'Ib.Energy-Transport '!N185</f>
        <v>5693030.0797267826</v>
      </c>
      <c r="P12" s="835">
        <f>'Ib.Energy-Transport '!O185</f>
        <v>0</v>
      </c>
      <c r="Q12" s="835">
        <f>'Ib.Energy-Transport '!L185</f>
        <v>2763415.6864737771</v>
      </c>
      <c r="R12" s="835">
        <f>'Ib.Energy-Transport '!M185</f>
        <v>49260336.075149447</v>
      </c>
      <c r="S12" s="835">
        <f>'Ib.Energy-Transport '!K185</f>
        <v>393895588.33599997</v>
      </c>
      <c r="T12" s="835">
        <v>1008.9694203025186</v>
      </c>
      <c r="U12" s="836">
        <f t="shared" si="3"/>
        <v>451613379.1467703</v>
      </c>
      <c r="V12" s="837">
        <f t="shared" si="4"/>
        <v>3889004717.997797</v>
      </c>
    </row>
    <row r="13" spans="2:22" ht="13.15" x14ac:dyDescent="0.4">
      <c r="B13" s="833" t="s">
        <v>533</v>
      </c>
      <c r="C13" s="834">
        <f>'Ia.Energy-Stationary '!H131</f>
        <v>341490064.05000001</v>
      </c>
      <c r="D13" s="835">
        <f>'Ia.Energy-Stationary '!L131</f>
        <v>936452225.57000005</v>
      </c>
      <c r="E13" s="835">
        <f>'Ia.Energy-Stationary '!L174</f>
        <v>1346722.7882494607</v>
      </c>
      <c r="F13" s="835">
        <f>'Ia.Energy-Stationary '!M174</f>
        <v>9330264.5215311274</v>
      </c>
      <c r="G13" s="836">
        <f t="shared" si="0"/>
        <v>1288619276.9297807</v>
      </c>
      <c r="H13" s="835">
        <f>'Ia.Energy-Stationary '!I131</f>
        <v>1338510426.6999998</v>
      </c>
      <c r="I13" s="835">
        <f t="shared" si="1"/>
        <v>1232419105.9836946</v>
      </c>
      <c r="J13" s="835">
        <f>'Ia.Energy-Stationary '!M131</f>
        <v>1569470485.6999998</v>
      </c>
      <c r="K13" s="835">
        <f>'Ia.Energy-Stationary '!N174</f>
        <v>140556.95336432641</v>
      </c>
      <c r="L13" s="835">
        <f>'Ia.Energy-Stationary '!O174</f>
        <v>67271631.918898463</v>
      </c>
      <c r="M13" s="835">
        <f>'Ia.Energy-Stationary '!P174</f>
        <v>12005124.724207144</v>
      </c>
      <c r="N13" s="836">
        <f t="shared" si="2"/>
        <v>2881306905.2801642</v>
      </c>
      <c r="O13" s="835">
        <f>'Ib.Energy-Transport '!N186</f>
        <v>0</v>
      </c>
      <c r="P13" s="835">
        <f>'Ib.Energy-Transport '!O186</f>
        <v>0</v>
      </c>
      <c r="Q13" s="835">
        <f>'Ib.Energy-Transport '!L186</f>
        <v>25358143.179359306</v>
      </c>
      <c r="R13" s="835">
        <f>'Ib.Energy-Transport '!M186</f>
        <v>106090842.36778429</v>
      </c>
      <c r="S13" s="835">
        <f>'Ib.Energy-Transport '!K186</f>
        <v>1547281327.6800001</v>
      </c>
      <c r="T13" s="835">
        <v>478.34852089032285</v>
      </c>
      <c r="U13" s="836">
        <f t="shared" si="3"/>
        <v>1678730791.5756648</v>
      </c>
      <c r="V13" s="837">
        <f t="shared" si="4"/>
        <v>5848656973.7856092</v>
      </c>
    </row>
    <row r="14" spans="2:22" ht="13.15" x14ac:dyDescent="0.4">
      <c r="B14" s="833" t="s">
        <v>534</v>
      </c>
      <c r="C14" s="834">
        <f>'Ia.Energy-Stationary '!H132</f>
        <v>28144345.120000001</v>
      </c>
      <c r="D14" s="835">
        <f>'Ia.Energy-Stationary '!L132</f>
        <v>27724351.337000001</v>
      </c>
      <c r="E14" s="835">
        <f>'Ia.Energy-Stationary '!L175</f>
        <v>5210.9583377433901</v>
      </c>
      <c r="F14" s="835">
        <f>'Ia.Energy-Stationary '!M175</f>
        <v>338245.64082259923</v>
      </c>
      <c r="G14" s="836">
        <f t="shared" si="0"/>
        <v>56212153.056160346</v>
      </c>
      <c r="H14" s="835">
        <f>'Ia.Energy-Stationary '!I132</f>
        <v>2060054907.1999998</v>
      </c>
      <c r="I14" s="835">
        <f t="shared" si="1"/>
        <v>2014382489.0032465</v>
      </c>
      <c r="J14" s="835">
        <f>'Ia.Energy-Stationary '!M132</f>
        <v>823732153.61000001</v>
      </c>
      <c r="K14" s="835">
        <f>'Ia.Energy-Stationary '!N175</f>
        <v>46852.317788108798</v>
      </c>
      <c r="L14" s="835">
        <f>'Ia.Energy-Stationary '!O175</f>
        <v>49802203.266011573</v>
      </c>
      <c r="M14" s="835">
        <f>'Ia.Energy-Stationary '!P175</f>
        <v>52256.770948752113</v>
      </c>
      <c r="N14" s="836">
        <f t="shared" si="2"/>
        <v>2888015954.9679952</v>
      </c>
      <c r="O14" s="835">
        <f>'Ib.Energy-Transport '!N187</f>
        <v>5312249.8086037887</v>
      </c>
      <c r="P14" s="835">
        <f>'Ib.Energy-Transport '!O187</f>
        <v>8893688.6850757673</v>
      </c>
      <c r="Q14" s="835">
        <f>'Ib.Energy-Transport '!L187</f>
        <v>0</v>
      </c>
      <c r="R14" s="835">
        <f>'Ib.Energy-Transport '!M187</f>
        <v>45672235.475518361</v>
      </c>
      <c r="S14" s="835">
        <f>'Ib.Energy-Transport '!K187</f>
        <v>523704753.31299996</v>
      </c>
      <c r="T14" s="835">
        <v>182.72123481301952</v>
      </c>
      <c r="U14" s="836">
        <f t="shared" si="3"/>
        <v>583583110.00343263</v>
      </c>
      <c r="V14" s="837">
        <f t="shared" si="4"/>
        <v>3527811218.0275884</v>
      </c>
    </row>
    <row r="15" spans="2:22" ht="13.15" x14ac:dyDescent="0.4">
      <c r="B15" s="833" t="s">
        <v>535</v>
      </c>
      <c r="C15" s="834">
        <f>'Ia.Energy-Stationary '!H133</f>
        <v>560597660.01999998</v>
      </c>
      <c r="D15" s="835">
        <f>'Ia.Energy-Stationary '!L133</f>
        <v>2023829207.1000001</v>
      </c>
      <c r="E15" s="835">
        <f>'Ia.Energy-Stationary '!L176</f>
        <v>9221918.2448933423</v>
      </c>
      <c r="F15" s="835">
        <f>'Ia.Energy-Stationary '!M176</f>
        <v>8629676.5703639761</v>
      </c>
      <c r="G15" s="836">
        <f t="shared" si="0"/>
        <v>2602278461.9352574</v>
      </c>
      <c r="H15" s="835">
        <f>'Ia.Energy-Stationary '!I133</f>
        <v>648447220</v>
      </c>
      <c r="I15" s="835">
        <f t="shared" si="1"/>
        <v>587984013.43307328</v>
      </c>
      <c r="J15" s="835">
        <f>'Ia.Energy-Stationary '!M133</f>
        <v>472379290.28999996</v>
      </c>
      <c r="K15" s="835">
        <f>'Ia.Energy-Stationary '!N176</f>
        <v>227570.31426395455</v>
      </c>
      <c r="L15" s="835">
        <f>'Ia.Energy-Stationary '!O176</f>
        <v>35360391.13019985</v>
      </c>
      <c r="M15" s="835">
        <f>'Ia.Energy-Stationary '!P176</f>
        <v>85732461.985252798</v>
      </c>
      <c r="N15" s="836">
        <f t="shared" si="2"/>
        <v>1181683727.1527898</v>
      </c>
      <c r="O15" s="835">
        <f>'Ib.Energy-Transport '!N188</f>
        <v>1141934.1711158033</v>
      </c>
      <c r="P15" s="835">
        <f>'Ib.Energy-Transport '!O188</f>
        <v>0</v>
      </c>
      <c r="Q15" s="835">
        <f>'Ib.Energy-Transport '!L188</f>
        <v>4919937.9767860863</v>
      </c>
      <c r="R15" s="835">
        <f>'Ib.Energy-Transport '!M188</f>
        <v>60462353.38529668</v>
      </c>
      <c r="S15" s="835">
        <f>'Ib.Energy-Transport '!K188</f>
        <v>457169746.73199999</v>
      </c>
      <c r="T15" s="835">
        <v>853.18163004581595</v>
      </c>
      <c r="U15" s="836">
        <f t="shared" si="3"/>
        <v>523694825.44682866</v>
      </c>
      <c r="V15" s="837">
        <f t="shared" si="4"/>
        <v>4307657014.5348759</v>
      </c>
    </row>
    <row r="16" spans="2:22" ht="13.15" x14ac:dyDescent="0.4">
      <c r="B16" s="833" t="s">
        <v>536</v>
      </c>
      <c r="C16" s="834">
        <f>'Ia.Energy-Stationary '!H134</f>
        <v>467264693.64000005</v>
      </c>
      <c r="D16" s="835">
        <f>'Ia.Energy-Stationary '!L134</f>
        <v>1642187757.5</v>
      </c>
      <c r="E16" s="835">
        <f>'Ia.Energy-Stationary '!L177</f>
        <v>6254756.1887764428</v>
      </c>
      <c r="F16" s="835">
        <f>'Ia.Energy-Stationary '!M177</f>
        <v>6327683.0546192313</v>
      </c>
      <c r="G16" s="836">
        <f t="shared" si="0"/>
        <v>2122034890.3833959</v>
      </c>
      <c r="H16" s="835">
        <f>'Ia.Energy-Stationary '!I134</f>
        <v>884321537.80999994</v>
      </c>
      <c r="I16" s="835">
        <f t="shared" si="1"/>
        <v>822295646.40170372</v>
      </c>
      <c r="J16" s="835">
        <f>'Ia.Energy-Stationary '!M134</f>
        <v>718430170.21000004</v>
      </c>
      <c r="K16" s="835">
        <f>'Ia.Energy-Stationary '!N177</f>
        <v>534186.72599586274</v>
      </c>
      <c r="L16" s="835">
        <f>'Ia.Energy-Stationary '!O177</f>
        <v>99568635.58752653</v>
      </c>
      <c r="M16" s="835">
        <f>'Ia.Energy-Stationary '!P177</f>
        <v>57405751.869218744</v>
      </c>
      <c r="N16" s="836">
        <f t="shared" si="2"/>
        <v>1698234390.794445</v>
      </c>
      <c r="O16" s="835">
        <f>'Ib.Energy-Transport '!N189</f>
        <v>602197.69894167536</v>
      </c>
      <c r="P16" s="835">
        <f>'Ib.Energy-Transport '!O189</f>
        <v>0</v>
      </c>
      <c r="Q16" s="835">
        <f>'Ib.Energy-Transport '!L189</f>
        <v>52310737.008377463</v>
      </c>
      <c r="R16" s="835">
        <f>'Ib.Energy-Transport '!M189</f>
        <v>62024868.386757106</v>
      </c>
      <c r="S16" s="835">
        <f>'Ib.Energy-Transport '!K189</f>
        <v>632095209.80699992</v>
      </c>
      <c r="T16" s="835">
        <v>1023.0215390593846</v>
      </c>
      <c r="U16" s="836">
        <f t="shared" si="3"/>
        <v>747034035.92261529</v>
      </c>
      <c r="V16" s="837">
        <f t="shared" si="4"/>
        <v>4567303317.1004562</v>
      </c>
    </row>
    <row r="17" spans="2:22" ht="13.15" x14ac:dyDescent="0.4">
      <c r="B17" s="833" t="s">
        <v>537</v>
      </c>
      <c r="C17" s="834">
        <f>'Ia.Energy-Stationary '!H135</f>
        <v>475332101.76999998</v>
      </c>
      <c r="D17" s="835">
        <f>'Ia.Energy-Stationary '!L135</f>
        <v>1537792979</v>
      </c>
      <c r="E17" s="835">
        <f>'Ia.Energy-Stationary '!L178</f>
        <v>7510795.9196043443</v>
      </c>
      <c r="F17" s="835">
        <f>'Ia.Energy-Stationary '!M178</f>
        <v>6133708.4003201844</v>
      </c>
      <c r="G17" s="836">
        <f t="shared" si="0"/>
        <v>2026769585.0899246</v>
      </c>
      <c r="H17" s="835">
        <f>'Ia.Energy-Stationary '!I135</f>
        <v>544249649.08000004</v>
      </c>
      <c r="I17" s="835">
        <f t="shared" si="1"/>
        <v>500947170.07298571</v>
      </c>
      <c r="J17" s="835">
        <f>'Ia.Energy-Stationary '!M135</f>
        <v>517946804.75999999</v>
      </c>
      <c r="K17" s="835">
        <f>'Ia.Energy-Stationary '!N178</f>
        <v>307843.04665645002</v>
      </c>
      <c r="L17" s="835">
        <f>'Ia.Energy-Stationary '!O178</f>
        <v>70985537.32690765</v>
      </c>
      <c r="M17" s="835">
        <f>'Ia.Energy-Stationary '!P178</f>
        <v>70882797.790164605</v>
      </c>
      <c r="N17" s="836">
        <f t="shared" si="2"/>
        <v>1161070152.9967146</v>
      </c>
      <c r="O17" s="835">
        <f>'Ib.Energy-Transport '!N190</f>
        <v>1339467.1618647818</v>
      </c>
      <c r="P17" s="835">
        <f>'Ib.Energy-Transport '!O190</f>
        <v>0</v>
      </c>
      <c r="Q17" s="835">
        <f>'Ib.Energy-Transport '!L190</f>
        <v>2222860.5810369896</v>
      </c>
      <c r="R17" s="835">
        <f>'Ib.Energy-Transport '!M190</f>
        <v>43301330.619762875</v>
      </c>
      <c r="S17" s="835">
        <f>'Ib.Energy-Transport '!K190</f>
        <v>644889224.03299999</v>
      </c>
      <c r="T17" s="835">
        <v>1148.387251429255</v>
      </c>
      <c r="U17" s="836">
        <f t="shared" si="3"/>
        <v>691754030.78291607</v>
      </c>
      <c r="V17" s="837">
        <f t="shared" si="4"/>
        <v>3879593768.8695555</v>
      </c>
    </row>
    <row r="18" spans="2:22" ht="13.15" x14ac:dyDescent="0.4">
      <c r="B18" s="833" t="s">
        <v>538</v>
      </c>
      <c r="C18" s="834">
        <f>'Ia.Energy-Stationary '!H136</f>
        <v>366521013.93000001</v>
      </c>
      <c r="D18" s="835">
        <f>'Ia.Energy-Stationary '!L136</f>
        <v>1121069421.7</v>
      </c>
      <c r="E18" s="835">
        <f>'Ia.Energy-Stationary '!L179</f>
        <v>5611311.9551070575</v>
      </c>
      <c r="F18" s="835">
        <f>'Ia.Energy-Stationary '!M179</f>
        <v>4603422.4842662662</v>
      </c>
      <c r="G18" s="836">
        <f t="shared" si="0"/>
        <v>1497805170.0693734</v>
      </c>
      <c r="H18" s="835">
        <f>'Ia.Energy-Stationary '!I136</f>
        <v>465011431.66999996</v>
      </c>
      <c r="I18" s="835">
        <f t="shared" si="1"/>
        <v>433300010.59242618</v>
      </c>
      <c r="J18" s="835">
        <f>'Ia.Energy-Stationary '!M136</f>
        <v>523950953.74000007</v>
      </c>
      <c r="K18" s="835">
        <f>'Ia.Energy-Stationary '!N179</f>
        <v>47629.904374552054</v>
      </c>
      <c r="L18" s="835">
        <f>'Ia.Energy-Stationary '!O179</f>
        <v>70507380.687052816</v>
      </c>
      <c r="M18" s="835">
        <f>'Ia.Energy-Stationary '!P179</f>
        <v>53302478.23032409</v>
      </c>
      <c r="N18" s="836">
        <f t="shared" si="2"/>
        <v>1081108453.1541779</v>
      </c>
      <c r="O18" s="835">
        <f>'Ib.Energy-Transport '!N191</f>
        <v>27509190.89210606</v>
      </c>
      <c r="P18" s="835">
        <f>'Ib.Energy-Transport '!O191</f>
        <v>6241250.7968271486</v>
      </c>
      <c r="Q18" s="835">
        <f>'Ib.Energy-Transport '!L191</f>
        <v>2266524.8602768756</v>
      </c>
      <c r="R18" s="835">
        <f>'Ib.Energy-Transport '!M191</f>
        <v>31710566.428973183</v>
      </c>
      <c r="S18" s="835">
        <f>'Ib.Energy-Transport '!K191</f>
        <v>607846771.08800006</v>
      </c>
      <c r="T18" s="835">
        <v>854.64860055040754</v>
      </c>
      <c r="U18" s="836">
        <f t="shared" si="3"/>
        <v>675575158.71478391</v>
      </c>
      <c r="V18" s="837">
        <f t="shared" si="4"/>
        <v>3254488781.9383354</v>
      </c>
    </row>
    <row r="19" spans="2:22" ht="13.15" x14ac:dyDescent="0.4">
      <c r="B19" s="833" t="s">
        <v>539</v>
      </c>
      <c r="C19" s="834">
        <f>'Ia.Energy-Stationary '!H137</f>
        <v>339234539.23000002</v>
      </c>
      <c r="D19" s="835">
        <f>'Ia.Energy-Stationary '!L137</f>
        <v>960771880.51999998</v>
      </c>
      <c r="E19" s="835">
        <f>'Ia.Energy-Stationary '!L180</f>
        <v>2189213.0235225298</v>
      </c>
      <c r="F19" s="835">
        <f>'Ia.Energy-Stationary '!M180</f>
        <v>2998942.6282072025</v>
      </c>
      <c r="G19" s="836">
        <f t="shared" si="0"/>
        <v>1305194575.4017298</v>
      </c>
      <c r="H19" s="835">
        <f>'Ia.Energy-Stationary '!I137</f>
        <v>563955766.28000009</v>
      </c>
      <c r="I19" s="835">
        <f t="shared" si="1"/>
        <v>539872887.49708951</v>
      </c>
      <c r="J19" s="835">
        <f>'Ia.Energy-Stationary '!M137</f>
        <v>381272543.67000002</v>
      </c>
      <c r="K19" s="835">
        <f>'Ia.Energy-Stationary '!N180</f>
        <v>560473.46974608744</v>
      </c>
      <c r="L19" s="835">
        <f>'Ia.Energy-Stationary '!O180</f>
        <v>24750621.347869974</v>
      </c>
      <c r="M19" s="835">
        <f>'Ia.Energy-Stationary '!P180</f>
        <v>19887276.749071501</v>
      </c>
      <c r="N19" s="836">
        <f t="shared" si="2"/>
        <v>966343802.73377705</v>
      </c>
      <c r="O19" s="835">
        <f>'Ib.Energy-Transport '!N192</f>
        <v>485054.75487885042</v>
      </c>
      <c r="P19" s="835">
        <f>'Ib.Energy-Transport '!O192</f>
        <v>0</v>
      </c>
      <c r="Q19" s="835">
        <f>'Ib.Energy-Transport '!L192</f>
        <v>3138575.168495419</v>
      </c>
      <c r="R19" s="835">
        <f>'Ib.Energy-Transport '!M192</f>
        <v>24082481.349444646</v>
      </c>
      <c r="S19" s="835">
        <f>'Ib.Energy-Transport '!K192</f>
        <v>751044650.61199999</v>
      </c>
      <c r="T19" s="835">
        <v>397.43346591066472</v>
      </c>
      <c r="U19" s="836">
        <f t="shared" si="3"/>
        <v>778751159.31828487</v>
      </c>
      <c r="V19" s="837">
        <f t="shared" si="4"/>
        <v>3050289537.4537916</v>
      </c>
    </row>
    <row r="20" spans="2:22" ht="13.15" x14ac:dyDescent="0.4">
      <c r="B20" s="833" t="s">
        <v>540</v>
      </c>
      <c r="C20" s="834">
        <f>'Ia.Energy-Stationary '!H138</f>
        <v>282967366.18000001</v>
      </c>
      <c r="D20" s="835">
        <f>'Ia.Energy-Stationary '!L138</f>
        <v>867589302.99000001</v>
      </c>
      <c r="E20" s="835">
        <f>'Ia.Energy-Stationary '!L181</f>
        <v>2147869.564864778</v>
      </c>
      <c r="F20" s="835">
        <f>'Ia.Energy-Stationary '!M181</f>
        <v>3626880.0908535151</v>
      </c>
      <c r="G20" s="836">
        <f t="shared" si="0"/>
        <v>1156331418.8257184</v>
      </c>
      <c r="H20" s="835">
        <f>'Ia.Energy-Stationary '!I138</f>
        <v>687592086.42999995</v>
      </c>
      <c r="I20" s="835">
        <f t="shared" si="1"/>
        <v>641309280.81336021</v>
      </c>
      <c r="J20" s="835">
        <f>'Ia.Energy-Stationary '!M138</f>
        <v>568478549.61000001</v>
      </c>
      <c r="K20" s="835">
        <f>'Ia.Energy-Stationary '!N181</f>
        <v>0</v>
      </c>
      <c r="L20" s="835">
        <f>'Ia.Energy-Stationary '!O181</f>
        <v>36226086.742927507</v>
      </c>
      <c r="M20" s="835">
        <f>'Ia.Energy-Stationary '!P181</f>
        <v>20800724.059048563</v>
      </c>
      <c r="N20" s="836">
        <f t="shared" si="2"/>
        <v>1266814641.2253366</v>
      </c>
      <c r="O20" s="835">
        <f>'Ib.Energy-Transport '!N193</f>
        <v>63425024.405454509</v>
      </c>
      <c r="P20" s="835">
        <f>'Ib.Energy-Transport '!O193</f>
        <v>10312.017080176027</v>
      </c>
      <c r="Q20" s="835">
        <f>'Ib.Energy-Transport '!L193</f>
        <v>10439296.086845648</v>
      </c>
      <c r="R20" s="835">
        <f>'Ib.Energy-Transport '!M193</f>
        <v>46282406.634653002</v>
      </c>
      <c r="S20" s="835">
        <f>'Ib.Energy-Transport '!K193</f>
        <v>830119719.72799993</v>
      </c>
      <c r="T20" s="835">
        <v>398.98198670836206</v>
      </c>
      <c r="U20" s="836">
        <f t="shared" si="3"/>
        <v>950277157.85402</v>
      </c>
      <c r="V20" s="837">
        <f t="shared" si="4"/>
        <v>3373423217.9050751</v>
      </c>
    </row>
    <row r="21" spans="2:22" ht="13.15" x14ac:dyDescent="0.4">
      <c r="B21" s="833" t="s">
        <v>541</v>
      </c>
      <c r="C21" s="834">
        <f>'Ia.Energy-Stationary '!H139</f>
        <v>351590895.69</v>
      </c>
      <c r="D21" s="835">
        <f>'Ia.Energy-Stationary '!L139</f>
        <v>1242104329.6000001</v>
      </c>
      <c r="E21" s="835">
        <f>'Ia.Energy-Stationary '!L182</f>
        <v>4296598.1957510812</v>
      </c>
      <c r="F21" s="835">
        <f>'Ia.Energy-Stationary '!M182</f>
        <v>3054479.3744452507</v>
      </c>
      <c r="G21" s="836">
        <f t="shared" si="0"/>
        <v>1601046302.8601966</v>
      </c>
      <c r="H21" s="835">
        <f>'Ia.Energy-Stationary '!I139</f>
        <v>415803259.68000001</v>
      </c>
      <c r="I21" s="835">
        <f t="shared" si="1"/>
        <v>354245142.87786025</v>
      </c>
      <c r="J21" s="835">
        <f>'Ia.Energy-Stationary '!M139</f>
        <v>358401660.97999996</v>
      </c>
      <c r="K21" s="835">
        <f>'Ia.Energy-Stationary '!N182</f>
        <v>187409.2711524349</v>
      </c>
      <c r="L21" s="835">
        <f>'Ia.Energy-Stationary '!O182</f>
        <v>25868134.407545783</v>
      </c>
      <c r="M21" s="835">
        <f>'Ia.Energy-Stationary '!P182</f>
        <v>41041801.268825032</v>
      </c>
      <c r="N21" s="836">
        <f t="shared" si="2"/>
        <v>779744148.80538344</v>
      </c>
      <c r="O21" s="835">
        <f>'Ib.Energy-Transport '!N194</f>
        <v>0</v>
      </c>
      <c r="P21" s="835">
        <f>'Ib.Energy-Transport '!O194</f>
        <v>0</v>
      </c>
      <c r="Q21" s="835">
        <f>'Ib.Energy-Transport '!L194</f>
        <v>8955852.4153477587</v>
      </c>
      <c r="R21" s="835">
        <f>'Ib.Energy-Transport '!M194</f>
        <v>61557649.69763232</v>
      </c>
      <c r="S21" s="835">
        <f>'Ib.Energy-Transport '!K194</f>
        <v>997436246.94299996</v>
      </c>
      <c r="T21" s="835">
        <v>467.10450744545318</v>
      </c>
      <c r="U21" s="836">
        <f t="shared" si="3"/>
        <v>1067950216.1604875</v>
      </c>
      <c r="V21" s="837">
        <f t="shared" si="4"/>
        <v>3448740667.8260674</v>
      </c>
    </row>
    <row r="22" spans="2:22" ht="13.15" x14ac:dyDescent="0.4">
      <c r="B22" s="833" t="s">
        <v>542</v>
      </c>
      <c r="C22" s="834">
        <f>'Ia.Energy-Stationary '!H140</f>
        <v>340917291.43000001</v>
      </c>
      <c r="D22" s="835">
        <f>'Ia.Energy-Stationary '!L140</f>
        <v>1395065397.9000001</v>
      </c>
      <c r="E22" s="835">
        <f>'Ia.Energy-Stationary '!L183</f>
        <v>4179837.3276220597</v>
      </c>
      <c r="F22" s="835">
        <f>'Ia.Energy-Stationary '!M183</f>
        <v>5297394.2386625819</v>
      </c>
      <c r="G22" s="836">
        <f t="shared" si="0"/>
        <v>1745459920.8962848</v>
      </c>
      <c r="H22" s="835">
        <f>'Ia.Energy-Stationary '!I140</f>
        <v>218107384.5</v>
      </c>
      <c r="I22" s="835">
        <f t="shared" si="1"/>
        <v>172178723.52202174</v>
      </c>
      <c r="J22" s="835">
        <f>'Ia.Energy-Stationary '!M140</f>
        <v>242851174.39000002</v>
      </c>
      <c r="K22" s="835">
        <f>'Ia.Energy-Stationary '!N183</f>
        <v>388.79329322162812</v>
      </c>
      <c r="L22" s="835">
        <f>'Ia.Energy-Stationary '!O183</f>
        <v>22816953.415479597</v>
      </c>
      <c r="M22" s="835">
        <f>'Ia.Energy-Stationary '!P183</f>
        <v>39862775.999473877</v>
      </c>
      <c r="N22" s="836">
        <f t="shared" si="2"/>
        <v>477710016.12026846</v>
      </c>
      <c r="O22" s="835">
        <f>'Ib.Energy-Transport '!N195</f>
        <v>965720.10720598325</v>
      </c>
      <c r="P22" s="835">
        <f>'Ib.Energy-Transport '!O195</f>
        <v>0</v>
      </c>
      <c r="Q22" s="835">
        <f>'Ib.Energy-Transport '!L195</f>
        <v>13487710.505349834</v>
      </c>
      <c r="R22" s="835">
        <f>'Ib.Energy-Transport '!M195</f>
        <v>45928158.956336483</v>
      </c>
      <c r="S22" s="835">
        <f>'Ib.Energy-Transport '!K195</f>
        <v>519783000.85500002</v>
      </c>
      <c r="T22" s="835">
        <v>502.02164177545001</v>
      </c>
      <c r="U22" s="836">
        <f t="shared" si="3"/>
        <v>580165092.44553399</v>
      </c>
      <c r="V22" s="837">
        <f t="shared" si="4"/>
        <v>2803335029.4620876</v>
      </c>
    </row>
    <row r="23" spans="2:22" ht="13.15" x14ac:dyDescent="0.4">
      <c r="B23" s="833" t="s">
        <v>543</v>
      </c>
      <c r="C23" s="834">
        <f>'Ia.Energy-Stationary '!H141</f>
        <v>389055771.5</v>
      </c>
      <c r="D23" s="835">
        <f>'Ia.Energy-Stationary '!L141</f>
        <v>1329487394.9000001</v>
      </c>
      <c r="E23" s="835">
        <f>'Ia.Energy-Stationary '!L184</f>
        <v>6959928.5455377074</v>
      </c>
      <c r="F23" s="835">
        <f>'Ia.Energy-Stationary '!M184</f>
        <v>7442487.4949592613</v>
      </c>
      <c r="G23" s="836">
        <f t="shared" si="0"/>
        <v>1732945582.4404972</v>
      </c>
      <c r="H23" s="835">
        <f>'Ia.Energy-Stationary '!I141</f>
        <v>395128075.14999998</v>
      </c>
      <c r="I23" s="835">
        <f t="shared" si="1"/>
        <v>349409423.49386871</v>
      </c>
      <c r="J23" s="835">
        <f>'Ia.Energy-Stationary '!M141</f>
        <v>251463077.62</v>
      </c>
      <c r="K23" s="835">
        <f>'Ia.Energy-Stationary '!N184</f>
        <v>561329.65455126215</v>
      </c>
      <c r="L23" s="835">
        <f>'Ia.Energy-Stationary '!O184</f>
        <v>63691382.790961921</v>
      </c>
      <c r="M23" s="835">
        <f>'Ia.Energy-Stationary '!P184</f>
        <v>59863612.491671421</v>
      </c>
      <c r="N23" s="836">
        <f t="shared" si="2"/>
        <v>724988826.0510534</v>
      </c>
      <c r="O23" s="835">
        <f>'Ib.Energy-Transport '!N196</f>
        <v>12169095.940356823</v>
      </c>
      <c r="P23" s="835">
        <f>'Ib.Energy-Transport '!O196</f>
        <v>1782997.5791670256</v>
      </c>
      <c r="Q23" s="835">
        <f>'Ib.Energy-Transport '!L196</f>
        <v>7515085.920671884</v>
      </c>
      <c r="R23" s="835">
        <f>'Ib.Energy-Transport '!M196</f>
        <v>45717623.952011846</v>
      </c>
      <c r="S23" s="835">
        <f>'Ib.Energy-Transport '!K196</f>
        <v>732392866.63300002</v>
      </c>
      <c r="T23" s="835">
        <v>1027.7041194518101</v>
      </c>
      <c r="U23" s="836">
        <f t="shared" si="3"/>
        <v>799578697.72932708</v>
      </c>
      <c r="V23" s="837">
        <f t="shared" si="4"/>
        <v>3257513106.2208776</v>
      </c>
    </row>
    <row r="24" spans="2:22" ht="13.15" x14ac:dyDescent="0.4">
      <c r="B24" s="833" t="s">
        <v>544</v>
      </c>
      <c r="C24" s="834">
        <f>'Ia.Energy-Stationary '!H142</f>
        <v>417467813.88999999</v>
      </c>
      <c r="D24" s="835">
        <f>'Ia.Energy-Stationary '!L142</f>
        <v>1416884778.8</v>
      </c>
      <c r="E24" s="835">
        <f>'Ia.Energy-Stationary '!L185</f>
        <v>5803838.0463605346</v>
      </c>
      <c r="F24" s="835">
        <f>'Ia.Energy-Stationary '!M185</f>
        <v>8983132.4407328423</v>
      </c>
      <c r="G24" s="836">
        <f t="shared" si="0"/>
        <v>1849139563.1770935</v>
      </c>
      <c r="H24" s="835">
        <f>'Ia.Energy-Stationary '!I142</f>
        <v>945045354.56999993</v>
      </c>
      <c r="I24" s="835">
        <f t="shared" si="1"/>
        <v>892037126.95483112</v>
      </c>
      <c r="J24" s="835">
        <f>'Ia.Energy-Stationary '!M142</f>
        <v>686159293.30999994</v>
      </c>
      <c r="K24" s="835">
        <f>'Ia.Energy-Stationary '!N185</f>
        <v>349650.71949927637</v>
      </c>
      <c r="L24" s="835">
        <f>'Ia.Energy-Stationary '!O185</f>
        <v>483981446.17802244</v>
      </c>
      <c r="M24" s="835">
        <f>'Ia.Energy-Stationary '!P185</f>
        <v>130793591.39856727</v>
      </c>
      <c r="N24" s="836">
        <f t="shared" si="2"/>
        <v>2193321108.5609202</v>
      </c>
      <c r="O24" s="835">
        <f>'Ib.Energy-Transport '!N197</f>
        <v>3002357724.346468</v>
      </c>
      <c r="P24" s="835">
        <f>'Ib.Energy-Transport '!O197</f>
        <v>0</v>
      </c>
      <c r="Q24" s="835">
        <f>'Ib.Energy-Transport '!L197</f>
        <v>41564378.617640376</v>
      </c>
      <c r="R24" s="835">
        <f>'Ib.Energy-Transport '!M197</f>
        <v>53006863.854704551</v>
      </c>
      <c r="S24" s="835">
        <f>'Ib.Energy-Transport '!K197</f>
        <v>1012530182.96</v>
      </c>
      <c r="T24" s="835">
        <v>1363.7604643586474</v>
      </c>
      <c r="U24" s="836">
        <f t="shared" si="3"/>
        <v>4109460513.5392771</v>
      </c>
      <c r="V24" s="837">
        <f t="shared" si="4"/>
        <v>8151921185.2772903</v>
      </c>
    </row>
    <row r="25" spans="2:22" ht="13.15" x14ac:dyDescent="0.4">
      <c r="B25" s="833" t="s">
        <v>545</v>
      </c>
      <c r="C25" s="834">
        <f>'Ia.Energy-Stationary '!H143</f>
        <v>377958511.84999996</v>
      </c>
      <c r="D25" s="835">
        <f>'Ia.Energy-Stationary '!L143</f>
        <v>1152227406.1999998</v>
      </c>
      <c r="E25" s="835">
        <f>'Ia.Energy-Stationary '!L186</f>
        <v>4882025.6201220825</v>
      </c>
      <c r="F25" s="835">
        <f>'Ia.Energy-Stationary '!M186</f>
        <v>6936411.1996691572</v>
      </c>
      <c r="G25" s="836">
        <f t="shared" si="0"/>
        <v>1542004354.869791</v>
      </c>
      <c r="H25" s="835">
        <f>'Ia.Energy-Stationary '!I143</f>
        <v>924272608.61000001</v>
      </c>
      <c r="I25" s="835">
        <f t="shared" si="1"/>
        <v>881249054.63772023</v>
      </c>
      <c r="J25" s="835">
        <f>'Ia.Energy-Stationary '!M143</f>
        <v>572198430.84000003</v>
      </c>
      <c r="K25" s="835">
        <f>'Ia.Energy-Stationary '!N186</f>
        <v>642026.43994747405</v>
      </c>
      <c r="L25" s="835">
        <f>'Ia.Energy-Stationary '!O186</f>
        <v>49083876.061310805</v>
      </c>
      <c r="M25" s="835">
        <f>'Ia.Energy-Stationary '!P186</f>
        <v>44935130.906613767</v>
      </c>
      <c r="N25" s="836">
        <f t="shared" si="2"/>
        <v>1548108518.8855922</v>
      </c>
      <c r="O25" s="835">
        <f>'Ib.Energy-Transport '!N198</f>
        <v>466586290.99344975</v>
      </c>
      <c r="P25" s="835">
        <f>'Ib.Energy-Transport '!O198</f>
        <v>0</v>
      </c>
      <c r="Q25" s="835">
        <f>'Ib.Energy-Transport '!L198</f>
        <v>1420312.3719346004</v>
      </c>
      <c r="R25" s="835">
        <f>'Ib.Energy-Transport '!M198</f>
        <v>43022487.444831192</v>
      </c>
      <c r="S25" s="835">
        <f>'Ib.Energy-Transport '!K198</f>
        <v>645896676.32299995</v>
      </c>
      <c r="T25" s="835">
        <v>1066.5274485668726</v>
      </c>
      <c r="U25" s="836">
        <f t="shared" si="3"/>
        <v>1156926833.6606641</v>
      </c>
      <c r="V25" s="837">
        <f t="shared" si="4"/>
        <v>4247039707.4160476</v>
      </c>
    </row>
    <row r="26" spans="2:22" ht="13.15" x14ac:dyDescent="0.4">
      <c r="B26" s="833" t="s">
        <v>546</v>
      </c>
      <c r="C26" s="834">
        <f>'Ia.Energy-Stationary '!H144</f>
        <v>308057275.72000003</v>
      </c>
      <c r="D26" s="835">
        <f>'Ia.Energy-Stationary '!L144</f>
        <v>885040854.64999998</v>
      </c>
      <c r="E26" s="835">
        <f>'Ia.Energy-Stationary '!L187</f>
        <v>1581559.6711543093</v>
      </c>
      <c r="F26" s="835">
        <f>'Ia.Energy-Stationary '!M187</f>
        <v>3140271.237316946</v>
      </c>
      <c r="G26" s="836">
        <f t="shared" si="0"/>
        <v>1197819961.278471</v>
      </c>
      <c r="H26" s="835">
        <f>'Ia.Energy-Stationary '!I144</f>
        <v>801396543.98000002</v>
      </c>
      <c r="I26" s="835">
        <f t="shared" si="1"/>
        <v>746010262.29444051</v>
      </c>
      <c r="J26" s="835">
        <f>'Ia.Energy-Stationary '!M144</f>
        <v>660618228.64999998</v>
      </c>
      <c r="K26" s="835">
        <f>'Ia.Energy-Stationary '!N187</f>
        <v>696979.8679854708</v>
      </c>
      <c r="L26" s="835">
        <f>'Ia.Energy-Stationary '!O187</f>
        <v>25387866.416660223</v>
      </c>
      <c r="M26" s="835">
        <f>'Ia.Energy-Stationary '!P187</f>
        <v>14641677.611615449</v>
      </c>
      <c r="N26" s="836">
        <f t="shared" si="2"/>
        <v>1447355014.8407016</v>
      </c>
      <c r="O26" s="835">
        <f>'Ib.Energy-Transport '!N199</f>
        <v>0</v>
      </c>
      <c r="P26" s="835">
        <f>'Ib.Energy-Transport '!O199</f>
        <v>0</v>
      </c>
      <c r="Q26" s="835">
        <f>'Ib.Energy-Transport '!L199</f>
        <v>6588106.937461976</v>
      </c>
      <c r="R26" s="835">
        <f>'Ib.Energy-Transport '!M199</f>
        <v>55385939.561264724</v>
      </c>
      <c r="S26" s="835">
        <f>'Ib.Energy-Transport '!K199</f>
        <v>595804687.222</v>
      </c>
      <c r="T26" s="835">
        <v>342.12429477406533</v>
      </c>
      <c r="U26" s="836">
        <f t="shared" si="3"/>
        <v>657779075.84502149</v>
      </c>
      <c r="V26" s="837">
        <f t="shared" si="4"/>
        <v>3302954051.9641943</v>
      </c>
    </row>
    <row r="27" spans="2:22" ht="13.15" x14ac:dyDescent="0.4">
      <c r="B27" s="833" t="s">
        <v>547</v>
      </c>
      <c r="C27" s="834">
        <f>'Ia.Energy-Stationary '!H145</f>
        <v>362752992.75999999</v>
      </c>
      <c r="D27" s="835">
        <f>'Ia.Energy-Stationary '!L145</f>
        <v>860758132.46999991</v>
      </c>
      <c r="E27" s="835">
        <f>'Ia.Energy-Stationary '!L188</f>
        <v>1286183.4964135189</v>
      </c>
      <c r="F27" s="835">
        <f>'Ia.Energy-Stationary '!M188</f>
        <v>7991450.5111481901</v>
      </c>
      <c r="G27" s="836">
        <f t="shared" si="0"/>
        <v>1232788759.2375617</v>
      </c>
      <c r="H27" s="835">
        <f>'Ia.Energy-Stationary '!I145</f>
        <v>897194116.46000004</v>
      </c>
      <c r="I27" s="835">
        <f t="shared" si="1"/>
        <v>839174784.20410216</v>
      </c>
      <c r="J27" s="835">
        <f>'Ia.Energy-Stationary '!M145</f>
        <v>885146225.30999994</v>
      </c>
      <c r="K27" s="835">
        <f>'Ia.Energy-Stationary '!N188</f>
        <v>171207.0506526595</v>
      </c>
      <c r="L27" s="835">
        <f>'Ia.Energy-Stationary '!O188</f>
        <v>8679786.881153645</v>
      </c>
      <c r="M27" s="835">
        <f>'Ia.Energy-Stationary '!P188</f>
        <v>11673413.912582226</v>
      </c>
      <c r="N27" s="836">
        <f t="shared" si="2"/>
        <v>1744845417.3584905</v>
      </c>
      <c r="O27" s="835">
        <f>'Ib.Energy-Transport '!N200</f>
        <v>7841442.3661236474</v>
      </c>
      <c r="P27" s="835">
        <f>'Ib.Energy-Transport '!O200</f>
        <v>23961.385924345075</v>
      </c>
      <c r="Q27" s="835">
        <f>'Ib.Energy-Transport '!L200</f>
        <v>7832996.4027169365</v>
      </c>
      <c r="R27" s="835">
        <f>'Ib.Energy-Transport '!M200</f>
        <v>58018921.620472625</v>
      </c>
      <c r="S27" s="835">
        <f>'Ib.Energy-Transport '!K200</f>
        <v>206325526.86000001</v>
      </c>
      <c r="T27" s="835">
        <v>410.63542521727845</v>
      </c>
      <c r="U27" s="836">
        <f t="shared" si="3"/>
        <v>280043259.27066278</v>
      </c>
      <c r="V27" s="837">
        <f t="shared" si="4"/>
        <v>3257677435.866715</v>
      </c>
    </row>
    <row r="28" spans="2:22" ht="13.15" x14ac:dyDescent="0.4">
      <c r="B28" s="833" t="s">
        <v>548</v>
      </c>
      <c r="C28" s="834">
        <f>'Ia.Energy-Stationary '!H146</f>
        <v>253969958.20000002</v>
      </c>
      <c r="D28" s="835">
        <f>'Ia.Energy-Stationary '!L146</f>
        <v>879557872.55999994</v>
      </c>
      <c r="E28" s="835">
        <f>'Ia.Energy-Stationary '!L189</f>
        <v>3372308.378576898</v>
      </c>
      <c r="F28" s="835">
        <f>'Ia.Energy-Stationary '!M189</f>
        <v>3306283.2616122616</v>
      </c>
      <c r="G28" s="836">
        <f t="shared" si="0"/>
        <v>1140206422.4001892</v>
      </c>
      <c r="H28" s="835">
        <f>'Ia.Energy-Stationary '!I146</f>
        <v>347820309.99000001</v>
      </c>
      <c r="I28" s="835">
        <f t="shared" si="1"/>
        <v>330549078.37879491</v>
      </c>
      <c r="J28" s="835">
        <f>'Ia.Energy-Stationary '!M146</f>
        <v>237781622.98999998</v>
      </c>
      <c r="K28" s="835">
        <f>'Ia.Energy-Stationary '!N189</f>
        <v>937046.35576217587</v>
      </c>
      <c r="L28" s="835">
        <f>'Ia.Energy-Stationary '!O189</f>
        <v>30922000.496435359</v>
      </c>
      <c r="M28" s="835">
        <f>'Ia.Energy-Stationary '!P189</f>
        <v>30888571.052325729</v>
      </c>
      <c r="N28" s="836">
        <f t="shared" si="2"/>
        <v>631078319.27331817</v>
      </c>
      <c r="O28" s="835">
        <f>'Ib.Energy-Transport '!N201</f>
        <v>0</v>
      </c>
      <c r="P28" s="835">
        <f>'Ib.Energy-Transport '!O201</f>
        <v>0</v>
      </c>
      <c r="Q28" s="835">
        <f>'Ib.Energy-Transport '!L201</f>
        <v>2084513.5898845822</v>
      </c>
      <c r="R28" s="835">
        <f>'Ib.Energy-Transport '!M201</f>
        <v>17270649.598282643</v>
      </c>
      <c r="S28" s="835">
        <f>'Ib.Energy-Transport '!K201</f>
        <v>635549139.24300003</v>
      </c>
      <c r="T28" s="835">
        <v>582.01292247013419</v>
      </c>
      <c r="U28" s="836">
        <f t="shared" si="3"/>
        <v>654904884.44408977</v>
      </c>
      <c r="V28" s="837">
        <f t="shared" si="4"/>
        <v>2426189626.1175971</v>
      </c>
    </row>
    <row r="29" spans="2:22" ht="13.15" x14ac:dyDescent="0.4">
      <c r="B29" s="833" t="s">
        <v>549</v>
      </c>
      <c r="C29" s="834">
        <f>'Ia.Energy-Stationary '!H147</f>
        <v>428382113.87</v>
      </c>
      <c r="D29" s="835">
        <f>'Ia.Energy-Stationary '!L147</f>
        <v>1367583201.5</v>
      </c>
      <c r="E29" s="835">
        <f>'Ia.Energy-Stationary '!L190</f>
        <v>3869017.3376484471</v>
      </c>
      <c r="F29" s="835">
        <f>'Ia.Energy-Stationary '!M190</f>
        <v>5992712.0329577886</v>
      </c>
      <c r="G29" s="836">
        <f t="shared" si="0"/>
        <v>1805827044.7406061</v>
      </c>
      <c r="H29" s="835">
        <f>'Ia.Energy-Stationary '!I147</f>
        <v>633502970.57000005</v>
      </c>
      <c r="I29" s="835">
        <f t="shared" si="1"/>
        <v>522209775.47563207</v>
      </c>
      <c r="J29" s="835">
        <f>'Ia.Energy-Stationary '!M147</f>
        <v>734476724.37</v>
      </c>
      <c r="K29" s="835">
        <f>'Ia.Energy-Stationary '!N190</f>
        <v>0</v>
      </c>
      <c r="L29" s="835">
        <f>'Ia.Energy-Stationary '!O190</f>
        <v>15570650.232363446</v>
      </c>
      <c r="M29" s="835">
        <f>'Ia.Energy-Stationary '!P190</f>
        <v>36642655.713190489</v>
      </c>
      <c r="N29" s="836">
        <f t="shared" si="2"/>
        <v>1308899805.7911861</v>
      </c>
      <c r="O29" s="835">
        <f>'Ib.Energy-Transport '!N202</f>
        <v>0</v>
      </c>
      <c r="P29" s="835">
        <f>'Ib.Energy-Transport '!O202</f>
        <v>32645.184094210425</v>
      </c>
      <c r="Q29" s="835">
        <f>'Ib.Energy-Transport '!L202</f>
        <v>3470683.7928008712</v>
      </c>
      <c r="R29" s="835">
        <f>'Ib.Energy-Transport '!M202</f>
        <v>111292625.13022476</v>
      </c>
      <c r="S29" s="835">
        <f>'Ib.Energy-Transport '!K202</f>
        <v>922077768.15799999</v>
      </c>
      <c r="T29" s="835">
        <v>569.96414324143052</v>
      </c>
      <c r="U29" s="836">
        <f t="shared" si="3"/>
        <v>1036874292.2292631</v>
      </c>
      <c r="V29" s="837">
        <f t="shared" si="4"/>
        <v>4151601142.761055</v>
      </c>
    </row>
    <row r="30" spans="2:22" ht="13.15" x14ac:dyDescent="0.4">
      <c r="B30" s="833" t="s">
        <v>550</v>
      </c>
      <c r="C30" s="834">
        <f>'Ia.Energy-Stationary '!H148</f>
        <v>402011314.75999999</v>
      </c>
      <c r="D30" s="835">
        <f>'Ia.Energy-Stationary '!L148</f>
        <v>1308121950</v>
      </c>
      <c r="E30" s="835">
        <f>'Ia.Energy-Stationary '!L191</f>
        <v>6048495.1686117044</v>
      </c>
      <c r="F30" s="835">
        <f>'Ia.Energy-Stationary '!M191</f>
        <v>4024401.1070809709</v>
      </c>
      <c r="G30" s="836">
        <f t="shared" si="0"/>
        <v>1720206161.0356927</v>
      </c>
      <c r="H30" s="835">
        <f>'Ia.Energy-Stationary '!I148</f>
        <v>292677337.32999998</v>
      </c>
      <c r="I30" s="835">
        <f t="shared" si="1"/>
        <v>242911509.32217231</v>
      </c>
      <c r="J30" s="835">
        <f>'Ia.Energy-Stationary '!M148</f>
        <v>354802684.94</v>
      </c>
      <c r="K30" s="835">
        <f>'Ia.Energy-Stationary '!N191</f>
        <v>89654.080451273738</v>
      </c>
      <c r="L30" s="835">
        <f>'Ia.Energy-Stationary '!O191</f>
        <v>10641257.916750496</v>
      </c>
      <c r="M30" s="835">
        <f>'Ia.Energy-Stationary '!P191</f>
        <v>57455263.510062531</v>
      </c>
      <c r="N30" s="836">
        <f t="shared" si="2"/>
        <v>665900369.76943672</v>
      </c>
      <c r="O30" s="835">
        <f>'Ib.Energy-Transport '!N203</f>
        <v>39165.911884627749</v>
      </c>
      <c r="P30" s="835">
        <f>'Ib.Energy-Transport '!O203</f>
        <v>1099127.0764584523</v>
      </c>
      <c r="Q30" s="835">
        <f>'Ib.Energy-Transport '!L203</f>
        <v>5095896.2656694707</v>
      </c>
      <c r="R30" s="835">
        <f>'Ib.Energy-Transport '!M203</f>
        <v>49765300.799196504</v>
      </c>
      <c r="S30" s="835">
        <f>'Ib.Energy-Transport '!K203</f>
        <v>1117511760.2120001</v>
      </c>
      <c r="T30" s="835">
        <v>527.20863117122553</v>
      </c>
      <c r="U30" s="836">
        <f t="shared" si="3"/>
        <v>1173511777.4738405</v>
      </c>
      <c r="V30" s="837">
        <f t="shared" si="4"/>
        <v>3559618308.2789698</v>
      </c>
    </row>
    <row r="31" spans="2:22" ht="13.15" x14ac:dyDescent="0.4">
      <c r="B31" s="833" t="s">
        <v>551</v>
      </c>
      <c r="C31" s="834">
        <f>'Ia.Energy-Stationary '!H149</f>
        <v>305279205.59000003</v>
      </c>
      <c r="D31" s="835">
        <f>'Ia.Energy-Stationary '!L149</f>
        <v>1052657439.8000001</v>
      </c>
      <c r="E31" s="835">
        <f>'Ia.Energy-Stationary '!L192</f>
        <v>5579756.5893978542</v>
      </c>
      <c r="F31" s="835">
        <f>'Ia.Energy-Stationary '!M192</f>
        <v>4329192.4756229194</v>
      </c>
      <c r="G31" s="836">
        <f t="shared" si="0"/>
        <v>1367845594.4550209</v>
      </c>
      <c r="H31" s="835">
        <f>'Ia.Energy-Stationary '!I149</f>
        <v>496038275.36000001</v>
      </c>
      <c r="I31" s="835">
        <f t="shared" si="1"/>
        <v>442925756.72878194</v>
      </c>
      <c r="J31" s="835">
        <f>'Ia.Energy-Stationary '!M149</f>
        <v>299667278.96999997</v>
      </c>
      <c r="K31" s="835">
        <f>'Ia.Energy-Stationary '!N192</f>
        <v>1120534.6695540745</v>
      </c>
      <c r="L31" s="835">
        <f>'Ia.Energy-Stationary '!O192</f>
        <v>29400968.676705245</v>
      </c>
      <c r="M31" s="835">
        <f>'Ia.Energy-Stationary '!P192</f>
        <v>54107395.085904293</v>
      </c>
      <c r="N31" s="836">
        <f t="shared" si="2"/>
        <v>827221934.13094556</v>
      </c>
      <c r="O31" s="835">
        <f>'Ib.Energy-Transport '!N204</f>
        <v>0</v>
      </c>
      <c r="P31" s="835">
        <f>'Ib.Energy-Transport '!O204</f>
        <v>0</v>
      </c>
      <c r="Q31" s="835">
        <f>'Ib.Energy-Transport '!L204</f>
        <v>2691945.4624903454</v>
      </c>
      <c r="R31" s="835">
        <f>'Ib.Energy-Transport '!M204</f>
        <v>53112052.600982547</v>
      </c>
      <c r="S31" s="835">
        <f>'Ib.Energy-Transport '!K204</f>
        <v>444195077.63800001</v>
      </c>
      <c r="T31" s="835">
        <v>466.0302355367034</v>
      </c>
      <c r="U31" s="836">
        <f t="shared" si="3"/>
        <v>499999541.73170841</v>
      </c>
      <c r="V31" s="837">
        <f t="shared" si="4"/>
        <v>2695067070.3176751</v>
      </c>
    </row>
    <row r="32" spans="2:22" ht="13.15" x14ac:dyDescent="0.4">
      <c r="B32" s="833" t="s">
        <v>552</v>
      </c>
      <c r="C32" s="834">
        <f>'Ia.Energy-Stationary '!H150</f>
        <v>375148271.66999996</v>
      </c>
      <c r="D32" s="835">
        <f>'Ia.Energy-Stationary '!L150</f>
        <v>1072017343.9</v>
      </c>
      <c r="E32" s="835">
        <f>'Ia.Energy-Stationary '!L193</f>
        <v>6243385.2416177969</v>
      </c>
      <c r="F32" s="835">
        <f>'Ia.Energy-Stationary '!M193</f>
        <v>1847094.2342036285</v>
      </c>
      <c r="G32" s="836">
        <f t="shared" si="0"/>
        <v>1455256095.0458212</v>
      </c>
      <c r="H32" s="835">
        <f>'Ia.Energy-Stationary '!I150</f>
        <v>1000824611</v>
      </c>
      <c r="I32" s="835">
        <f t="shared" si="1"/>
        <v>898566451.48088527</v>
      </c>
      <c r="J32" s="835">
        <f>'Ia.Energy-Stationary '!M150</f>
        <v>931675537.90999997</v>
      </c>
      <c r="K32" s="835">
        <f>'Ia.Energy-Stationary '!N193</f>
        <v>190971.95969919601</v>
      </c>
      <c r="L32" s="835">
        <f>'Ia.Energy-Stationary '!O193</f>
        <v>125014559.60710864</v>
      </c>
      <c r="M32" s="835">
        <f>'Ia.Energy-Stationary '!P193</f>
        <v>59589193.822682492</v>
      </c>
      <c r="N32" s="836">
        <f t="shared" si="2"/>
        <v>2015036714.7803755</v>
      </c>
      <c r="O32" s="835">
        <f>'Ib.Energy-Transport '!N205</f>
        <v>164107468.63368392</v>
      </c>
      <c r="P32" s="835">
        <f>'Ib.Energy-Transport '!O205</f>
        <v>7396431.029084472</v>
      </c>
      <c r="Q32" s="835">
        <f>'Ib.Energy-Transport '!L205</f>
        <v>8962609.4866843373</v>
      </c>
      <c r="R32" s="835">
        <f>'Ib.Energy-Transport '!M205</f>
        <v>102257508.2705695</v>
      </c>
      <c r="S32" s="835">
        <f>'Ib.Energy-Transport '!K205</f>
        <v>1426124390.132</v>
      </c>
      <c r="T32" s="835">
        <v>651.24854515200775</v>
      </c>
      <c r="U32" s="836">
        <f t="shared" si="3"/>
        <v>1708849058.8005674</v>
      </c>
      <c r="V32" s="837">
        <f t="shared" si="4"/>
        <v>5179141868.6267643</v>
      </c>
    </row>
    <row r="33" spans="2:22" ht="13.15" x14ac:dyDescent="0.4">
      <c r="B33" s="833" t="s">
        <v>553</v>
      </c>
      <c r="C33" s="834">
        <f>'Ia.Energy-Stationary '!H151</f>
        <v>387543524.54000002</v>
      </c>
      <c r="D33" s="835">
        <f>'Ia.Energy-Stationary '!L151</f>
        <v>1421693247.7</v>
      </c>
      <c r="E33" s="835">
        <f>'Ia.Energy-Stationary '!L194</f>
        <v>6043028.3703923393</v>
      </c>
      <c r="F33" s="835">
        <f>'Ia.Energy-Stationary '!M194</f>
        <v>4672922.9841778232</v>
      </c>
      <c r="G33" s="836">
        <f t="shared" si="0"/>
        <v>1819952723.5945702</v>
      </c>
      <c r="H33" s="835">
        <f>'Ia.Energy-Stationary '!I151</f>
        <v>260726782.52999997</v>
      </c>
      <c r="I33" s="835">
        <f t="shared" si="1"/>
        <v>215817577.65451446</v>
      </c>
      <c r="J33" s="835">
        <f>'Ia.Energy-Stationary '!M151</f>
        <v>247047361.05000001</v>
      </c>
      <c r="K33" s="835">
        <f>'Ia.Energy-Stationary '!N194</f>
        <v>562227.81345730613</v>
      </c>
      <c r="L33" s="835">
        <f>'Ia.Energy-Stationary '!O194</f>
        <v>33019705.65082616</v>
      </c>
      <c r="M33" s="835">
        <f>'Ia.Energy-Stationary '!P194</f>
        <v>57419993.579203747</v>
      </c>
      <c r="N33" s="836">
        <f t="shared" si="2"/>
        <v>553866865.74800169</v>
      </c>
      <c r="O33" s="835">
        <f>'Ib.Energy-Transport '!N206</f>
        <v>3523091.4386378834</v>
      </c>
      <c r="P33" s="835">
        <f>'Ib.Energy-Transport '!O206</f>
        <v>0</v>
      </c>
      <c r="Q33" s="835">
        <f>'Ib.Energy-Transport '!L206</f>
        <v>2661824.8281118129</v>
      </c>
      <c r="R33" s="835">
        <f>'Ib.Energy-Transport '!M206</f>
        <v>44908209.625046983</v>
      </c>
      <c r="S33" s="835">
        <f>'Ib.Energy-Transport '!K206</f>
        <v>634225520.16900003</v>
      </c>
      <c r="T33" s="835">
        <v>995.25043853735258</v>
      </c>
      <c r="U33" s="836">
        <f t="shared" si="3"/>
        <v>685319641.31123531</v>
      </c>
      <c r="V33" s="837">
        <f t="shared" si="4"/>
        <v>3059139230.6538072</v>
      </c>
    </row>
    <row r="34" spans="2:22" ht="13.15" x14ac:dyDescent="0.4">
      <c r="B34" s="833" t="s">
        <v>554</v>
      </c>
      <c r="C34" s="834">
        <f>'Ia.Energy-Stationary '!H152</f>
        <v>329772853.63999999</v>
      </c>
      <c r="D34" s="835">
        <f>'Ia.Energy-Stationary '!L152</f>
        <v>1170901803.9000001</v>
      </c>
      <c r="E34" s="835">
        <f>'Ia.Energy-Stationary '!L195</f>
        <v>4231237.2200261569</v>
      </c>
      <c r="F34" s="835">
        <f>'Ia.Energy-Stationary '!M195</f>
        <v>6319983.2581312293</v>
      </c>
      <c r="G34" s="836">
        <f t="shared" si="0"/>
        <v>1511225878.0181575</v>
      </c>
      <c r="H34" s="835">
        <f>'Ia.Energy-Stationary '!I152</f>
        <v>311526000.06999999</v>
      </c>
      <c r="I34" s="835">
        <f t="shared" si="1"/>
        <v>289040326.75988084</v>
      </c>
      <c r="J34" s="835">
        <f>'Ia.Energy-Stationary '!M152</f>
        <v>297364249.62</v>
      </c>
      <c r="K34" s="835">
        <f>'Ia.Energy-Stationary '!N195</f>
        <v>0</v>
      </c>
      <c r="L34" s="835">
        <f>'Ia.Energy-Stationary '!O195</f>
        <v>27037988.941032711</v>
      </c>
      <c r="M34" s="835">
        <f>'Ia.Energy-Stationary '!P195</f>
        <v>39014880.812565893</v>
      </c>
      <c r="N34" s="836">
        <f>SUM(I34:M34)</f>
        <v>652457446.1334796</v>
      </c>
      <c r="O34" s="835">
        <f>'Ib.Energy-Transport '!N207</f>
        <v>187572662.63585177</v>
      </c>
      <c r="P34" s="835">
        <f>'Ib.Energy-Transport '!O207</f>
        <v>0</v>
      </c>
      <c r="Q34" s="835">
        <f>'Ib.Energy-Transport '!L207</f>
        <v>494840.71624511812</v>
      </c>
      <c r="R34" s="835">
        <f>'Ib.Energy-Transport '!M207</f>
        <v>22485122.833406873</v>
      </c>
      <c r="S34" s="835">
        <f>'Ib.Energy-Transport '!K207</f>
        <v>697125335.30200005</v>
      </c>
      <c r="T34" s="835">
        <v>550.47671230027822</v>
      </c>
      <c r="U34" s="836">
        <f t="shared" si="3"/>
        <v>907678511.96421611</v>
      </c>
      <c r="V34" s="837">
        <f t="shared" si="4"/>
        <v>3071361836.1158533</v>
      </c>
    </row>
    <row r="35" spans="2:22" ht="13.15" x14ac:dyDescent="0.4">
      <c r="B35" s="833" t="s">
        <v>555</v>
      </c>
      <c r="C35" s="834">
        <f>'Ia.Energy-Stationary '!H153</f>
        <v>441499601.60000002</v>
      </c>
      <c r="D35" s="835">
        <f>'Ia.Energy-Stationary '!L153</f>
        <v>1021573185.2</v>
      </c>
      <c r="E35" s="835">
        <f>'Ia.Energy-Stationary '!L196</f>
        <v>3056717.0157445483</v>
      </c>
      <c r="F35" s="835">
        <f>'Ia.Energy-Stationary '!M196</f>
        <v>8235029.4491158994</v>
      </c>
      <c r="G35" s="836">
        <f t="shared" si="0"/>
        <v>1474364533.2648606</v>
      </c>
      <c r="H35" s="835">
        <f>'Ia.Energy-Stationary '!I153</f>
        <v>1190680191</v>
      </c>
      <c r="I35" s="835">
        <f t="shared" si="1"/>
        <v>1122060782.9682891</v>
      </c>
      <c r="J35" s="835">
        <f>'Ia.Energy-Stationary '!M153</f>
        <v>953339439.3900001</v>
      </c>
      <c r="K35" s="835">
        <f>'Ia.Energy-Stationary '!N196</f>
        <v>468652.7756454951</v>
      </c>
      <c r="L35" s="835">
        <f>'Ia.Energy-Stationary '!O196</f>
        <v>31880647.944381468</v>
      </c>
      <c r="M35" s="835">
        <f>'Ia.Energy-Stationary '!P196</f>
        <v>28963269.871713772</v>
      </c>
      <c r="N35" s="836">
        <f t="shared" si="2"/>
        <v>2136712792.9500301</v>
      </c>
      <c r="O35" s="835">
        <f>'Ib.Energy-Transport '!N208</f>
        <v>5312935.1110131713</v>
      </c>
      <c r="P35" s="835">
        <f>'Ib.Energy-Transport '!O208</f>
        <v>7752185.3960884996</v>
      </c>
      <c r="Q35" s="835">
        <f>'Ib.Energy-Transport '!L208</f>
        <v>2566699.2209318457</v>
      </c>
      <c r="R35" s="835">
        <f>'Ib.Energy-Transport '!M208</f>
        <v>68618876.711934596</v>
      </c>
      <c r="S35" s="835">
        <f>'Ib.Energy-Transport '!K208</f>
        <v>868165338.12100005</v>
      </c>
      <c r="T35" s="835">
        <v>531.31977633466022</v>
      </c>
      <c r="U35" s="836">
        <f t="shared" si="3"/>
        <v>952416565.88074446</v>
      </c>
      <c r="V35" s="837">
        <f t="shared" si="4"/>
        <v>4563493892.0956345</v>
      </c>
    </row>
    <row r="36" spans="2:22" ht="13.15" x14ac:dyDescent="0.4">
      <c r="B36" s="833" t="s">
        <v>556</v>
      </c>
      <c r="C36" s="834">
        <f>'Ia.Energy-Stationary '!H154</f>
        <v>311864245.70000005</v>
      </c>
      <c r="D36" s="835">
        <f>'Ia.Energy-Stationary '!L154</f>
        <v>1024555865.1999999</v>
      </c>
      <c r="E36" s="835">
        <f>'Ia.Energy-Stationary '!L197</f>
        <v>4817836.3652447909</v>
      </c>
      <c r="F36" s="835">
        <f>'Ia.Energy-Stationary '!M197</f>
        <v>5020677.8519816715</v>
      </c>
      <c r="G36" s="836">
        <f t="shared" si="0"/>
        <v>1346258625.1172266</v>
      </c>
      <c r="H36" s="835">
        <f>'Ia.Energy-Stationary '!I154</f>
        <v>359940891.88999999</v>
      </c>
      <c r="I36" s="835">
        <f t="shared" si="1"/>
        <v>349731409.97501206</v>
      </c>
      <c r="J36" s="835">
        <f>'Ia.Energy-Stationary '!M154</f>
        <v>265741997.06</v>
      </c>
      <c r="K36" s="835">
        <f>'Ia.Energy-Stationary '!N197</f>
        <v>42801.762663164947</v>
      </c>
      <c r="L36" s="835">
        <f>'Ia.Energy-Stationary '!O197</f>
        <v>31902160.141340744</v>
      </c>
      <c r="M36" s="835">
        <f>'Ia.Energy-Stationary '!P197</f>
        <v>43716603.037026718</v>
      </c>
      <c r="N36" s="836">
        <f t="shared" si="2"/>
        <v>691134971.97604263</v>
      </c>
      <c r="O36" s="835">
        <f>'Ib.Energy-Transport '!N209</f>
        <v>178288.75056636188</v>
      </c>
      <c r="P36" s="835">
        <f>'Ib.Energy-Transport '!O209</f>
        <v>0</v>
      </c>
      <c r="Q36" s="835">
        <f>'Ib.Energy-Transport '!L209</f>
        <v>0</v>
      </c>
      <c r="R36" s="835">
        <f>'Ib.Energy-Transport '!M209</f>
        <v>10209059.537705997</v>
      </c>
      <c r="S36" s="835">
        <f>'Ib.Energy-Transport '!K209</f>
        <v>671298417.91699994</v>
      </c>
      <c r="T36" s="835">
        <v>422.37728192516431</v>
      </c>
      <c r="U36" s="836">
        <f t="shared" si="3"/>
        <v>681686188.58255422</v>
      </c>
      <c r="V36" s="837">
        <f t="shared" si="4"/>
        <v>2719079785.6758237</v>
      </c>
    </row>
    <row r="37" spans="2:22" ht="13.15" x14ac:dyDescent="0.4">
      <c r="B37" s="833" t="s">
        <v>557</v>
      </c>
      <c r="C37" s="834">
        <f>'Ia.Energy-Stationary '!H155</f>
        <v>415727092.51999998</v>
      </c>
      <c r="D37" s="835">
        <f>'Ia.Energy-Stationary '!L155</f>
        <v>690231012.28999996</v>
      </c>
      <c r="E37" s="835">
        <f>'Ia.Energy-Stationary '!L198</f>
        <v>1493505.5301147075</v>
      </c>
      <c r="F37" s="835">
        <f>'Ia.Energy-Stationary '!M198</f>
        <v>4490942.8443606915</v>
      </c>
      <c r="G37" s="836">
        <f t="shared" si="0"/>
        <v>1111942553.1844752</v>
      </c>
      <c r="H37" s="835">
        <f>'Ia.Energy-Stationary '!I155</f>
        <v>2125727437.8000002</v>
      </c>
      <c r="I37" s="835">
        <f t="shared" si="1"/>
        <v>2029726652.9021754</v>
      </c>
      <c r="J37" s="835">
        <f>'Ia.Energy-Stationary '!M155</f>
        <v>843945566.63</v>
      </c>
      <c r="K37" s="835">
        <f>'Ia.Energy-Stationary '!N198</f>
        <v>1837637.7153998544</v>
      </c>
      <c r="L37" s="835">
        <f>'Ia.Energy-Stationary '!O198</f>
        <v>77909131.62614584</v>
      </c>
      <c r="M37" s="835">
        <f>'Ia.Energy-Stationary '!P198</f>
        <v>55231573.183248304</v>
      </c>
      <c r="N37" s="836">
        <f t="shared" si="2"/>
        <v>3008650562.0569696</v>
      </c>
      <c r="O37" s="835">
        <f>'Ib.Energy-Transport '!N210</f>
        <v>52757056.951815724</v>
      </c>
      <c r="P37" s="835">
        <f>'Ib.Energy-Transport '!O210</f>
        <v>16892174.195379913</v>
      </c>
      <c r="Q37" s="835">
        <f>'Ib.Energy-Transport '!L210</f>
        <v>6945.5872265469434</v>
      </c>
      <c r="R37" s="835">
        <f>'Ib.Energy-Transport '!M210</f>
        <v>96000158.594559714</v>
      </c>
      <c r="S37" s="835">
        <f>'Ib.Energy-Transport '!K210</f>
        <v>476824489.67699999</v>
      </c>
      <c r="T37" s="835">
        <v>626.30326509842473</v>
      </c>
      <c r="U37" s="836">
        <f t="shared" si="3"/>
        <v>642481451.30924702</v>
      </c>
      <c r="V37" s="837">
        <f t="shared" si="4"/>
        <v>4763074566.5506916</v>
      </c>
    </row>
    <row r="38" spans="2:22" ht="13.15" x14ac:dyDescent="0.4">
      <c r="B38" s="833" t="s">
        <v>558</v>
      </c>
      <c r="C38" s="834">
        <f>'Ia.Energy-Stationary '!H156</f>
        <v>339539793.21000004</v>
      </c>
      <c r="D38" s="835">
        <f>'Ia.Energy-Stationary '!L156</f>
        <v>1178810608.3</v>
      </c>
      <c r="E38" s="835">
        <f>'Ia.Energy-Stationary '!L199</f>
        <v>6548690.3777914438</v>
      </c>
      <c r="F38" s="835">
        <f>'Ia.Energy-Stationary '!M199</f>
        <v>2905839.5234135538</v>
      </c>
      <c r="G38" s="836">
        <f t="shared" si="0"/>
        <v>1527804931.4112051</v>
      </c>
      <c r="H38" s="835">
        <f>'Ia.Energy-Stationary '!I156</f>
        <v>333838878.00999999</v>
      </c>
      <c r="I38" s="835">
        <f t="shared" si="1"/>
        <v>302263458.88491225</v>
      </c>
      <c r="J38" s="835">
        <f>'Ia.Energy-Stationary '!M156</f>
        <v>308114693.63999999</v>
      </c>
      <c r="K38" s="835">
        <f>'Ia.Energy-Stationary '!N199</f>
        <v>89654.080451273738</v>
      </c>
      <c r="L38" s="835">
        <f>'Ia.Energy-Stationary '!O199</f>
        <v>35441039.729438916</v>
      </c>
      <c r="M38" s="835">
        <f>'Ia.Energy-Stationary '!P199</f>
        <v>62143307.794852778</v>
      </c>
      <c r="N38" s="836">
        <f t="shared" si="2"/>
        <v>708052154.12965512</v>
      </c>
      <c r="O38" s="835">
        <f>'Ib.Energy-Transport '!N211</f>
        <v>2443350.3491102387</v>
      </c>
      <c r="P38" s="835">
        <f>'Ib.Energy-Transport '!O211</f>
        <v>0</v>
      </c>
      <c r="Q38" s="835">
        <f>'Ib.Energy-Transport '!L211</f>
        <v>7604313.5905700009</v>
      </c>
      <c r="R38" s="835">
        <f>'Ib.Energy-Transport '!M211</f>
        <v>31574729.36833851</v>
      </c>
      <c r="S38" s="835">
        <f>'Ib.Energy-Transport '!K211</f>
        <v>972916512.4849999</v>
      </c>
      <c r="T38" s="835">
        <v>689.75674918529251</v>
      </c>
      <c r="U38" s="836">
        <f t="shared" si="3"/>
        <v>1014539595.5497679</v>
      </c>
      <c r="V38" s="837">
        <f t="shared" si="4"/>
        <v>3250396681.0906281</v>
      </c>
    </row>
    <row r="39" spans="2:22" ht="13.15" x14ac:dyDescent="0.4">
      <c r="B39" s="833" t="s">
        <v>559</v>
      </c>
      <c r="C39" s="834">
        <f>'Ia.Energy-Stationary '!H157</f>
        <v>491869571.75</v>
      </c>
      <c r="D39" s="835">
        <f>'Ia.Energy-Stationary '!L157</f>
        <v>1502406765.8</v>
      </c>
      <c r="E39" s="835">
        <f>'Ia.Energy-Stationary '!L200</f>
        <v>4711231.2884667618</v>
      </c>
      <c r="F39" s="835">
        <f>'Ia.Energy-Stationary '!M200</f>
        <v>5546332.0470872931</v>
      </c>
      <c r="G39" s="836">
        <f t="shared" si="0"/>
        <v>2004533900.8855538</v>
      </c>
      <c r="H39" s="835">
        <f>'Ia.Energy-Stationary '!I157</f>
        <v>490203767.31</v>
      </c>
      <c r="I39" s="835">
        <f t="shared" si="1"/>
        <v>393451699.04362386</v>
      </c>
      <c r="J39" s="835">
        <f>'Ia.Energy-Stationary '!M157</f>
        <v>612326111.17999995</v>
      </c>
      <c r="K39" s="835">
        <f>'Ia.Energy-Stationary '!N200</f>
        <v>42801.762663164947</v>
      </c>
      <c r="L39" s="835">
        <f>'Ia.Energy-Stationary '!O200</f>
        <v>21126055.705040291</v>
      </c>
      <c r="M39" s="835">
        <f>'Ia.Energy-Stationary '!P200</f>
        <v>45711275.640449382</v>
      </c>
      <c r="N39" s="836">
        <f t="shared" si="2"/>
        <v>1072657943.3317766</v>
      </c>
      <c r="O39" s="835">
        <f>'Ib.Energy-Transport '!N212</f>
        <v>57065181.080602355</v>
      </c>
      <c r="P39" s="835">
        <f>'Ib.Energy-Transport '!O212</f>
        <v>11171.329212605189</v>
      </c>
      <c r="Q39" s="835">
        <f>'Ib.Energy-Transport '!L212</f>
        <v>5270321.9360608552</v>
      </c>
      <c r="R39" s="835">
        <f>'Ib.Energy-Transport '!M212</f>
        <v>96751466.776579201</v>
      </c>
      <c r="S39" s="835">
        <f>'Ib.Energy-Transport '!K212</f>
        <v>436848272.67000002</v>
      </c>
      <c r="T39" s="835">
        <v>601.48979693516287</v>
      </c>
      <c r="U39" s="836">
        <f t="shared" si="3"/>
        <v>595947015.28225183</v>
      </c>
      <c r="V39" s="837">
        <f t="shared" si="4"/>
        <v>3673138859.4995823</v>
      </c>
    </row>
    <row r="40" spans="2:22" ht="13.15" x14ac:dyDescent="0.4">
      <c r="B40" s="833" t="s">
        <v>560</v>
      </c>
      <c r="C40" s="834">
        <f>'Ia.Energy-Stationary '!H158</f>
        <v>486066282.32999998</v>
      </c>
      <c r="D40" s="835">
        <f>'Ia.Energy-Stationary '!L158</f>
        <v>949318109.75</v>
      </c>
      <c r="E40" s="835">
        <f>'Ia.Energy-Stationary '!L201</f>
        <v>1358125.5020398903</v>
      </c>
      <c r="F40" s="835">
        <f>'Ia.Energy-Stationary '!M201</f>
        <v>11670182.633958651</v>
      </c>
      <c r="G40" s="836">
        <f t="shared" si="0"/>
        <v>1448412700.2159984</v>
      </c>
      <c r="H40" s="835">
        <f>'Ia.Energy-Stationary '!I158</f>
        <v>3130847392.9000001</v>
      </c>
      <c r="I40" s="835">
        <f t="shared" si="1"/>
        <v>2974592170.4480085</v>
      </c>
      <c r="J40" s="835">
        <f>'Ia.Energy-Stationary '!M158</f>
        <v>2567364069.8999996</v>
      </c>
      <c r="K40" s="835">
        <f>'Ia.Energy-Stationary '!N201</f>
        <v>12921127.631510258</v>
      </c>
      <c r="L40" s="835">
        <f>'Ia.Energy-Stationary '!O201</f>
        <v>183452767.36411852</v>
      </c>
      <c r="M40" s="835">
        <f>'Ia.Energy-Stationary '!P201</f>
        <v>11847380.664331906</v>
      </c>
      <c r="N40" s="836">
        <f t="shared" si="2"/>
        <v>5750177516.0079689</v>
      </c>
      <c r="O40" s="835">
        <f>'Ib.Energy-Transport '!N213</f>
        <v>0</v>
      </c>
      <c r="P40" s="835">
        <f>'Ib.Energy-Transport '!O213</f>
        <v>6674768.8396080025</v>
      </c>
      <c r="Q40" s="835">
        <f>'Ib.Energy-Transport '!L213</f>
        <v>10763868.286580348</v>
      </c>
      <c r="R40" s="835">
        <f>'Ib.Energy-Transport '!M213</f>
        <v>156254369.61354828</v>
      </c>
      <c r="S40" s="835">
        <f>'Ib.Energy-Transport '!K213</f>
        <v>527203575.96000004</v>
      </c>
      <c r="T40" s="835">
        <v>852.83844323350922</v>
      </c>
      <c r="U40" s="836">
        <f t="shared" si="3"/>
        <v>700897435.53817987</v>
      </c>
      <c r="V40" s="837">
        <f t="shared" si="4"/>
        <v>7899487651.7621479</v>
      </c>
    </row>
    <row r="41" spans="2:22" ht="13.15" x14ac:dyDescent="0.4">
      <c r="B41" s="833" t="s">
        <v>664</v>
      </c>
      <c r="C41" s="838"/>
      <c r="D41" s="839"/>
      <c r="E41" s="839"/>
      <c r="F41" s="839"/>
      <c r="G41" s="840"/>
      <c r="H41" s="839"/>
      <c r="I41" s="835">
        <f t="shared" si="1"/>
        <v>-105055578</v>
      </c>
      <c r="J41" s="835">
        <v>74802096</v>
      </c>
      <c r="K41" s="839"/>
      <c r="L41" s="839"/>
      <c r="M41" s="839"/>
      <c r="N41" s="836">
        <f>SUM(I41:M41)</f>
        <v>-30253482</v>
      </c>
      <c r="O41" s="841"/>
      <c r="P41" s="839"/>
      <c r="Q41" s="839"/>
      <c r="R41" s="835">
        <f>'Ib.Energy-Transport '!M214</f>
        <v>105055578</v>
      </c>
      <c r="S41" s="839"/>
      <c r="T41" s="839"/>
      <c r="U41" s="836">
        <f t="shared" si="3"/>
        <v>105055578</v>
      </c>
      <c r="V41" s="837">
        <f t="shared" si="4"/>
        <v>74802096</v>
      </c>
    </row>
    <row r="42" spans="2:22" ht="13.15" x14ac:dyDescent="0.4">
      <c r="B42" s="842" t="s">
        <v>1640</v>
      </c>
      <c r="C42" s="843">
        <f>SUM(C8:C40)</f>
        <v>12553478736.920004</v>
      </c>
      <c r="D42" s="844">
        <f>SUM(D8:D40)</f>
        <v>39643153234.487015</v>
      </c>
      <c r="E42" s="844">
        <f>SUM(E8:E40)</f>
        <v>150155595.85644194</v>
      </c>
      <c r="F42" s="844">
        <f>SUM(F8:F40)</f>
        <v>188498242.09191218</v>
      </c>
      <c r="G42" s="843">
        <f>SUM(C42:F42)</f>
        <v>52535285809.355377</v>
      </c>
      <c r="H42" s="843">
        <f>SUM(H8:H40)</f>
        <v>25246512052.91</v>
      </c>
      <c r="I42" s="844">
        <f>SUM(I8:I41)</f>
        <v>23203751844.109737</v>
      </c>
      <c r="J42" s="844">
        <f>SUM(J8:J41)</f>
        <v>20376175921.959999</v>
      </c>
      <c r="K42" s="844">
        <f>SUM(K8:K40)</f>
        <v>25072455.110218681</v>
      </c>
      <c r="L42" s="844">
        <f>SUM(L8:L40)</f>
        <v>2203779052.9818044</v>
      </c>
      <c r="M42" s="844">
        <f>SUM(M8:M40)</f>
        <v>1548920987.1818366</v>
      </c>
      <c r="N42" s="843">
        <f>SUM(N8:N41)</f>
        <v>47357700261.343597</v>
      </c>
      <c r="O42" s="844">
        <f>SUM(O8:O40)</f>
        <v>4104795692.2764487</v>
      </c>
      <c r="P42" s="844">
        <f>SUM(P8:P40)</f>
        <v>68318833.64533481</v>
      </c>
      <c r="Q42" s="844">
        <f>SUM(Q8:Q40)</f>
        <v>303824913.36269182</v>
      </c>
      <c r="R42" s="844">
        <f>SUM(R8:R41)</f>
        <v>2042737230.9272454</v>
      </c>
      <c r="S42" s="844">
        <f>SUM(S8:S40)</f>
        <v>25681847656.151993</v>
      </c>
      <c r="T42" s="1213"/>
      <c r="U42" s="845">
        <f>SUM(U8:U41)</f>
        <v>32201547304.236736</v>
      </c>
      <c r="V42" s="845">
        <f>G42+N42+U42</f>
        <v>132094533374.93571</v>
      </c>
    </row>
    <row r="43" spans="2:22" ht="13.15" x14ac:dyDescent="0.4">
      <c r="B43" s="846" t="s">
        <v>1641</v>
      </c>
      <c r="C43" s="843">
        <f>C42/1000000</f>
        <v>12553.478736920004</v>
      </c>
      <c r="D43" s="847">
        <f>D42/1000000</f>
        <v>39643.153234487014</v>
      </c>
      <c r="E43" s="847">
        <f>E42/1000000</f>
        <v>150.15559585644195</v>
      </c>
      <c r="F43" s="847">
        <f>F42/1000000</f>
        <v>188.49824209191218</v>
      </c>
      <c r="G43" s="848">
        <f>SUM(C43:F43)</f>
        <v>52535.285809355373</v>
      </c>
      <c r="H43" s="843">
        <f t="shared" ref="H43:M43" si="5">H42/1000000</f>
        <v>25246.512052909999</v>
      </c>
      <c r="I43" s="847">
        <f t="shared" si="5"/>
        <v>23203.751844109738</v>
      </c>
      <c r="J43" s="847">
        <f t="shared" si="5"/>
        <v>20376.175921959999</v>
      </c>
      <c r="K43" s="847">
        <f t="shared" si="5"/>
        <v>25.07245511021868</v>
      </c>
      <c r="L43" s="847">
        <f t="shared" si="5"/>
        <v>2203.7790529818044</v>
      </c>
      <c r="M43" s="847">
        <f t="shared" si="5"/>
        <v>1548.9209871818366</v>
      </c>
      <c r="N43" s="843">
        <f>SUM(I43:M43)</f>
        <v>47357.700261343598</v>
      </c>
      <c r="O43" s="843">
        <f t="shared" ref="O43:U43" si="6">O42/1000000</f>
        <v>4104.7956922764488</v>
      </c>
      <c r="P43" s="847">
        <f t="shared" si="6"/>
        <v>68.318833645334806</v>
      </c>
      <c r="Q43" s="847">
        <f t="shared" si="6"/>
        <v>303.8249133626918</v>
      </c>
      <c r="R43" s="847">
        <f t="shared" si="6"/>
        <v>2042.7372309272455</v>
      </c>
      <c r="S43" s="847">
        <f t="shared" si="6"/>
        <v>25681.847656151993</v>
      </c>
      <c r="T43" s="1214"/>
      <c r="U43" s="843">
        <f t="shared" si="6"/>
        <v>32201.547304236738</v>
      </c>
      <c r="V43" s="845">
        <f t="shared" si="4"/>
        <v>132094.53337493571</v>
      </c>
    </row>
    <row r="44" spans="2:22" x14ac:dyDescent="0.35">
      <c r="C44" s="1681"/>
      <c r="D44" s="1681"/>
      <c r="E44" s="1681"/>
      <c r="F44" s="1681"/>
      <c r="G44" s="1681"/>
    </row>
  </sheetData>
  <sheetProtection algorithmName="SHA-512" hashValue="m+dJqOfvBsZVHh0p4EYafgW9YjrJQeklUfOLsY10/3WrdMyB5VZmkmzzl5naaLSo+L60Alwynhv5r3eVxxdCWA==" saltValue="GfB1/rkjytFHEjqTfgW1sg==" spinCount="100000" sheet="1" objects="1" scenarios="1"/>
  <mergeCells count="4">
    <mergeCell ref="C4:U4"/>
    <mergeCell ref="V4:V6"/>
    <mergeCell ref="C5:G5"/>
    <mergeCell ref="H5:N5"/>
  </mergeCells>
  <conditionalFormatting sqref="U43">
    <cfRule type="cellIs" dxfId="15" priority="1" stopIfTrue="1" operator="notEqual">
      <formula>$U$42/1000000</formula>
    </cfRule>
  </conditionalFormatting>
  <conditionalFormatting sqref="G43">
    <cfRule type="cellIs" dxfId="14" priority="2" stopIfTrue="1" operator="notEqual">
      <formula>$G$42/1000000</formula>
    </cfRule>
  </conditionalFormatting>
  <pageMargins left="0.25" right="0.25" top="0.75" bottom="0.75" header="0.3" footer="0.3"/>
  <pageSetup paperSize="8" scale="63" orientation="landscape"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theme="4" tint="0.79998168889431442"/>
    <pageSetUpPr fitToPage="1"/>
  </sheetPr>
  <dimension ref="B1:AD89"/>
  <sheetViews>
    <sheetView zoomScaleNormal="100" zoomScaleSheetLayoutView="100" workbookViewId="0">
      <selection activeCell="R93" sqref="R93"/>
    </sheetView>
  </sheetViews>
  <sheetFormatPr defaultRowHeight="14.25" x14ac:dyDescent="0.45"/>
  <cols>
    <col min="1" max="1" width="2" style="888" customWidth="1"/>
    <col min="2" max="2" width="23.265625" style="888" customWidth="1"/>
    <col min="3" max="14" width="10.73046875" style="888" customWidth="1"/>
    <col min="15" max="15" width="12.73046875" style="888" customWidth="1"/>
    <col min="16" max="16" width="12.3984375" style="888" customWidth="1"/>
    <col min="17" max="29" width="10.73046875" style="888" customWidth="1"/>
    <col min="30" max="30" width="16.73046875" style="888" customWidth="1"/>
    <col min="31" max="264" width="9.1328125" style="888"/>
    <col min="265" max="265" width="2" style="888" customWidth="1"/>
    <col min="266" max="266" width="23.265625" style="888" customWidth="1"/>
    <col min="267" max="278" width="10.73046875" style="888" customWidth="1"/>
    <col min="279" max="279" width="12.73046875" style="888" customWidth="1"/>
    <col min="280" max="280" width="12.3984375" style="888" customWidth="1"/>
    <col min="281" max="285" width="10.73046875" style="888" customWidth="1"/>
    <col min="286" max="286" width="16.73046875" style="888" customWidth="1"/>
    <col min="287" max="520" width="9.1328125" style="888"/>
    <col min="521" max="521" width="2" style="888" customWidth="1"/>
    <col min="522" max="522" width="23.265625" style="888" customWidth="1"/>
    <col min="523" max="534" width="10.73046875" style="888" customWidth="1"/>
    <col min="535" max="535" width="12.73046875" style="888" customWidth="1"/>
    <col min="536" max="536" width="12.3984375" style="888" customWidth="1"/>
    <col min="537" max="541" width="10.73046875" style="888" customWidth="1"/>
    <col min="542" max="542" width="16.73046875" style="888" customWidth="1"/>
    <col min="543" max="776" width="9.1328125" style="888"/>
    <col min="777" max="777" width="2" style="888" customWidth="1"/>
    <col min="778" max="778" width="23.265625" style="888" customWidth="1"/>
    <col min="779" max="790" width="10.73046875" style="888" customWidth="1"/>
    <col min="791" max="791" width="12.73046875" style="888" customWidth="1"/>
    <col min="792" max="792" width="12.3984375" style="888" customWidth="1"/>
    <col min="793" max="797" width="10.73046875" style="888" customWidth="1"/>
    <col min="798" max="798" width="16.73046875" style="888" customWidth="1"/>
    <col min="799" max="1032" width="9.1328125" style="888"/>
    <col min="1033" max="1033" width="2" style="888" customWidth="1"/>
    <col min="1034" max="1034" width="23.265625" style="888" customWidth="1"/>
    <col min="1035" max="1046" width="10.73046875" style="888" customWidth="1"/>
    <col min="1047" max="1047" width="12.73046875" style="888" customWidth="1"/>
    <col min="1048" max="1048" width="12.3984375" style="888" customWidth="1"/>
    <col min="1049" max="1053" width="10.73046875" style="888" customWidth="1"/>
    <col min="1054" max="1054" width="16.73046875" style="888" customWidth="1"/>
    <col min="1055" max="1288" width="9.1328125" style="888"/>
    <col min="1289" max="1289" width="2" style="888" customWidth="1"/>
    <col min="1290" max="1290" width="23.265625" style="888" customWidth="1"/>
    <col min="1291" max="1302" width="10.73046875" style="888" customWidth="1"/>
    <col min="1303" max="1303" width="12.73046875" style="888" customWidth="1"/>
    <col min="1304" max="1304" width="12.3984375" style="888" customWidth="1"/>
    <col min="1305" max="1309" width="10.73046875" style="888" customWidth="1"/>
    <col min="1310" max="1310" width="16.73046875" style="888" customWidth="1"/>
    <col min="1311" max="1544" width="9.1328125" style="888"/>
    <col min="1545" max="1545" width="2" style="888" customWidth="1"/>
    <col min="1546" max="1546" width="23.265625" style="888" customWidth="1"/>
    <col min="1547" max="1558" width="10.73046875" style="888" customWidth="1"/>
    <col min="1559" max="1559" width="12.73046875" style="888" customWidth="1"/>
    <col min="1560" max="1560" width="12.3984375" style="888" customWidth="1"/>
    <col min="1561" max="1565" width="10.73046875" style="888" customWidth="1"/>
    <col min="1566" max="1566" width="16.73046875" style="888" customWidth="1"/>
    <col min="1567" max="1800" width="9.1328125" style="888"/>
    <col min="1801" max="1801" width="2" style="888" customWidth="1"/>
    <col min="1802" max="1802" width="23.265625" style="888" customWidth="1"/>
    <col min="1803" max="1814" width="10.73046875" style="888" customWidth="1"/>
    <col min="1815" max="1815" width="12.73046875" style="888" customWidth="1"/>
    <col min="1816" max="1816" width="12.3984375" style="888" customWidth="1"/>
    <col min="1817" max="1821" width="10.73046875" style="888" customWidth="1"/>
    <col min="1822" max="1822" width="16.73046875" style="888" customWidth="1"/>
    <col min="1823" max="2056" width="9.1328125" style="888"/>
    <col min="2057" max="2057" width="2" style="888" customWidth="1"/>
    <col min="2058" max="2058" width="23.265625" style="888" customWidth="1"/>
    <col min="2059" max="2070" width="10.73046875" style="888" customWidth="1"/>
    <col min="2071" max="2071" width="12.73046875" style="888" customWidth="1"/>
    <col min="2072" max="2072" width="12.3984375" style="888" customWidth="1"/>
    <col min="2073" max="2077" width="10.73046875" style="888" customWidth="1"/>
    <col min="2078" max="2078" width="16.73046875" style="888" customWidth="1"/>
    <col min="2079" max="2312" width="9.1328125" style="888"/>
    <col min="2313" max="2313" width="2" style="888" customWidth="1"/>
    <col min="2314" max="2314" width="23.265625" style="888" customWidth="1"/>
    <col min="2315" max="2326" width="10.73046875" style="888" customWidth="1"/>
    <col min="2327" max="2327" width="12.73046875" style="888" customWidth="1"/>
    <col min="2328" max="2328" width="12.3984375" style="888" customWidth="1"/>
    <col min="2329" max="2333" width="10.73046875" style="888" customWidth="1"/>
    <col min="2334" max="2334" width="16.73046875" style="888" customWidth="1"/>
    <col min="2335" max="2568" width="9.1328125" style="888"/>
    <col min="2569" max="2569" width="2" style="888" customWidth="1"/>
    <col min="2570" max="2570" width="23.265625" style="888" customWidth="1"/>
    <col min="2571" max="2582" width="10.73046875" style="888" customWidth="1"/>
    <col min="2583" max="2583" width="12.73046875" style="888" customWidth="1"/>
    <col min="2584" max="2584" width="12.3984375" style="888" customWidth="1"/>
    <col min="2585" max="2589" width="10.73046875" style="888" customWidth="1"/>
    <col min="2590" max="2590" width="16.73046875" style="888" customWidth="1"/>
    <col min="2591" max="2824" width="9.1328125" style="888"/>
    <col min="2825" max="2825" width="2" style="888" customWidth="1"/>
    <col min="2826" max="2826" width="23.265625" style="888" customWidth="1"/>
    <col min="2827" max="2838" width="10.73046875" style="888" customWidth="1"/>
    <col min="2839" max="2839" width="12.73046875" style="888" customWidth="1"/>
    <col min="2840" max="2840" width="12.3984375" style="888" customWidth="1"/>
    <col min="2841" max="2845" width="10.73046875" style="888" customWidth="1"/>
    <col min="2846" max="2846" width="16.73046875" style="888" customWidth="1"/>
    <col min="2847" max="3080" width="9.1328125" style="888"/>
    <col min="3081" max="3081" width="2" style="888" customWidth="1"/>
    <col min="3082" max="3082" width="23.265625" style="888" customWidth="1"/>
    <col min="3083" max="3094" width="10.73046875" style="888" customWidth="1"/>
    <col min="3095" max="3095" width="12.73046875" style="888" customWidth="1"/>
    <col min="3096" max="3096" width="12.3984375" style="888" customWidth="1"/>
    <col min="3097" max="3101" width="10.73046875" style="888" customWidth="1"/>
    <col min="3102" max="3102" width="16.73046875" style="888" customWidth="1"/>
    <col min="3103" max="3336" width="9.1328125" style="888"/>
    <col min="3337" max="3337" width="2" style="888" customWidth="1"/>
    <col min="3338" max="3338" width="23.265625" style="888" customWidth="1"/>
    <col min="3339" max="3350" width="10.73046875" style="888" customWidth="1"/>
    <col min="3351" max="3351" width="12.73046875" style="888" customWidth="1"/>
    <col min="3352" max="3352" width="12.3984375" style="888" customWidth="1"/>
    <col min="3353" max="3357" width="10.73046875" style="888" customWidth="1"/>
    <col min="3358" max="3358" width="16.73046875" style="888" customWidth="1"/>
    <col min="3359" max="3592" width="9.1328125" style="888"/>
    <col min="3593" max="3593" width="2" style="888" customWidth="1"/>
    <col min="3594" max="3594" width="23.265625" style="888" customWidth="1"/>
    <col min="3595" max="3606" width="10.73046875" style="888" customWidth="1"/>
    <col min="3607" max="3607" width="12.73046875" style="888" customWidth="1"/>
    <col min="3608" max="3608" width="12.3984375" style="888" customWidth="1"/>
    <col min="3609" max="3613" width="10.73046875" style="888" customWidth="1"/>
    <col min="3614" max="3614" width="16.73046875" style="888" customWidth="1"/>
    <col min="3615" max="3848" width="9.1328125" style="888"/>
    <col min="3849" max="3849" width="2" style="888" customWidth="1"/>
    <col min="3850" max="3850" width="23.265625" style="888" customWidth="1"/>
    <col min="3851" max="3862" width="10.73046875" style="888" customWidth="1"/>
    <col min="3863" max="3863" width="12.73046875" style="888" customWidth="1"/>
    <col min="3864" max="3864" width="12.3984375" style="888" customWidth="1"/>
    <col min="3865" max="3869" width="10.73046875" style="888" customWidth="1"/>
    <col min="3870" max="3870" width="16.73046875" style="888" customWidth="1"/>
    <col min="3871" max="4104" width="9.1328125" style="888"/>
    <col min="4105" max="4105" width="2" style="888" customWidth="1"/>
    <col min="4106" max="4106" width="23.265625" style="888" customWidth="1"/>
    <col min="4107" max="4118" width="10.73046875" style="888" customWidth="1"/>
    <col min="4119" max="4119" width="12.73046875" style="888" customWidth="1"/>
    <col min="4120" max="4120" width="12.3984375" style="888" customWidth="1"/>
    <col min="4121" max="4125" width="10.73046875" style="888" customWidth="1"/>
    <col min="4126" max="4126" width="16.73046875" style="888" customWidth="1"/>
    <col min="4127" max="4360" width="9.1328125" style="888"/>
    <col min="4361" max="4361" width="2" style="888" customWidth="1"/>
    <col min="4362" max="4362" width="23.265625" style="888" customWidth="1"/>
    <col min="4363" max="4374" width="10.73046875" style="888" customWidth="1"/>
    <col min="4375" max="4375" width="12.73046875" style="888" customWidth="1"/>
    <col min="4376" max="4376" width="12.3984375" style="888" customWidth="1"/>
    <col min="4377" max="4381" width="10.73046875" style="888" customWidth="1"/>
    <col min="4382" max="4382" width="16.73046875" style="888" customWidth="1"/>
    <col min="4383" max="4616" width="9.1328125" style="888"/>
    <col min="4617" max="4617" width="2" style="888" customWidth="1"/>
    <col min="4618" max="4618" width="23.265625" style="888" customWidth="1"/>
    <col min="4619" max="4630" width="10.73046875" style="888" customWidth="1"/>
    <col min="4631" max="4631" width="12.73046875" style="888" customWidth="1"/>
    <col min="4632" max="4632" width="12.3984375" style="888" customWidth="1"/>
    <col min="4633" max="4637" width="10.73046875" style="888" customWidth="1"/>
    <col min="4638" max="4638" width="16.73046875" style="888" customWidth="1"/>
    <col min="4639" max="4872" width="9.1328125" style="888"/>
    <col min="4873" max="4873" width="2" style="888" customWidth="1"/>
    <col min="4874" max="4874" width="23.265625" style="888" customWidth="1"/>
    <col min="4875" max="4886" width="10.73046875" style="888" customWidth="1"/>
    <col min="4887" max="4887" width="12.73046875" style="888" customWidth="1"/>
    <col min="4888" max="4888" width="12.3984375" style="888" customWidth="1"/>
    <col min="4889" max="4893" width="10.73046875" style="888" customWidth="1"/>
    <col min="4894" max="4894" width="16.73046875" style="888" customWidth="1"/>
    <col min="4895" max="5128" width="9.1328125" style="888"/>
    <col min="5129" max="5129" width="2" style="888" customWidth="1"/>
    <col min="5130" max="5130" width="23.265625" style="888" customWidth="1"/>
    <col min="5131" max="5142" width="10.73046875" style="888" customWidth="1"/>
    <col min="5143" max="5143" width="12.73046875" style="888" customWidth="1"/>
    <col min="5144" max="5144" width="12.3984375" style="888" customWidth="1"/>
    <col min="5145" max="5149" width="10.73046875" style="888" customWidth="1"/>
    <col min="5150" max="5150" width="16.73046875" style="888" customWidth="1"/>
    <col min="5151" max="5384" width="9.1328125" style="888"/>
    <col min="5385" max="5385" width="2" style="888" customWidth="1"/>
    <col min="5386" max="5386" width="23.265625" style="888" customWidth="1"/>
    <col min="5387" max="5398" width="10.73046875" style="888" customWidth="1"/>
    <col min="5399" max="5399" width="12.73046875" style="888" customWidth="1"/>
    <col min="5400" max="5400" width="12.3984375" style="888" customWidth="1"/>
    <col min="5401" max="5405" width="10.73046875" style="888" customWidth="1"/>
    <col min="5406" max="5406" width="16.73046875" style="888" customWidth="1"/>
    <col min="5407" max="5640" width="9.1328125" style="888"/>
    <col min="5641" max="5641" width="2" style="888" customWidth="1"/>
    <col min="5642" max="5642" width="23.265625" style="888" customWidth="1"/>
    <col min="5643" max="5654" width="10.73046875" style="888" customWidth="1"/>
    <col min="5655" max="5655" width="12.73046875" style="888" customWidth="1"/>
    <col min="5656" max="5656" width="12.3984375" style="888" customWidth="1"/>
    <col min="5657" max="5661" width="10.73046875" style="888" customWidth="1"/>
    <col min="5662" max="5662" width="16.73046875" style="888" customWidth="1"/>
    <col min="5663" max="5896" width="9.1328125" style="888"/>
    <col min="5897" max="5897" width="2" style="888" customWidth="1"/>
    <col min="5898" max="5898" width="23.265625" style="888" customWidth="1"/>
    <col min="5899" max="5910" width="10.73046875" style="888" customWidth="1"/>
    <col min="5911" max="5911" width="12.73046875" style="888" customWidth="1"/>
    <col min="5912" max="5912" width="12.3984375" style="888" customWidth="1"/>
    <col min="5913" max="5917" width="10.73046875" style="888" customWidth="1"/>
    <col min="5918" max="5918" width="16.73046875" style="888" customWidth="1"/>
    <col min="5919" max="6152" width="9.1328125" style="888"/>
    <col min="6153" max="6153" width="2" style="888" customWidth="1"/>
    <col min="6154" max="6154" width="23.265625" style="888" customWidth="1"/>
    <col min="6155" max="6166" width="10.73046875" style="888" customWidth="1"/>
    <col min="6167" max="6167" width="12.73046875" style="888" customWidth="1"/>
    <col min="6168" max="6168" width="12.3984375" style="888" customWidth="1"/>
    <col min="6169" max="6173" width="10.73046875" style="888" customWidth="1"/>
    <col min="6174" max="6174" width="16.73046875" style="888" customWidth="1"/>
    <col min="6175" max="6408" width="9.1328125" style="888"/>
    <col min="6409" max="6409" width="2" style="888" customWidth="1"/>
    <col min="6410" max="6410" width="23.265625" style="888" customWidth="1"/>
    <col min="6411" max="6422" width="10.73046875" style="888" customWidth="1"/>
    <col min="6423" max="6423" width="12.73046875" style="888" customWidth="1"/>
    <col min="6424" max="6424" width="12.3984375" style="888" customWidth="1"/>
    <col min="6425" max="6429" width="10.73046875" style="888" customWidth="1"/>
    <col min="6430" max="6430" width="16.73046875" style="888" customWidth="1"/>
    <col min="6431" max="6664" width="9.1328125" style="888"/>
    <col min="6665" max="6665" width="2" style="888" customWidth="1"/>
    <col min="6666" max="6666" width="23.265625" style="888" customWidth="1"/>
    <col min="6667" max="6678" width="10.73046875" style="888" customWidth="1"/>
    <col min="6679" max="6679" width="12.73046875" style="888" customWidth="1"/>
    <col min="6680" max="6680" width="12.3984375" style="888" customWidth="1"/>
    <col min="6681" max="6685" width="10.73046875" style="888" customWidth="1"/>
    <col min="6686" max="6686" width="16.73046875" style="888" customWidth="1"/>
    <col min="6687" max="6920" width="9.1328125" style="888"/>
    <col min="6921" max="6921" width="2" style="888" customWidth="1"/>
    <col min="6922" max="6922" width="23.265625" style="888" customWidth="1"/>
    <col min="6923" max="6934" width="10.73046875" style="888" customWidth="1"/>
    <col min="6935" max="6935" width="12.73046875" style="888" customWidth="1"/>
    <col min="6936" max="6936" width="12.3984375" style="888" customWidth="1"/>
    <col min="6937" max="6941" width="10.73046875" style="888" customWidth="1"/>
    <col min="6942" max="6942" width="16.73046875" style="888" customWidth="1"/>
    <col min="6943" max="7176" width="9.1328125" style="888"/>
    <col min="7177" max="7177" width="2" style="888" customWidth="1"/>
    <col min="7178" max="7178" width="23.265625" style="888" customWidth="1"/>
    <col min="7179" max="7190" width="10.73046875" style="888" customWidth="1"/>
    <col min="7191" max="7191" width="12.73046875" style="888" customWidth="1"/>
    <col min="7192" max="7192" width="12.3984375" style="888" customWidth="1"/>
    <col min="7193" max="7197" width="10.73046875" style="888" customWidth="1"/>
    <col min="7198" max="7198" width="16.73046875" style="888" customWidth="1"/>
    <col min="7199" max="7432" width="9.1328125" style="888"/>
    <col min="7433" max="7433" width="2" style="888" customWidth="1"/>
    <col min="7434" max="7434" width="23.265625" style="888" customWidth="1"/>
    <col min="7435" max="7446" width="10.73046875" style="888" customWidth="1"/>
    <col min="7447" max="7447" width="12.73046875" style="888" customWidth="1"/>
    <col min="7448" max="7448" width="12.3984375" style="888" customWidth="1"/>
    <col min="7449" max="7453" width="10.73046875" style="888" customWidth="1"/>
    <col min="7454" max="7454" width="16.73046875" style="888" customWidth="1"/>
    <col min="7455" max="7688" width="9.1328125" style="888"/>
    <col min="7689" max="7689" width="2" style="888" customWidth="1"/>
    <col min="7690" max="7690" width="23.265625" style="888" customWidth="1"/>
    <col min="7691" max="7702" width="10.73046875" style="888" customWidth="1"/>
    <col min="7703" max="7703" width="12.73046875" style="888" customWidth="1"/>
    <col min="7704" max="7704" width="12.3984375" style="888" customWidth="1"/>
    <col min="7705" max="7709" width="10.73046875" style="888" customWidth="1"/>
    <col min="7710" max="7710" width="16.73046875" style="888" customWidth="1"/>
    <col min="7711" max="7944" width="9.1328125" style="888"/>
    <col min="7945" max="7945" width="2" style="888" customWidth="1"/>
    <col min="7946" max="7946" width="23.265625" style="888" customWidth="1"/>
    <col min="7947" max="7958" width="10.73046875" style="888" customWidth="1"/>
    <col min="7959" max="7959" width="12.73046875" style="888" customWidth="1"/>
    <col min="7960" max="7960" width="12.3984375" style="888" customWidth="1"/>
    <col min="7961" max="7965" width="10.73046875" style="888" customWidth="1"/>
    <col min="7966" max="7966" width="16.73046875" style="888" customWidth="1"/>
    <col min="7967" max="8200" width="9.1328125" style="888"/>
    <col min="8201" max="8201" width="2" style="888" customWidth="1"/>
    <col min="8202" max="8202" width="23.265625" style="888" customWidth="1"/>
    <col min="8203" max="8214" width="10.73046875" style="888" customWidth="1"/>
    <col min="8215" max="8215" width="12.73046875" style="888" customWidth="1"/>
    <col min="8216" max="8216" width="12.3984375" style="888" customWidth="1"/>
    <col min="8217" max="8221" width="10.73046875" style="888" customWidth="1"/>
    <col min="8222" max="8222" width="16.73046875" style="888" customWidth="1"/>
    <col min="8223" max="8456" width="9.1328125" style="888"/>
    <col min="8457" max="8457" width="2" style="888" customWidth="1"/>
    <col min="8458" max="8458" width="23.265625" style="888" customWidth="1"/>
    <col min="8459" max="8470" width="10.73046875" style="888" customWidth="1"/>
    <col min="8471" max="8471" width="12.73046875" style="888" customWidth="1"/>
    <col min="8472" max="8472" width="12.3984375" style="888" customWidth="1"/>
    <col min="8473" max="8477" width="10.73046875" style="888" customWidth="1"/>
    <col min="8478" max="8478" width="16.73046875" style="888" customWidth="1"/>
    <col min="8479" max="8712" width="9.1328125" style="888"/>
    <col min="8713" max="8713" width="2" style="888" customWidth="1"/>
    <col min="8714" max="8714" width="23.265625" style="888" customWidth="1"/>
    <col min="8715" max="8726" width="10.73046875" style="888" customWidth="1"/>
    <col min="8727" max="8727" width="12.73046875" style="888" customWidth="1"/>
    <col min="8728" max="8728" width="12.3984375" style="888" customWidth="1"/>
    <col min="8729" max="8733" width="10.73046875" style="888" customWidth="1"/>
    <col min="8734" max="8734" width="16.73046875" style="888" customWidth="1"/>
    <col min="8735" max="8968" width="9.1328125" style="888"/>
    <col min="8969" max="8969" width="2" style="888" customWidth="1"/>
    <col min="8970" max="8970" width="23.265625" style="888" customWidth="1"/>
    <col min="8971" max="8982" width="10.73046875" style="888" customWidth="1"/>
    <col min="8983" max="8983" width="12.73046875" style="888" customWidth="1"/>
    <col min="8984" max="8984" width="12.3984375" style="888" customWidth="1"/>
    <col min="8985" max="8989" width="10.73046875" style="888" customWidth="1"/>
    <col min="8990" max="8990" width="16.73046875" style="888" customWidth="1"/>
    <col min="8991" max="9224" width="9.1328125" style="888"/>
    <col min="9225" max="9225" width="2" style="888" customWidth="1"/>
    <col min="9226" max="9226" width="23.265625" style="888" customWidth="1"/>
    <col min="9227" max="9238" width="10.73046875" style="888" customWidth="1"/>
    <col min="9239" max="9239" width="12.73046875" style="888" customWidth="1"/>
    <col min="9240" max="9240" width="12.3984375" style="888" customWidth="1"/>
    <col min="9241" max="9245" width="10.73046875" style="888" customWidth="1"/>
    <col min="9246" max="9246" width="16.73046875" style="888" customWidth="1"/>
    <col min="9247" max="9480" width="9.1328125" style="888"/>
    <col min="9481" max="9481" width="2" style="888" customWidth="1"/>
    <col min="9482" max="9482" width="23.265625" style="888" customWidth="1"/>
    <col min="9483" max="9494" width="10.73046875" style="888" customWidth="1"/>
    <col min="9495" max="9495" width="12.73046875" style="888" customWidth="1"/>
    <col min="9496" max="9496" width="12.3984375" style="888" customWidth="1"/>
    <col min="9497" max="9501" width="10.73046875" style="888" customWidth="1"/>
    <col min="9502" max="9502" width="16.73046875" style="888" customWidth="1"/>
    <col min="9503" max="9736" width="9.1328125" style="888"/>
    <col min="9737" max="9737" width="2" style="888" customWidth="1"/>
    <col min="9738" max="9738" width="23.265625" style="888" customWidth="1"/>
    <col min="9739" max="9750" width="10.73046875" style="888" customWidth="1"/>
    <col min="9751" max="9751" width="12.73046875" style="888" customWidth="1"/>
    <col min="9752" max="9752" width="12.3984375" style="888" customWidth="1"/>
    <col min="9753" max="9757" width="10.73046875" style="888" customWidth="1"/>
    <col min="9758" max="9758" width="16.73046875" style="888" customWidth="1"/>
    <col min="9759" max="9992" width="9.1328125" style="888"/>
    <col min="9993" max="9993" width="2" style="888" customWidth="1"/>
    <col min="9994" max="9994" width="23.265625" style="888" customWidth="1"/>
    <col min="9995" max="10006" width="10.73046875" style="888" customWidth="1"/>
    <col min="10007" max="10007" width="12.73046875" style="888" customWidth="1"/>
    <col min="10008" max="10008" width="12.3984375" style="888" customWidth="1"/>
    <col min="10009" max="10013" width="10.73046875" style="888" customWidth="1"/>
    <col min="10014" max="10014" width="16.73046875" style="888" customWidth="1"/>
    <col min="10015" max="10248" width="9.1328125" style="888"/>
    <col min="10249" max="10249" width="2" style="888" customWidth="1"/>
    <col min="10250" max="10250" width="23.265625" style="888" customWidth="1"/>
    <col min="10251" max="10262" width="10.73046875" style="888" customWidth="1"/>
    <col min="10263" max="10263" width="12.73046875" style="888" customWidth="1"/>
    <col min="10264" max="10264" width="12.3984375" style="888" customWidth="1"/>
    <col min="10265" max="10269" width="10.73046875" style="888" customWidth="1"/>
    <col min="10270" max="10270" width="16.73046875" style="888" customWidth="1"/>
    <col min="10271" max="10504" width="9.1328125" style="888"/>
    <col min="10505" max="10505" width="2" style="888" customWidth="1"/>
    <col min="10506" max="10506" width="23.265625" style="888" customWidth="1"/>
    <col min="10507" max="10518" width="10.73046875" style="888" customWidth="1"/>
    <col min="10519" max="10519" width="12.73046875" style="888" customWidth="1"/>
    <col min="10520" max="10520" width="12.3984375" style="888" customWidth="1"/>
    <col min="10521" max="10525" width="10.73046875" style="888" customWidth="1"/>
    <col min="10526" max="10526" width="16.73046875" style="888" customWidth="1"/>
    <col min="10527" max="10760" width="9.1328125" style="888"/>
    <col min="10761" max="10761" width="2" style="888" customWidth="1"/>
    <col min="10762" max="10762" width="23.265625" style="888" customWidth="1"/>
    <col min="10763" max="10774" width="10.73046875" style="888" customWidth="1"/>
    <col min="10775" max="10775" width="12.73046875" style="888" customWidth="1"/>
    <col min="10776" max="10776" width="12.3984375" style="888" customWidth="1"/>
    <col min="10777" max="10781" width="10.73046875" style="888" customWidth="1"/>
    <col min="10782" max="10782" width="16.73046875" style="888" customWidth="1"/>
    <col min="10783" max="11016" width="9.1328125" style="888"/>
    <col min="11017" max="11017" width="2" style="888" customWidth="1"/>
    <col min="11018" max="11018" width="23.265625" style="888" customWidth="1"/>
    <col min="11019" max="11030" width="10.73046875" style="888" customWidth="1"/>
    <col min="11031" max="11031" width="12.73046875" style="888" customWidth="1"/>
    <col min="11032" max="11032" width="12.3984375" style="888" customWidth="1"/>
    <col min="11033" max="11037" width="10.73046875" style="888" customWidth="1"/>
    <col min="11038" max="11038" width="16.73046875" style="888" customWidth="1"/>
    <col min="11039" max="11272" width="9.1328125" style="888"/>
    <col min="11273" max="11273" width="2" style="888" customWidth="1"/>
    <col min="11274" max="11274" width="23.265625" style="888" customWidth="1"/>
    <col min="11275" max="11286" width="10.73046875" style="888" customWidth="1"/>
    <col min="11287" max="11287" width="12.73046875" style="888" customWidth="1"/>
    <col min="11288" max="11288" width="12.3984375" style="888" customWidth="1"/>
    <col min="11289" max="11293" width="10.73046875" style="888" customWidth="1"/>
    <col min="11294" max="11294" width="16.73046875" style="888" customWidth="1"/>
    <col min="11295" max="11528" width="9.1328125" style="888"/>
    <col min="11529" max="11529" width="2" style="888" customWidth="1"/>
    <col min="11530" max="11530" width="23.265625" style="888" customWidth="1"/>
    <col min="11531" max="11542" width="10.73046875" style="888" customWidth="1"/>
    <col min="11543" max="11543" width="12.73046875" style="888" customWidth="1"/>
    <col min="11544" max="11544" width="12.3984375" style="888" customWidth="1"/>
    <col min="11545" max="11549" width="10.73046875" style="888" customWidth="1"/>
    <col min="11550" max="11550" width="16.73046875" style="888" customWidth="1"/>
    <col min="11551" max="11784" width="9.1328125" style="888"/>
    <col min="11785" max="11785" width="2" style="888" customWidth="1"/>
    <col min="11786" max="11786" width="23.265625" style="888" customWidth="1"/>
    <col min="11787" max="11798" width="10.73046875" style="888" customWidth="1"/>
    <col min="11799" max="11799" width="12.73046875" style="888" customWidth="1"/>
    <col min="11800" max="11800" width="12.3984375" style="888" customWidth="1"/>
    <col min="11801" max="11805" width="10.73046875" style="888" customWidth="1"/>
    <col min="11806" max="11806" width="16.73046875" style="888" customWidth="1"/>
    <col min="11807" max="12040" width="9.1328125" style="888"/>
    <col min="12041" max="12041" width="2" style="888" customWidth="1"/>
    <col min="12042" max="12042" width="23.265625" style="888" customWidth="1"/>
    <col min="12043" max="12054" width="10.73046875" style="888" customWidth="1"/>
    <col min="12055" max="12055" width="12.73046875" style="888" customWidth="1"/>
    <col min="12056" max="12056" width="12.3984375" style="888" customWidth="1"/>
    <col min="12057" max="12061" width="10.73046875" style="888" customWidth="1"/>
    <col min="12062" max="12062" width="16.73046875" style="888" customWidth="1"/>
    <col min="12063" max="12296" width="9.1328125" style="888"/>
    <col min="12297" max="12297" width="2" style="888" customWidth="1"/>
    <col min="12298" max="12298" width="23.265625" style="888" customWidth="1"/>
    <col min="12299" max="12310" width="10.73046875" style="888" customWidth="1"/>
    <col min="12311" max="12311" width="12.73046875" style="888" customWidth="1"/>
    <col min="12312" max="12312" width="12.3984375" style="888" customWidth="1"/>
    <col min="12313" max="12317" width="10.73046875" style="888" customWidth="1"/>
    <col min="12318" max="12318" width="16.73046875" style="888" customWidth="1"/>
    <col min="12319" max="12552" width="9.1328125" style="888"/>
    <col min="12553" max="12553" width="2" style="888" customWidth="1"/>
    <col min="12554" max="12554" width="23.265625" style="888" customWidth="1"/>
    <col min="12555" max="12566" width="10.73046875" style="888" customWidth="1"/>
    <col min="12567" max="12567" width="12.73046875" style="888" customWidth="1"/>
    <col min="12568" max="12568" width="12.3984375" style="888" customWidth="1"/>
    <col min="12569" max="12573" width="10.73046875" style="888" customWidth="1"/>
    <col min="12574" max="12574" width="16.73046875" style="888" customWidth="1"/>
    <col min="12575" max="12808" width="9.1328125" style="888"/>
    <col min="12809" max="12809" width="2" style="888" customWidth="1"/>
    <col min="12810" max="12810" width="23.265625" style="888" customWidth="1"/>
    <col min="12811" max="12822" width="10.73046875" style="888" customWidth="1"/>
    <col min="12823" max="12823" width="12.73046875" style="888" customWidth="1"/>
    <col min="12824" max="12824" width="12.3984375" style="888" customWidth="1"/>
    <col min="12825" max="12829" width="10.73046875" style="888" customWidth="1"/>
    <col min="12830" max="12830" width="16.73046875" style="888" customWidth="1"/>
    <col min="12831" max="13064" width="9.1328125" style="888"/>
    <col min="13065" max="13065" width="2" style="888" customWidth="1"/>
    <col min="13066" max="13066" width="23.265625" style="888" customWidth="1"/>
    <col min="13067" max="13078" width="10.73046875" style="888" customWidth="1"/>
    <col min="13079" max="13079" width="12.73046875" style="888" customWidth="1"/>
    <col min="13080" max="13080" width="12.3984375" style="888" customWidth="1"/>
    <col min="13081" max="13085" width="10.73046875" style="888" customWidth="1"/>
    <col min="13086" max="13086" width="16.73046875" style="888" customWidth="1"/>
    <col min="13087" max="13320" width="9.1328125" style="888"/>
    <col min="13321" max="13321" width="2" style="888" customWidth="1"/>
    <col min="13322" max="13322" width="23.265625" style="888" customWidth="1"/>
    <col min="13323" max="13334" width="10.73046875" style="888" customWidth="1"/>
    <col min="13335" max="13335" width="12.73046875" style="888" customWidth="1"/>
    <col min="13336" max="13336" width="12.3984375" style="888" customWidth="1"/>
    <col min="13337" max="13341" width="10.73046875" style="888" customWidth="1"/>
    <col min="13342" max="13342" width="16.73046875" style="888" customWidth="1"/>
    <col min="13343" max="13576" width="9.1328125" style="888"/>
    <col min="13577" max="13577" width="2" style="888" customWidth="1"/>
    <col min="13578" max="13578" width="23.265625" style="888" customWidth="1"/>
    <col min="13579" max="13590" width="10.73046875" style="888" customWidth="1"/>
    <col min="13591" max="13591" width="12.73046875" style="888" customWidth="1"/>
    <col min="13592" max="13592" width="12.3984375" style="888" customWidth="1"/>
    <col min="13593" max="13597" width="10.73046875" style="888" customWidth="1"/>
    <col min="13598" max="13598" width="16.73046875" style="888" customWidth="1"/>
    <col min="13599" max="13832" width="9.1328125" style="888"/>
    <col min="13833" max="13833" width="2" style="888" customWidth="1"/>
    <col min="13834" max="13834" width="23.265625" style="888" customWidth="1"/>
    <col min="13835" max="13846" width="10.73046875" style="888" customWidth="1"/>
    <col min="13847" max="13847" width="12.73046875" style="888" customWidth="1"/>
    <col min="13848" max="13848" width="12.3984375" style="888" customWidth="1"/>
    <col min="13849" max="13853" width="10.73046875" style="888" customWidth="1"/>
    <col min="13854" max="13854" width="16.73046875" style="888" customWidth="1"/>
    <col min="13855" max="14088" width="9.1328125" style="888"/>
    <col min="14089" max="14089" width="2" style="888" customWidth="1"/>
    <col min="14090" max="14090" width="23.265625" style="888" customWidth="1"/>
    <col min="14091" max="14102" width="10.73046875" style="888" customWidth="1"/>
    <col min="14103" max="14103" width="12.73046875" style="888" customWidth="1"/>
    <col min="14104" max="14104" width="12.3984375" style="888" customWidth="1"/>
    <col min="14105" max="14109" width="10.73046875" style="888" customWidth="1"/>
    <col min="14110" max="14110" width="16.73046875" style="888" customWidth="1"/>
    <col min="14111" max="14344" width="9.1328125" style="888"/>
    <col min="14345" max="14345" width="2" style="888" customWidth="1"/>
    <col min="14346" max="14346" width="23.265625" style="888" customWidth="1"/>
    <col min="14347" max="14358" width="10.73046875" style="888" customWidth="1"/>
    <col min="14359" max="14359" width="12.73046875" style="888" customWidth="1"/>
    <col min="14360" max="14360" width="12.3984375" style="888" customWidth="1"/>
    <col min="14361" max="14365" width="10.73046875" style="888" customWidth="1"/>
    <col min="14366" max="14366" width="16.73046875" style="888" customWidth="1"/>
    <col min="14367" max="14600" width="9.1328125" style="888"/>
    <col min="14601" max="14601" width="2" style="888" customWidth="1"/>
    <col min="14602" max="14602" width="23.265625" style="888" customWidth="1"/>
    <col min="14603" max="14614" width="10.73046875" style="888" customWidth="1"/>
    <col min="14615" max="14615" width="12.73046875" style="888" customWidth="1"/>
    <col min="14616" max="14616" width="12.3984375" style="888" customWidth="1"/>
    <col min="14617" max="14621" width="10.73046875" style="888" customWidth="1"/>
    <col min="14622" max="14622" width="16.73046875" style="888" customWidth="1"/>
    <col min="14623" max="14856" width="9.1328125" style="888"/>
    <col min="14857" max="14857" width="2" style="888" customWidth="1"/>
    <col min="14858" max="14858" width="23.265625" style="888" customWidth="1"/>
    <col min="14859" max="14870" width="10.73046875" style="888" customWidth="1"/>
    <col min="14871" max="14871" width="12.73046875" style="888" customWidth="1"/>
    <col min="14872" max="14872" width="12.3984375" style="888" customWidth="1"/>
    <col min="14873" max="14877" width="10.73046875" style="888" customWidth="1"/>
    <col min="14878" max="14878" width="16.73046875" style="888" customWidth="1"/>
    <col min="14879" max="15112" width="9.1328125" style="888"/>
    <col min="15113" max="15113" width="2" style="888" customWidth="1"/>
    <col min="15114" max="15114" width="23.265625" style="888" customWidth="1"/>
    <col min="15115" max="15126" width="10.73046875" style="888" customWidth="1"/>
    <col min="15127" max="15127" width="12.73046875" style="888" customWidth="1"/>
    <col min="15128" max="15128" width="12.3984375" style="888" customWidth="1"/>
    <col min="15129" max="15133" width="10.73046875" style="888" customWidth="1"/>
    <col min="15134" max="15134" width="16.73046875" style="888" customWidth="1"/>
    <col min="15135" max="15368" width="9.1328125" style="888"/>
    <col min="15369" max="15369" width="2" style="888" customWidth="1"/>
    <col min="15370" max="15370" width="23.265625" style="888" customWidth="1"/>
    <col min="15371" max="15382" width="10.73046875" style="888" customWidth="1"/>
    <col min="15383" max="15383" width="12.73046875" style="888" customWidth="1"/>
    <col min="15384" max="15384" width="12.3984375" style="888" customWidth="1"/>
    <col min="15385" max="15389" width="10.73046875" style="888" customWidth="1"/>
    <col min="15390" max="15390" width="16.73046875" style="888" customWidth="1"/>
    <col min="15391" max="15624" width="9.1328125" style="888"/>
    <col min="15625" max="15625" width="2" style="888" customWidth="1"/>
    <col min="15626" max="15626" width="23.265625" style="888" customWidth="1"/>
    <col min="15627" max="15638" width="10.73046875" style="888" customWidth="1"/>
    <col min="15639" max="15639" width="12.73046875" style="888" customWidth="1"/>
    <col min="15640" max="15640" width="12.3984375" style="888" customWidth="1"/>
    <col min="15641" max="15645" width="10.73046875" style="888" customWidth="1"/>
    <col min="15646" max="15646" width="16.73046875" style="888" customWidth="1"/>
    <col min="15647" max="15880" width="9.1328125" style="888"/>
    <col min="15881" max="15881" width="2" style="888" customWidth="1"/>
    <col min="15882" max="15882" width="23.265625" style="888" customWidth="1"/>
    <col min="15883" max="15894" width="10.73046875" style="888" customWidth="1"/>
    <col min="15895" max="15895" width="12.73046875" style="888" customWidth="1"/>
    <col min="15896" max="15896" width="12.3984375" style="888" customWidth="1"/>
    <col min="15897" max="15901" width="10.73046875" style="888" customWidth="1"/>
    <col min="15902" max="15902" width="16.73046875" style="888" customWidth="1"/>
    <col min="15903" max="16136" width="9.1328125" style="888"/>
    <col min="16137" max="16137" width="2" style="888" customWidth="1"/>
    <col min="16138" max="16138" width="23.265625" style="888" customWidth="1"/>
    <col min="16139" max="16150" width="10.73046875" style="888" customWidth="1"/>
    <col min="16151" max="16151" width="12.73046875" style="888" customWidth="1"/>
    <col min="16152" max="16152" width="12.3984375" style="888" customWidth="1"/>
    <col min="16153" max="16157" width="10.73046875" style="888" customWidth="1"/>
    <col min="16158" max="16158" width="16.73046875" style="888" customWidth="1"/>
    <col min="16159" max="16384" width="9.1328125" style="888"/>
  </cols>
  <sheetData>
    <row r="1" spans="2:29" x14ac:dyDescent="0.45">
      <c r="C1" s="1682"/>
    </row>
    <row r="2" spans="2:29" ht="18.75" customHeight="1" x14ac:dyDescent="0.5">
      <c r="B2" s="1676" t="s">
        <v>1642</v>
      </c>
      <c r="C2" s="1676" t="s">
        <v>1703</v>
      </c>
      <c r="D2" s="1677"/>
      <c r="E2" s="1677"/>
      <c r="F2" s="1677"/>
      <c r="G2" s="1677"/>
      <c r="H2" s="1677"/>
      <c r="I2" s="1677"/>
      <c r="J2" s="1677"/>
      <c r="K2" s="1677"/>
      <c r="L2" s="1677"/>
      <c r="M2" s="1677"/>
      <c r="N2" s="1677"/>
      <c r="O2" s="1677"/>
      <c r="P2" s="1677"/>
      <c r="Q2" s="1677"/>
      <c r="R2" s="1677"/>
      <c r="S2" s="1677"/>
      <c r="T2" s="1677"/>
      <c r="U2" s="1677"/>
      <c r="V2" s="1677"/>
      <c r="W2" s="1677"/>
      <c r="X2" s="1677"/>
      <c r="Y2" s="1677"/>
      <c r="Z2" s="1677"/>
      <c r="AA2" s="1677"/>
      <c r="AB2" s="1677"/>
      <c r="AC2" s="1677"/>
    </row>
    <row r="3" spans="2:29" s="1677" customFormat="1" ht="13.15" x14ac:dyDescent="0.4">
      <c r="B3" s="1683"/>
      <c r="C3" s="1684"/>
      <c r="D3" s="1684"/>
      <c r="E3" s="1684"/>
      <c r="F3" s="1684"/>
      <c r="G3" s="1684"/>
      <c r="H3" s="1684"/>
      <c r="J3" s="1684"/>
      <c r="K3" s="1684"/>
      <c r="L3" s="1684"/>
      <c r="M3" s="1684"/>
      <c r="N3" s="1684"/>
      <c r="O3" s="1685"/>
      <c r="P3" s="1684"/>
      <c r="Q3" s="1684"/>
      <c r="R3" s="1686"/>
      <c r="S3" s="1684"/>
      <c r="T3" s="1684"/>
      <c r="U3" s="1684"/>
      <c r="V3" s="1684"/>
      <c r="W3" s="1684"/>
      <c r="X3" s="1684"/>
      <c r="Y3" s="1684"/>
      <c r="Z3" s="1684"/>
      <c r="AA3" s="1684"/>
      <c r="AB3" s="1684"/>
      <c r="AC3" s="1684"/>
    </row>
    <row r="4" spans="2:29" ht="12.75" customHeight="1" x14ac:dyDescent="0.45">
      <c r="B4" s="2268" t="s">
        <v>1643</v>
      </c>
      <c r="C4" s="2246" t="s">
        <v>380</v>
      </c>
      <c r="D4" s="2247"/>
      <c r="E4" s="2247"/>
      <c r="F4" s="2247"/>
      <c r="G4" s="2247"/>
      <c r="H4" s="2247"/>
      <c r="I4" s="2247"/>
      <c r="J4" s="2247"/>
      <c r="K4" s="2247"/>
      <c r="L4" s="2247"/>
      <c r="M4" s="2247"/>
      <c r="N4" s="2247"/>
      <c r="O4" s="2247"/>
      <c r="P4" s="2247"/>
      <c r="Q4" s="2247"/>
      <c r="R4" s="2247"/>
      <c r="S4" s="2247"/>
      <c r="T4" s="2248"/>
      <c r="U4" s="2247"/>
      <c r="V4" s="880"/>
      <c r="W4" s="880"/>
      <c r="X4" s="882"/>
      <c r="Y4" s="882"/>
      <c r="Z4" s="1011"/>
      <c r="AA4" s="1011"/>
      <c r="AB4" s="1011"/>
      <c r="AC4" s="2258" t="s">
        <v>1636</v>
      </c>
    </row>
    <row r="5" spans="2:29" ht="15.4" x14ac:dyDescent="0.55000000000000004">
      <c r="B5" s="2269"/>
      <c r="C5" s="2252" t="s">
        <v>1644</v>
      </c>
      <c r="D5" s="2252"/>
      <c r="E5" s="2252"/>
      <c r="F5" s="2252"/>
      <c r="G5" s="2252"/>
      <c r="H5" s="2253" t="s">
        <v>1645</v>
      </c>
      <c r="I5" s="2254"/>
      <c r="J5" s="2254"/>
      <c r="K5" s="2254"/>
      <c r="L5" s="2254"/>
      <c r="M5" s="2254"/>
      <c r="N5" s="2255"/>
      <c r="O5" s="2261" t="s">
        <v>1646</v>
      </c>
      <c r="P5" s="2262"/>
      <c r="Q5" s="2262"/>
      <c r="R5" s="2262"/>
      <c r="S5" s="2262"/>
      <c r="T5" s="2262"/>
      <c r="U5" s="2263"/>
      <c r="V5" s="2253" t="s">
        <v>1894</v>
      </c>
      <c r="W5" s="2254"/>
      <c r="X5" s="2254"/>
      <c r="Y5" s="2254"/>
      <c r="Z5" s="2256" t="s">
        <v>1895</v>
      </c>
      <c r="AA5" s="2256" t="s">
        <v>1897</v>
      </c>
      <c r="AB5" s="2256" t="s">
        <v>1896</v>
      </c>
      <c r="AC5" s="2259"/>
    </row>
    <row r="6" spans="2:29" s="1680" customFormat="1" ht="39.75" customHeight="1" x14ac:dyDescent="0.45">
      <c r="B6" s="826"/>
      <c r="C6" s="827" t="s">
        <v>16</v>
      </c>
      <c r="D6" s="827" t="s">
        <v>592</v>
      </c>
      <c r="E6" s="827" t="s">
        <v>593</v>
      </c>
      <c r="F6" s="827" t="s">
        <v>350</v>
      </c>
      <c r="G6" s="827" t="s">
        <v>667</v>
      </c>
      <c r="H6" s="828" t="s">
        <v>16</v>
      </c>
      <c r="I6" s="828" t="s">
        <v>1844</v>
      </c>
      <c r="J6" s="828" t="s">
        <v>592</v>
      </c>
      <c r="K6" s="828" t="s">
        <v>593</v>
      </c>
      <c r="L6" s="828" t="s">
        <v>350</v>
      </c>
      <c r="M6" s="828" t="s">
        <v>600</v>
      </c>
      <c r="N6" s="828" t="s">
        <v>667</v>
      </c>
      <c r="O6" s="828" t="s">
        <v>623</v>
      </c>
      <c r="P6" s="828" t="s">
        <v>624</v>
      </c>
      <c r="Q6" s="828" t="s">
        <v>1647</v>
      </c>
      <c r="R6" s="828" t="s">
        <v>1648</v>
      </c>
      <c r="S6" s="828" t="s">
        <v>1893</v>
      </c>
      <c r="T6" s="1188" t="s">
        <v>1843</v>
      </c>
      <c r="U6" s="828" t="s">
        <v>667</v>
      </c>
      <c r="V6" s="828" t="s">
        <v>1658</v>
      </c>
      <c r="W6" s="828" t="s">
        <v>1713</v>
      </c>
      <c r="X6" s="828" t="s">
        <v>1709</v>
      </c>
      <c r="Y6" s="828" t="s">
        <v>667</v>
      </c>
      <c r="Z6" s="2257"/>
      <c r="AA6" s="2257"/>
      <c r="AB6" s="2257"/>
      <c r="AC6" s="2260"/>
    </row>
    <row r="7" spans="2:29" x14ac:dyDescent="0.45">
      <c r="B7" s="829" t="s">
        <v>588</v>
      </c>
      <c r="C7" s="1193" t="str">
        <f>RIGHT($C$2,4)</f>
        <v>2018</v>
      </c>
      <c r="D7" s="1194" t="str">
        <f>RIGHT($C$2,4)</f>
        <v>2018</v>
      </c>
      <c r="E7" s="1194" t="str">
        <f>RIGHT($C$2,4)</f>
        <v>2018</v>
      </c>
      <c r="F7" s="1194" t="str">
        <f>RIGHT($C$2,4)</f>
        <v>2018</v>
      </c>
      <c r="G7" s="830"/>
      <c r="H7" s="1193" t="str">
        <f t="shared" ref="H7:M7" si="0">RIGHT($C$2,4)</f>
        <v>2018</v>
      </c>
      <c r="I7" s="1194" t="str">
        <f t="shared" si="0"/>
        <v>2018</v>
      </c>
      <c r="J7" s="1194" t="str">
        <f t="shared" si="0"/>
        <v>2018</v>
      </c>
      <c r="K7" s="1194" t="str">
        <f t="shared" si="0"/>
        <v>2018</v>
      </c>
      <c r="L7" s="1194" t="str">
        <f t="shared" si="0"/>
        <v>2018</v>
      </c>
      <c r="M7" s="1194" t="str">
        <f t="shared" si="0"/>
        <v>2018</v>
      </c>
      <c r="N7" s="830"/>
      <c r="O7" s="830" t="s">
        <v>1702</v>
      </c>
      <c r="P7" s="831">
        <v>2016</v>
      </c>
      <c r="Q7" s="830">
        <v>2014</v>
      </c>
      <c r="R7" s="831" t="str">
        <f>RIGHT($C$2,4)</f>
        <v>2018</v>
      </c>
      <c r="S7" s="831" t="str">
        <f>RIGHT($C$2,4)</f>
        <v>2018</v>
      </c>
      <c r="T7" s="1191">
        <v>2018</v>
      </c>
      <c r="U7" s="832"/>
      <c r="V7" s="832">
        <v>2016</v>
      </c>
      <c r="W7" s="832">
        <v>2016</v>
      </c>
      <c r="X7" s="832">
        <v>2018</v>
      </c>
      <c r="Y7" s="832"/>
      <c r="Z7" s="1031">
        <v>2018</v>
      </c>
      <c r="AA7" s="1021">
        <v>2018</v>
      </c>
      <c r="AB7" s="1012">
        <v>2018</v>
      </c>
      <c r="AC7" s="832" t="str">
        <f>RIGHT($C$2,4)</f>
        <v>2018</v>
      </c>
    </row>
    <row r="8" spans="2:29" x14ac:dyDescent="0.45">
      <c r="B8" s="833" t="s">
        <v>528</v>
      </c>
      <c r="C8" s="834">
        <f>'01 Energy'!C8*(EF_GHG_ElectGen+EF_GHG_ElectTD)/1000000</f>
        <v>64.121954411367284</v>
      </c>
      <c r="D8" s="835">
        <f>'01 Energy'!D8*EF_GHG_NatGas_DCI/1000000</f>
        <v>136.91411875735653</v>
      </c>
      <c r="E8" s="835">
        <f>'01 Energy'!E8*EF_GHG_Coal_DCI/1000000</f>
        <v>1.998584399084639</v>
      </c>
      <c r="F8" s="835">
        <f>'01 Energy'!F8*EF_GHG_GasOil/1000000</f>
        <v>0.64723429741973248</v>
      </c>
      <c r="G8" s="837">
        <f>SUM(C8:F8)</f>
        <v>203.68189186522821</v>
      </c>
      <c r="H8" s="849">
        <f>'01 Energy'!H8*(EF_GHG_ElectGen+EF_GHG_ElectTD)/1000000</f>
        <v>96.606976739429783</v>
      </c>
      <c r="I8" s="835">
        <f>H8-R8-T8</f>
        <v>85.121984366839953</v>
      </c>
      <c r="J8" s="835">
        <f>'01 Energy'!J8*EF_GHG_NatGas_DCI/1000000</f>
        <v>37.579095018861302</v>
      </c>
      <c r="K8" s="835">
        <f>'01 Energy'!K8*EF_GHG_Coal_DCI/1000000</f>
        <v>4.9130567216558833E-2</v>
      </c>
      <c r="L8" s="850">
        <f>'01 Energy'!L8*EF_GHG_GasOil/1000000</f>
        <v>24.554446553631031</v>
      </c>
      <c r="M8" s="850">
        <f>'01 Energy'!M8*EF_GHG_W_R_IC/1000000</f>
        <v>7.5305100258958966</v>
      </c>
      <c r="N8" s="837">
        <f>SUM(I8:M8)</f>
        <v>154.83516653244476</v>
      </c>
      <c r="O8" s="850">
        <f>'Ib.Energy-Transport '!I181/1000</f>
        <v>0</v>
      </c>
      <c r="P8" s="850">
        <f>'Ib.Energy-Transport '!J181/1000</f>
        <v>4.5157400919912849</v>
      </c>
      <c r="Q8" s="850">
        <f>'Ib.Energy-Transport '!G181/1000</f>
        <v>1.5847709126825154</v>
      </c>
      <c r="R8" s="850">
        <f>'Ib.Energy-Transport '!H181/1000</f>
        <v>11.374100563545788</v>
      </c>
      <c r="S8" s="850">
        <f>'Ib.Energy-Transport '!F181/1000</f>
        <v>129.55016135895028</v>
      </c>
      <c r="T8" s="1192">
        <f>('01 Energy'!T8*EF_CO2_ElectGen_DCI)/1000</f>
        <v>0.11089180904405106</v>
      </c>
      <c r="U8" s="851">
        <f>SUM(O8:T8)</f>
        <v>147.13566473621393</v>
      </c>
      <c r="V8" s="850">
        <v>1.8907575284063902</v>
      </c>
      <c r="W8" s="850">
        <v>5.8815045610586765</v>
      </c>
      <c r="X8" s="850">
        <v>0</v>
      </c>
      <c r="Y8" s="1020">
        <f>(SUM(V8:X8))</f>
        <v>7.7722620894650669</v>
      </c>
      <c r="Z8" s="1022"/>
      <c r="AA8" s="1029"/>
      <c r="AB8" s="1354">
        <f>IV.Waste!Q102/1000</f>
        <v>13.354696650452535</v>
      </c>
      <c r="AC8" s="852">
        <f>G8+N8+U8+Y8+AB8</f>
        <v>526.77968187380441</v>
      </c>
    </row>
    <row r="9" spans="2:29" x14ac:dyDescent="0.45">
      <c r="B9" s="833" t="s">
        <v>529</v>
      </c>
      <c r="C9" s="834">
        <f>'01 Energy'!C9*(EF_GHG_ElectGen+EF_GHG_ElectTD)/1000000</f>
        <v>153.86030723485376</v>
      </c>
      <c r="D9" s="835">
        <f>'01 Energy'!D9*EF_GHG_NatGas_DCI/1000000</f>
        <v>394.21013429696404</v>
      </c>
      <c r="E9" s="835">
        <f>'01 Energy'!E9*EF_GHG_Coal_DCI/1000000</f>
        <v>1.9107521661572766</v>
      </c>
      <c r="F9" s="835">
        <f>'01 Energy'!F9*EF_GHG_GasOil/1000000</f>
        <v>2.1622659068068275</v>
      </c>
      <c r="G9" s="837">
        <f t="shared" ref="G9:G40" si="1">SUM(C9:F9)</f>
        <v>552.14345960478192</v>
      </c>
      <c r="H9" s="849">
        <f>'01 Energy'!H9*(EF_GHG_ElectGen+EF_GHG_ElectTD)/1000000</f>
        <v>126.46047806924629</v>
      </c>
      <c r="I9" s="835">
        <f t="shared" ref="I9:I40" si="2">H9-R9-T9</f>
        <v>105.79269749585315</v>
      </c>
      <c r="J9" s="835">
        <f>'01 Energy'!J9*EF_GHG_NatGas_DCI/1000000</f>
        <v>103.22277562076131</v>
      </c>
      <c r="K9" s="835">
        <f>'01 Energy'!K9*EF_GHG_Coal_DCI/1000000</f>
        <v>0.56232679685051412</v>
      </c>
      <c r="L9" s="850">
        <f>'01 Energy'!L9*EF_GHG_GasOil/1000000</f>
        <v>14.347520513559468</v>
      </c>
      <c r="M9" s="850">
        <f>'01 Energy'!M9*EF_GHG_W_R_IC/1000000</f>
        <v>7.2816823090508409</v>
      </c>
      <c r="N9" s="837">
        <f t="shared" ref="N9:N40" si="3">SUM(I9:M9)</f>
        <v>231.20700273607528</v>
      </c>
      <c r="O9" s="850">
        <f>'Ib.Energy-Transport '!I182/1000</f>
        <v>0.22288547705120199</v>
      </c>
      <c r="P9" s="850">
        <f>'Ib.Energy-Transport '!J182/1000</f>
        <v>0</v>
      </c>
      <c r="Q9" s="850">
        <f>'Ib.Energy-Transport '!G182/1000</f>
        <v>5.035270425715777</v>
      </c>
      <c r="R9" s="850">
        <f>'Ib.Energy-Transport '!H182/1000</f>
        <v>20.337079585633862</v>
      </c>
      <c r="S9" s="850">
        <f>'Ib.Energy-Transport '!F182/1000</f>
        <v>374.25131358981093</v>
      </c>
      <c r="T9" s="1192">
        <f>('01 Energy'!T9*EF_CO2_ElectGen_DCI)/1000</f>
        <v>0.33070098775928586</v>
      </c>
      <c r="U9" s="851">
        <f t="shared" ref="U9:U40" si="4">SUM(O9:T9)</f>
        <v>400.17725006597101</v>
      </c>
      <c r="V9" s="850">
        <v>2.1710253962172152</v>
      </c>
      <c r="W9" s="850">
        <v>11.626126039282338</v>
      </c>
      <c r="X9" s="850">
        <v>0</v>
      </c>
      <c r="Y9" s="1013">
        <f t="shared" ref="Y9:Y40" si="5">(SUM(V9:X9))</f>
        <v>13.797151435499554</v>
      </c>
      <c r="Z9" s="1022"/>
      <c r="AA9" s="1022"/>
      <c r="AB9" s="1354">
        <f>IV.Waste!Q103/1000</f>
        <v>0</v>
      </c>
      <c r="AC9" s="852">
        <f t="shared" ref="AC9:AC40" si="6">G9+N9+U9+Y9+AB9</f>
        <v>1197.3248638423277</v>
      </c>
    </row>
    <row r="10" spans="2:29" x14ac:dyDescent="0.45">
      <c r="B10" s="833" t="s">
        <v>530</v>
      </c>
      <c r="C10" s="834">
        <f>'01 Energy'!C10*(EF_GHG_ElectGen+EF_GHG_ElectTD)/1000000</f>
        <v>92.314130764422003</v>
      </c>
      <c r="D10" s="835">
        <f>'01 Energy'!D10*EF_GHG_NatGas_DCI/1000000</f>
        <v>222.37523142336897</v>
      </c>
      <c r="E10" s="835">
        <f>'01 Energy'!E10*EF_GHG_Coal_DCI/1000000</f>
        <v>2.3520479558485898</v>
      </c>
      <c r="F10" s="835">
        <f>'01 Energy'!F10*EF_GHG_GasOil/1000000</f>
        <v>1.512000864468779</v>
      </c>
      <c r="G10" s="837">
        <f t="shared" si="1"/>
        <v>318.55341100810836</v>
      </c>
      <c r="H10" s="849">
        <f>'01 Energy'!H10*(EF_GHG_ElectGen+EF_GHG_ElectTD)/1000000</f>
        <v>105.55560093262238</v>
      </c>
      <c r="I10" s="835">
        <f t="shared" si="2"/>
        <v>100.14442224202483</v>
      </c>
      <c r="J10" s="835">
        <f>'01 Energy'!J10*EF_GHG_NatGas_DCI/1000000</f>
        <v>129.26428064461624</v>
      </c>
      <c r="K10" s="835">
        <f>'01 Energy'!K10*EF_GHG_Coal_DCI/1000000</f>
        <v>0.17700412138775898</v>
      </c>
      <c r="L10" s="850">
        <f>'01 Energy'!L10*EF_GHG_GasOil/1000000</f>
        <v>25.603868221343237</v>
      </c>
      <c r="M10" s="850">
        <f>'01 Energy'!M10*EF_GHG_W_R_IC/1000000</f>
        <v>12.896828175884844</v>
      </c>
      <c r="N10" s="837">
        <f t="shared" si="3"/>
        <v>268.08640340525693</v>
      </c>
      <c r="O10" s="850">
        <f>'Ib.Energy-Transport '!I183/1000</f>
        <v>8.4798898434876282</v>
      </c>
      <c r="P10" s="850">
        <f>'Ib.Energy-Transport '!J183/1000</f>
        <v>2.2400520705547118</v>
      </c>
      <c r="Q10" s="850">
        <f>'Ib.Energy-Transport '!G183/1000</f>
        <v>0.81934161849361109</v>
      </c>
      <c r="R10" s="850">
        <f>'Ib.Energy-Transport '!H183/1000</f>
        <v>5.2420121376598026</v>
      </c>
      <c r="S10" s="850">
        <f>'Ib.Energy-Transport '!F183/1000</f>
        <v>183.5522161990713</v>
      </c>
      <c r="T10" s="1192">
        <f>('01 Energy'!T10*EF_CO2_ElectGen_DCI)/1000</f>
        <v>0.1691665529377476</v>
      </c>
      <c r="U10" s="851">
        <f t="shared" si="4"/>
        <v>200.50267842220481</v>
      </c>
      <c r="V10" s="850">
        <v>1.5231511077520836</v>
      </c>
      <c r="W10" s="850">
        <v>6.6184526865711319</v>
      </c>
      <c r="X10" s="850">
        <v>0</v>
      </c>
      <c r="Y10" s="1013">
        <f t="shared" si="5"/>
        <v>8.1416037943232151</v>
      </c>
      <c r="Z10" s="1022"/>
      <c r="AA10" s="1022"/>
      <c r="AB10" s="1354">
        <f>IV.Waste!Q104/1000</f>
        <v>372.27799456857178</v>
      </c>
      <c r="AC10" s="852">
        <f t="shared" si="6"/>
        <v>1167.5620911984652</v>
      </c>
    </row>
    <row r="11" spans="2:29" x14ac:dyDescent="0.45">
      <c r="B11" s="833" t="s">
        <v>531</v>
      </c>
      <c r="C11" s="834">
        <f>'01 Energy'!C11*(EF_GHG_ElectGen+EF_GHG_ElectTD)/1000000</f>
        <v>105.552697714296</v>
      </c>
      <c r="D11" s="835">
        <f>'01 Energy'!D11*EF_GHG_NatGas_DCI/1000000</f>
        <v>275.595837854085</v>
      </c>
      <c r="E11" s="835">
        <f>'01 Energy'!E11*EF_GHG_Coal_DCI/1000000</f>
        <v>1.3801960301560057</v>
      </c>
      <c r="F11" s="835">
        <f>'01 Energy'!F11*EF_GHG_GasOil/1000000</f>
        <v>1.2886839126229228</v>
      </c>
      <c r="G11" s="837">
        <f t="shared" si="1"/>
        <v>383.81741551115994</v>
      </c>
      <c r="H11" s="849">
        <f>'01 Energy'!H11*(EF_GHG_ElectGen+EF_GHG_ElectTD)/1000000</f>
        <v>196.03482442638219</v>
      </c>
      <c r="I11" s="835">
        <f t="shared" si="2"/>
        <v>170.61871044219293</v>
      </c>
      <c r="J11" s="835">
        <f>'01 Energy'!J11*EF_GHG_NatGas_DCI/1000000</f>
        <v>106.31220497890828</v>
      </c>
      <c r="K11" s="835">
        <f>'01 Energy'!K11*EF_GHG_Coal_DCI/1000000</f>
        <v>0</v>
      </c>
      <c r="L11" s="850">
        <f>'01 Energy'!L11*EF_GHG_GasOil/1000000</f>
        <v>21.720427151526035</v>
      </c>
      <c r="M11" s="850">
        <f>'01 Energy'!M11*EF_GHG_W_R_IC/1000000</f>
        <v>5.3122294234228749</v>
      </c>
      <c r="N11" s="837">
        <f t="shared" si="3"/>
        <v>303.96357199605012</v>
      </c>
      <c r="O11" s="850">
        <f>'Ib.Energy-Transport '!I184/1000</f>
        <v>0.30966722514315054</v>
      </c>
      <c r="P11" s="850">
        <f>'Ib.Energy-Transport '!J184/1000</f>
        <v>0</v>
      </c>
      <c r="Q11" s="850">
        <f>'Ib.Energy-Transport '!G184/1000</f>
        <v>8.31401559154253</v>
      </c>
      <c r="R11" s="850">
        <f>'Ib.Energy-Transport '!H184/1000</f>
        <v>25.244566227153065</v>
      </c>
      <c r="S11" s="850">
        <f>'Ib.Energy-Transport '!F184/1000</f>
        <v>202.2946970715756</v>
      </c>
      <c r="T11" s="1192">
        <f>('01 Energy'!T11*EF_CO2_ElectGen_DCI)/1000</f>
        <v>0.17154775703620007</v>
      </c>
      <c r="U11" s="851">
        <f t="shared" si="4"/>
        <v>236.33449387245054</v>
      </c>
      <c r="V11" s="850">
        <v>1.5147481495310526</v>
      </c>
      <c r="W11" s="850">
        <v>4.0098596438734804</v>
      </c>
      <c r="X11" s="850">
        <v>0</v>
      </c>
      <c r="Y11" s="1013">
        <f t="shared" si="5"/>
        <v>5.5246077934045328</v>
      </c>
      <c r="Z11" s="1022"/>
      <c r="AA11" s="1022"/>
      <c r="AB11" s="1354">
        <f>IV.Waste!Q105/1000</f>
        <v>0</v>
      </c>
      <c r="AC11" s="852">
        <f t="shared" si="6"/>
        <v>929.64008917306523</v>
      </c>
    </row>
    <row r="12" spans="2:29" x14ac:dyDescent="0.45">
      <c r="B12" s="833" t="s">
        <v>532</v>
      </c>
      <c r="C12" s="834">
        <f>'01 Energy'!C12*(EF_GHG_ElectGen+EF_GHG_ElectTD)/1000000</f>
        <v>134.95374626578527</v>
      </c>
      <c r="D12" s="835">
        <f>'01 Energy'!D12*EF_GHG_NatGas_DCI/1000000</f>
        <v>369.18811268154002</v>
      </c>
      <c r="E12" s="835">
        <f>'01 Energy'!E12*EF_GHG_Coal_DCI/1000000</f>
        <v>2.5262574557580213</v>
      </c>
      <c r="F12" s="835">
        <f>'01 Energy'!F12*EF_GHG_GasOil/1000000</f>
        <v>3.4525954176760525</v>
      </c>
      <c r="G12" s="837">
        <f t="shared" si="1"/>
        <v>510.12071182075937</v>
      </c>
      <c r="H12" s="849">
        <f>'01 Energy'!H12*(EF_GHG_ElectGen+EF_GHG_ElectTD)/1000000</f>
        <v>104.02981280632498</v>
      </c>
      <c r="I12" s="835">
        <f t="shared" si="2"/>
        <v>91.324476020591192</v>
      </c>
      <c r="J12" s="835">
        <f>'01 Energy'!J12*EF_GHG_NatGas_DCI/1000000</f>
        <v>67.709514163002311</v>
      </c>
      <c r="K12" s="835">
        <f>'01 Energy'!K12*EF_GHG_Coal_DCI/1000000</f>
        <v>2.5241142783198937E-3</v>
      </c>
      <c r="L12" s="850">
        <f>'01 Energy'!L12*EF_GHG_GasOil/1000000</f>
        <v>20.692017159636649</v>
      </c>
      <c r="M12" s="850">
        <f>'01 Energy'!M12*EF_GHG_W_R_IC/1000000</f>
        <v>9.0511823433178904</v>
      </c>
      <c r="N12" s="837">
        <f t="shared" si="3"/>
        <v>188.77971380082639</v>
      </c>
      <c r="O12" s="850">
        <f>'Ib.Energy-Transport '!I185/1000</f>
        <v>1.4108009679033793</v>
      </c>
      <c r="P12" s="850">
        <f>'Ib.Energy-Transport '!J185/1000</f>
        <v>0</v>
      </c>
      <c r="Q12" s="850">
        <f>'Ib.Energy-Transport '!G185/1000</f>
        <v>0.70939644087468323</v>
      </c>
      <c r="R12" s="850">
        <f>'Ib.Energy-Transport '!H185/1000</f>
        <v>12.472224490867088</v>
      </c>
      <c r="S12" s="850">
        <f>'Ib.Energy-Transport '!F185/1000</f>
        <v>245.7685479545685</v>
      </c>
      <c r="T12" s="1192">
        <f>('01 Energy'!T12*EF_CO2_ElectGen_DCI)/1000</f>
        <v>0.23311229486669391</v>
      </c>
      <c r="U12" s="851">
        <f t="shared" si="4"/>
        <v>260.59408214908035</v>
      </c>
      <c r="V12" s="850">
        <v>3.1557031128336432</v>
      </c>
      <c r="W12" s="850">
        <v>8.4101249008395236</v>
      </c>
      <c r="X12" s="850">
        <v>0</v>
      </c>
      <c r="Y12" s="1013">
        <f t="shared" si="5"/>
        <v>11.565828013673167</v>
      </c>
      <c r="Z12" s="1022"/>
      <c r="AA12" s="1022"/>
      <c r="AB12" s="1354">
        <f>IV.Waste!Q106/1000</f>
        <v>0</v>
      </c>
      <c r="AC12" s="852">
        <f t="shared" si="6"/>
        <v>971.06033578433926</v>
      </c>
    </row>
    <row r="13" spans="2:29" x14ac:dyDescent="0.45">
      <c r="B13" s="833" t="s">
        <v>533</v>
      </c>
      <c r="C13" s="834">
        <f>'01 Energy'!C13*(EF_GHG_ElectGen+EF_GHG_ElectTD)/1000000</f>
        <v>86.461869316819488</v>
      </c>
      <c r="D13" s="835">
        <f>'01 Energy'!D13*EF_GHG_NatGas_DCI/1000000</f>
        <v>172.18547071555591</v>
      </c>
      <c r="E13" s="835">
        <f>'01 Energy'!E13*EF_GHG_Coal_DCI/1000000</f>
        <v>0.46410760728652917</v>
      </c>
      <c r="F13" s="835">
        <f>'01 Energy'!F13*EF_GHG_GasOil/1000000</f>
        <v>2.395265507967471</v>
      </c>
      <c r="G13" s="837">
        <f t="shared" si="1"/>
        <v>261.50671314762934</v>
      </c>
      <c r="H13" s="849">
        <f>'01 Energy'!H13*(EF_GHG_ElectGen+EF_GHG_ElectTD)/1000000</f>
        <v>338.89745493617289</v>
      </c>
      <c r="I13" s="835">
        <f t="shared" si="2"/>
        <v>311.92579691480711</v>
      </c>
      <c r="J13" s="835">
        <f>'01 Energy'!J13*EF_GHG_NatGas_DCI/1000000</f>
        <v>288.57853820565896</v>
      </c>
      <c r="K13" s="835">
        <f>'01 Energy'!K13*EF_GHG_Coal_DCI/1000000</f>
        <v>4.8438737268414168E-2</v>
      </c>
      <c r="L13" s="850">
        <f>'01 Energy'!L13*EF_GHG_GasOil/1000000</f>
        <v>17.269973346219615</v>
      </c>
      <c r="M13" s="850">
        <f>'01 Energy'!M13*EF_GHG_W_R_IC/1000000</f>
        <v>1.6652496865384108</v>
      </c>
      <c r="N13" s="837">
        <f t="shared" si="3"/>
        <v>619.48799689049258</v>
      </c>
      <c r="O13" s="850">
        <f>'Ib.Energy-Transport '!I186/1000</f>
        <v>0</v>
      </c>
      <c r="P13" s="850">
        <f>'Ib.Energy-Transport '!J186/1000</f>
        <v>0</v>
      </c>
      <c r="Q13" s="850">
        <f>'Ib.Energy-Transport '!G186/1000</f>
        <v>6.5096889355733252</v>
      </c>
      <c r="R13" s="850">
        <f>'Ib.Energy-Transport '!H186/1000</f>
        <v>26.861140379099304</v>
      </c>
      <c r="S13" s="850">
        <f>'Ib.Energy-Transport '!F186/1000</f>
        <v>142.96771376845433</v>
      </c>
      <c r="T13" s="1192">
        <f>('01 Energy'!T13*EF_CO2_ElectGen_DCI)/1000</f>
        <v>0.1105176422665002</v>
      </c>
      <c r="U13" s="851">
        <f t="shared" si="4"/>
        <v>176.44906072539345</v>
      </c>
      <c r="V13" s="850">
        <v>0.50674833530790664</v>
      </c>
      <c r="W13" s="850">
        <v>2.3792119696084342</v>
      </c>
      <c r="X13" s="850">
        <v>0</v>
      </c>
      <c r="Y13" s="1013">
        <f t="shared" si="5"/>
        <v>2.8859603049163409</v>
      </c>
      <c r="Z13" s="1022"/>
      <c r="AA13" s="1022"/>
      <c r="AB13" s="1354">
        <f>IV.Waste!Q107/1000</f>
        <v>0</v>
      </c>
      <c r="AC13" s="852">
        <f t="shared" si="6"/>
        <v>1060.3297310684316</v>
      </c>
    </row>
    <row r="14" spans="2:29" x14ac:dyDescent="0.45">
      <c r="B14" s="833" t="s">
        <v>534</v>
      </c>
      <c r="C14" s="834">
        <f>'01 Energy'!C14*(EF_GHG_ElectGen+EF_GHG_ElectTD)/1000000</f>
        <v>7.1258667409327998</v>
      </c>
      <c r="D14" s="835">
        <f>'01 Energy'!D14*EF_GHG_NatGas_DCI/1000000</f>
        <v>5.097676480334191</v>
      </c>
      <c r="E14" s="835">
        <f>'01 Energy'!E14*EF_GHG_Coal_DCI/1000000</f>
        <v>1.7958004623531269E-3</v>
      </c>
      <c r="F14" s="835">
        <f>'01 Energy'!F14*EF_GHG_GasOil/1000000</f>
        <v>8.6834420911977683E-2</v>
      </c>
      <c r="G14" s="837">
        <f t="shared" si="1"/>
        <v>12.312173442641321</v>
      </c>
      <c r="H14" s="849">
        <f>'01 Energy'!H14*(EF_GHG_ElectGen+EF_GHG_ElectTD)/1000000</f>
        <v>521.58530195396781</v>
      </c>
      <c r="I14" s="835">
        <f t="shared" si="2"/>
        <v>509.97933273983017</v>
      </c>
      <c r="J14" s="835">
        <f>'01 Energy'!J14*EF_GHG_NatGas_DCI/1000000</f>
        <v>151.45963108427071</v>
      </c>
      <c r="K14" s="835">
        <f>'01 Energy'!K14*EF_GHG_Coal_DCI/1000000</f>
        <v>1.6146245756138052E-2</v>
      </c>
      <c r="L14" s="850">
        <f>'01 Energy'!L14*EF_GHG_GasOil/1000000</f>
        <v>12.785221622450491</v>
      </c>
      <c r="M14" s="850">
        <f>'01 Energy'!M14*EF_GHG_W_R_IC/1000000</f>
        <v>7.2486186891878458E-3</v>
      </c>
      <c r="N14" s="837">
        <f t="shared" si="3"/>
        <v>674.2475803109968</v>
      </c>
      <c r="O14" s="850">
        <f>'Ib.Energy-Transport '!I187/1000</f>
        <v>1.3164390608809924</v>
      </c>
      <c r="P14" s="850">
        <f>'Ib.Energy-Transport '!J187/1000</f>
        <v>5.2211087425334526</v>
      </c>
      <c r="Q14" s="850">
        <f>'Ib.Energy-Transport '!G187/1000</f>
        <v>0</v>
      </c>
      <c r="R14" s="850">
        <f>'Ib.Energy-Transport '!H187/1000</f>
        <v>11.563753300046494</v>
      </c>
      <c r="S14" s="850">
        <f>'Ib.Energy-Transport '!F187/1000</f>
        <v>47.592189628871104</v>
      </c>
      <c r="T14" s="1192">
        <f>('01 Energy'!T14*EF_CO2_ElectGen_DCI)/1000</f>
        <v>4.2215914091200027E-2</v>
      </c>
      <c r="U14" s="851">
        <f t="shared" si="4"/>
        <v>65.735706646423239</v>
      </c>
      <c r="V14" s="850">
        <v>2.9460666361421185E-2</v>
      </c>
      <c r="W14" s="850">
        <v>0.78095852032537139</v>
      </c>
      <c r="X14" s="850">
        <v>0</v>
      </c>
      <c r="Y14" s="1013">
        <f t="shared" si="5"/>
        <v>0.81041918668679258</v>
      </c>
      <c r="Z14" s="1022"/>
      <c r="AA14" s="1022"/>
      <c r="AB14" s="1354">
        <f>IV.Waste!Q108/1000</f>
        <v>0</v>
      </c>
      <c r="AC14" s="852">
        <f t="shared" si="6"/>
        <v>753.10587958674807</v>
      </c>
    </row>
    <row r="15" spans="2:29" x14ac:dyDescent="0.45">
      <c r="B15" s="833" t="s">
        <v>535</v>
      </c>
      <c r="C15" s="834">
        <f>'01 Energy'!C15*(EF_GHG_ElectGen+EF_GHG_ElectTD)/1000000</f>
        <v>141.93772154046377</v>
      </c>
      <c r="D15" s="835">
        <f>'01 Energy'!D15*EF_GHG_NatGas_DCI/1000000</f>
        <v>372.12147630947703</v>
      </c>
      <c r="E15" s="835">
        <f>'01 Energy'!E15*EF_GHG_Coal_DCI/1000000</f>
        <v>3.1780574655551437</v>
      </c>
      <c r="F15" s="835">
        <f>'01 Energy'!F15*EF_GHG_GasOil/1000000</f>
        <v>2.2154105691438399</v>
      </c>
      <c r="G15" s="837">
        <f t="shared" si="1"/>
        <v>519.45266588463983</v>
      </c>
      <c r="H15" s="849">
        <f>'01 Energy'!H15*(EF_GHG_ElectGen+EF_GHG_ElectTD)/1000000</f>
        <v>164.18035163179997</v>
      </c>
      <c r="I15" s="835">
        <f t="shared" si="2"/>
        <v>148.67476929437092</v>
      </c>
      <c r="J15" s="835">
        <f>'01 Energy'!J15*EF_GHG_NatGas_DCI/1000000</f>
        <v>86.856380105622293</v>
      </c>
      <c r="K15" s="835">
        <f>'01 Energy'!K15*EF_GHG_Coal_DCI/1000000</f>
        <v>7.8425281701644006E-2</v>
      </c>
      <c r="L15" s="850">
        <f>'01 Energy'!L15*EF_GHG_GasOil/1000000</f>
        <v>9.0777196109449054</v>
      </c>
      <c r="M15" s="850">
        <f>'01 Energy'!M15*EF_GHG_W_R_IC/1000000</f>
        <v>11.892084316228306</v>
      </c>
      <c r="N15" s="837">
        <f t="shared" si="3"/>
        <v>256.57937860886807</v>
      </c>
      <c r="O15" s="850">
        <f>'Ib.Energy-Transport '!I188/1000</f>
        <v>0.28298495025156001</v>
      </c>
      <c r="P15" s="850">
        <f>'Ib.Energy-Transport '!J188/1000</f>
        <v>0</v>
      </c>
      <c r="Q15" s="850">
        <f>'Ib.Energy-Transport '!G188/1000</f>
        <v>1.2629972780207563</v>
      </c>
      <c r="R15" s="850">
        <f>'Ib.Energy-Transport '!H188/1000</f>
        <v>15.308463253623264</v>
      </c>
      <c r="S15" s="850">
        <f>'Ib.Energy-Transport '!F188/1000</f>
        <v>227.72190595148112</v>
      </c>
      <c r="T15" s="1192">
        <f>('01 Energy'!T15*EF_CO2_ElectGen_DCI)/1000</f>
        <v>0.19711908380578533</v>
      </c>
      <c r="U15" s="851">
        <f t="shared" si="4"/>
        <v>244.77347051718249</v>
      </c>
      <c r="V15" s="850">
        <v>0.77815636363940288</v>
      </c>
      <c r="W15" s="850">
        <v>5.2973913728068407</v>
      </c>
      <c r="X15" s="850">
        <v>0</v>
      </c>
      <c r="Y15" s="1013">
        <f t="shared" si="5"/>
        <v>6.0755477364462438</v>
      </c>
      <c r="Z15" s="1022"/>
      <c r="AA15" s="1022"/>
      <c r="AB15" s="1354">
        <f>IV.Waste!Q109/1000</f>
        <v>0</v>
      </c>
      <c r="AC15" s="852">
        <f t="shared" si="6"/>
        <v>1026.8810627471366</v>
      </c>
    </row>
    <row r="16" spans="2:29" x14ac:dyDescent="0.45">
      <c r="B16" s="833" t="s">
        <v>536</v>
      </c>
      <c r="C16" s="834">
        <f>'01 Energy'!C16*(EF_GHG_ElectGen+EF_GHG_ElectTD)/1000000</f>
        <v>118.3067477827116</v>
      </c>
      <c r="D16" s="835">
        <f>'01 Energy'!D16*EF_GHG_NatGas_DCI/1000000</f>
        <v>301.949062971525</v>
      </c>
      <c r="E16" s="835">
        <f>'01 Energy'!E16*EF_GHG_Coal_DCI/1000000</f>
        <v>2.1555140777761377</v>
      </c>
      <c r="F16" s="835">
        <f>'01 Energy'!F16*EF_GHG_GasOil/1000000</f>
        <v>1.6244427937818491</v>
      </c>
      <c r="G16" s="837">
        <f t="shared" si="1"/>
        <v>424.03576762579456</v>
      </c>
      <c r="H16" s="849">
        <f>'01 Energy'!H16*(EF_GHG_ElectGen+EF_GHG_ElectTD)/1000000</f>
        <v>223.90137015811388</v>
      </c>
      <c r="I16" s="835">
        <f t="shared" si="2"/>
        <v>207.96093483488659</v>
      </c>
      <c r="J16" s="835">
        <f>'01 Energy'!J16*EF_GHG_NatGas_DCI/1000000</f>
        <v>132.09775539651272</v>
      </c>
      <c r="K16" s="835">
        <f>'01 Energy'!K16*EF_GHG_Coal_DCI/1000000</f>
        <v>0.18409142951269422</v>
      </c>
      <c r="L16" s="850">
        <f>'01 Energy'!L16*EF_GHG_GasOil/1000000</f>
        <v>25.561260128029812</v>
      </c>
      <c r="M16" s="850">
        <f>'01 Energy'!M16*EF_GHG_W_R_IC/1000000</f>
        <v>7.9628419114181002</v>
      </c>
      <c r="N16" s="837">
        <f t="shared" si="3"/>
        <v>373.76688370035987</v>
      </c>
      <c r="O16" s="850">
        <f>'Ib.Energy-Transport '!I189/1000</f>
        <v>0.14923179478034235</v>
      </c>
      <c r="P16" s="850">
        <f>'Ib.Energy-Transport '!J189/1000</f>
        <v>0</v>
      </c>
      <c r="Q16" s="850">
        <f>'Ib.Energy-Transport '!G189/1000</f>
        <v>13.428689297420577</v>
      </c>
      <c r="R16" s="850">
        <f>'Ib.Energy-Transport '!H189/1000</f>
        <v>15.704076426843031</v>
      </c>
      <c r="S16" s="850">
        <f>'Ib.Energy-Transport '!F189/1000</f>
        <v>271.31336582809934</v>
      </c>
      <c r="T16" s="1192">
        <f>('01 Energy'!T16*EF_CO2_ElectGen_DCI)/1000</f>
        <v>0.23635889638428023</v>
      </c>
      <c r="U16" s="851">
        <f t="shared" si="4"/>
        <v>300.83172224352757</v>
      </c>
      <c r="V16" s="850">
        <v>4.6886041499688753</v>
      </c>
      <c r="W16" s="850">
        <v>5.6593823812314303</v>
      </c>
      <c r="X16" s="850">
        <v>0</v>
      </c>
      <c r="Y16" s="1013">
        <f t="shared" si="5"/>
        <v>10.347986531200306</v>
      </c>
      <c r="Z16" s="1022"/>
      <c r="AA16" s="1022"/>
      <c r="AB16" s="1354">
        <f>IV.Waste!Q110/1000</f>
        <v>0</v>
      </c>
      <c r="AC16" s="852">
        <f t="shared" si="6"/>
        <v>1108.9823601008823</v>
      </c>
    </row>
    <row r="17" spans="2:29" x14ac:dyDescent="0.45">
      <c r="B17" s="833" t="s">
        <v>537</v>
      </c>
      <c r="C17" s="834">
        <f>'01 Energy'!C17*(EF_GHG_ElectGen+EF_GHG_ElectTD)/1000000</f>
        <v>120.34933484714628</v>
      </c>
      <c r="D17" s="835">
        <f>'01 Energy'!D17*EF_GHG_NatGas_DCI/1000000</f>
        <v>282.75399504873002</v>
      </c>
      <c r="E17" s="835">
        <f>'01 Energy'!E17*EF_GHG_Coal_DCI/1000000</f>
        <v>2.5883704898140492</v>
      </c>
      <c r="F17" s="835">
        <f>'01 Energy'!F17*EF_GHG_GasOil/1000000</f>
        <v>1.574645620530198</v>
      </c>
      <c r="G17" s="837">
        <f t="shared" si="1"/>
        <v>407.26634600622054</v>
      </c>
      <c r="H17" s="849">
        <f>'01 Energy'!H17*(EF_GHG_ElectGen+EF_GHG_ElectTD)/1000000</f>
        <v>137.79856865056522</v>
      </c>
      <c r="I17" s="835">
        <f t="shared" si="2"/>
        <v>126.56978136037723</v>
      </c>
      <c r="J17" s="835">
        <f>'01 Energy'!J17*EF_GHG_NatGas_DCI/1000000</f>
        <v>95.234878991221208</v>
      </c>
      <c r="K17" s="835">
        <f>'01 Energy'!K17*EF_GHG_Coal_DCI/1000000</f>
        <v>0.1060888707387458</v>
      </c>
      <c r="L17" s="850">
        <f>'01 Energy'!L17*EF_GHG_GasOil/1000000</f>
        <v>18.22340714256373</v>
      </c>
      <c r="M17" s="850">
        <f>'01 Energy'!M17*EF_GHG_W_R_IC/1000000</f>
        <v>9.8322640966008574</v>
      </c>
      <c r="N17" s="837">
        <f t="shared" si="3"/>
        <v>249.96642046150177</v>
      </c>
      <c r="O17" s="850">
        <f>'Ib.Energy-Transport '!I190/1000</f>
        <v>0.33193598873876268</v>
      </c>
      <c r="P17" s="850">
        <f>'Ib.Energy-Transport '!J190/1000</f>
        <v>0</v>
      </c>
      <c r="Q17" s="850">
        <f>'Ib.Energy-Transport '!G190/1000</f>
        <v>0.57063053975800559</v>
      </c>
      <c r="R17" s="850">
        <f>'Ib.Energy-Transport '!H190/1000</f>
        <v>10.963463899617762</v>
      </c>
      <c r="S17" s="850">
        <f>'Ib.Energy-Transport '!F190/1000</f>
        <v>351.67731859647529</v>
      </c>
      <c r="T17" s="1192">
        <f>('01 Energy'!T17*EF_CO2_ElectGen_DCI)/1000</f>
        <v>0.26532339057021503</v>
      </c>
      <c r="U17" s="851">
        <f t="shared" si="4"/>
        <v>363.80867241516</v>
      </c>
      <c r="V17" s="850">
        <v>1.7280605972191545</v>
      </c>
      <c r="W17" s="850">
        <v>6.1689027853637768</v>
      </c>
      <c r="X17" s="850">
        <v>0</v>
      </c>
      <c r="Y17" s="1013">
        <f t="shared" si="5"/>
        <v>7.8969633825829311</v>
      </c>
      <c r="Z17" s="1022"/>
      <c r="AA17" s="1022"/>
      <c r="AB17" s="1354">
        <f>IV.Waste!Q111/1000</f>
        <v>239.68414492021279</v>
      </c>
      <c r="AC17" s="852">
        <f t="shared" si="6"/>
        <v>1268.6225471856778</v>
      </c>
    </row>
    <row r="18" spans="2:29" x14ac:dyDescent="0.45">
      <c r="B18" s="833" t="s">
        <v>538</v>
      </c>
      <c r="C18" s="834">
        <f>'01 Energy'!C18*(EF_GHG_ElectGen+EF_GHG_ElectTD)/1000000</f>
        <v>92.799455516936689</v>
      </c>
      <c r="D18" s="835">
        <f>'01 Energy'!D18*EF_GHG_NatGas_DCI/1000000</f>
        <v>206.13103456797901</v>
      </c>
      <c r="E18" s="835">
        <f>'01 Energy'!E18*EF_GHG_Coal_DCI/1000000</f>
        <v>1.933770325968994</v>
      </c>
      <c r="F18" s="835">
        <f>'01 Energy'!F18*EF_GHG_GasOil/1000000</f>
        <v>1.1817906201608357</v>
      </c>
      <c r="G18" s="837">
        <f t="shared" si="1"/>
        <v>302.04605103104558</v>
      </c>
      <c r="H18" s="849">
        <f>'01 Energy'!H18*(EF_GHG_ElectGen+EF_GHG_ElectTD)/1000000</f>
        <v>117.73624438452728</v>
      </c>
      <c r="I18" s="835">
        <f t="shared" si="2"/>
        <v>109.5099880577044</v>
      </c>
      <c r="J18" s="835">
        <f>'01 Energy'!J18*EF_GHG_NatGas_DCI/1000000</f>
        <v>96.338861864173808</v>
      </c>
      <c r="K18" s="835">
        <f>'01 Energy'!K18*EF_GHG_Coal_DCI/1000000</f>
        <v>1.641421764555813E-2</v>
      </c>
      <c r="L18" s="850">
        <f>'01 Energy'!L18*EF_GHG_GasOil/1000000</f>
        <v>18.100654769980199</v>
      </c>
      <c r="M18" s="850">
        <f>'01 Energy'!M18*EF_GHG_W_R_IC/1000000</f>
        <v>7.3936703869296769</v>
      </c>
      <c r="N18" s="837">
        <f t="shared" si="3"/>
        <v>231.35958929643363</v>
      </c>
      <c r="O18" s="850">
        <f>'Ib.Energy-Transport '!I191/1000</f>
        <v>6.8171066362404682</v>
      </c>
      <c r="P18" s="850">
        <f>'Ib.Energy-Transport '!J191/1000</f>
        <v>3.6639172355829031</v>
      </c>
      <c r="Q18" s="850">
        <f>'Ib.Energy-Transport '!G191/1000</f>
        <v>0.58183959688167675</v>
      </c>
      <c r="R18" s="850">
        <f>'Ib.Energy-Transport '!H191/1000</f>
        <v>8.0287983141517199</v>
      </c>
      <c r="S18" s="850">
        <f>'Ib.Energy-Transport '!F191/1000</f>
        <v>210.2663375713075</v>
      </c>
      <c r="T18" s="1192">
        <f>('01 Energy'!T18*EF_CO2_ElectGen_DCI)/1000</f>
        <v>0.19745801267116617</v>
      </c>
      <c r="U18" s="851">
        <f t="shared" si="4"/>
        <v>229.55545736683544</v>
      </c>
      <c r="V18" s="850">
        <v>2.2292459916746297</v>
      </c>
      <c r="W18" s="850">
        <v>8.2855295988648408</v>
      </c>
      <c r="X18" s="850">
        <v>0</v>
      </c>
      <c r="Y18" s="1013">
        <f t="shared" si="5"/>
        <v>10.51477559053947</v>
      </c>
      <c r="Z18" s="1022"/>
      <c r="AA18" s="1022"/>
      <c r="AB18" s="1354">
        <f>IV.Waste!Q112/1000</f>
        <v>1.4386307364231854E-2</v>
      </c>
      <c r="AC18" s="852">
        <f t="shared" si="6"/>
        <v>773.49025959221831</v>
      </c>
    </row>
    <row r="19" spans="2:29" x14ac:dyDescent="0.45">
      <c r="B19" s="833" t="s">
        <v>539</v>
      </c>
      <c r="C19" s="834">
        <f>'01 Energy'!C19*(EF_GHG_ElectGen+EF_GHG_ElectTD)/1000000</f>
        <v>85.890792987643692</v>
      </c>
      <c r="D19" s="835">
        <f>'01 Energy'!D19*EF_GHG_NatGas_DCI/1000000</f>
        <v>176.65712567121241</v>
      </c>
      <c r="E19" s="835">
        <f>'01 Energy'!E19*EF_GHG_Coal_DCI/1000000</f>
        <v>0.75444659216633414</v>
      </c>
      <c r="F19" s="835">
        <f>'01 Energy'!F19*EF_GHG_GasOil/1000000</f>
        <v>0.769888551513353</v>
      </c>
      <c r="G19" s="837">
        <f t="shared" si="1"/>
        <v>264.07225380253584</v>
      </c>
      <c r="H19" s="849">
        <f>'01 Energy'!H19*(EF_GHG_ElectGen+EF_GHG_ElectTD)/1000000</f>
        <v>142.78796046443318</v>
      </c>
      <c r="I19" s="835">
        <f t="shared" si="2"/>
        <v>136.59869398360328</v>
      </c>
      <c r="J19" s="835">
        <f>'01 Energy'!J19*EF_GHG_NatGas_DCI/1000000</f>
        <v>70.104582604602896</v>
      </c>
      <c r="K19" s="835">
        <f>'01 Energy'!K19*EF_GHG_Coal_DCI/1000000</f>
        <v>0.19315036714389663</v>
      </c>
      <c r="L19" s="850">
        <f>'01 Energy'!L19*EF_GHG_GasOil/1000000</f>
        <v>6.3539795124251794</v>
      </c>
      <c r="M19" s="850">
        <f>'01 Energy'!M19*EF_GHG_W_R_IC/1000000</f>
        <v>2.7585953610058067</v>
      </c>
      <c r="N19" s="837">
        <f t="shared" si="3"/>
        <v>216.00900182878104</v>
      </c>
      <c r="O19" s="850">
        <f>'Ib.Energy-Transport '!I192/1000</f>
        <v>0.12020237168711041</v>
      </c>
      <c r="P19" s="850">
        <f>'Ib.Energy-Transport '!J192/1000</f>
        <v>0</v>
      </c>
      <c r="Q19" s="850">
        <f>'Ib.Energy-Transport '!G192/1000</f>
        <v>0.80570363150445901</v>
      </c>
      <c r="R19" s="850">
        <f>'Ib.Energy-Transport '!H192/1000</f>
        <v>6.0974434528658898</v>
      </c>
      <c r="S19" s="850">
        <f>'Ib.Energy-Transport '!F192/1000</f>
        <v>115.28687177601911</v>
      </c>
      <c r="T19" s="1192">
        <f>('01 Energy'!T19*EF_CO2_ElectGen_DCI)/1000</f>
        <v>9.1823027963999979E-2</v>
      </c>
      <c r="U19" s="851">
        <f t="shared" si="4"/>
        <v>122.40204426004057</v>
      </c>
      <c r="V19" s="850">
        <v>0.33234741335588314</v>
      </c>
      <c r="W19" s="850">
        <v>3.2461234707550388</v>
      </c>
      <c r="X19" s="850">
        <v>0</v>
      </c>
      <c r="Y19" s="1013">
        <f t="shared" si="5"/>
        <v>3.5784708841109221</v>
      </c>
      <c r="Z19" s="1022"/>
      <c r="AA19" s="1022"/>
      <c r="AB19" s="1354">
        <f>IV.Waste!Q113/1000</f>
        <v>0</v>
      </c>
      <c r="AC19" s="852">
        <f t="shared" si="6"/>
        <v>606.0617707754684</v>
      </c>
    </row>
    <row r="20" spans="2:29" x14ac:dyDescent="0.45">
      <c r="B20" s="833" t="s">
        <v>540</v>
      </c>
      <c r="C20" s="834">
        <f>'01 Energy'!C20*(EF_GHG_ElectGen+EF_GHG_ElectTD)/1000000</f>
        <v>71.644507443114193</v>
      </c>
      <c r="D20" s="835">
        <f>'01 Energy'!D20*EF_GHG_NatGas_DCI/1000000</f>
        <v>159.52364514077129</v>
      </c>
      <c r="E20" s="835">
        <f>'01 Energy'!E20*EF_GHG_Coal_DCI/1000000</f>
        <v>0.74019880944369976</v>
      </c>
      <c r="F20" s="835">
        <f>'01 Energy'!F20*EF_GHG_GasOil/1000000</f>
        <v>0.93109265692391441</v>
      </c>
      <c r="G20" s="837">
        <f t="shared" si="1"/>
        <v>232.83944405025312</v>
      </c>
      <c r="H20" s="849">
        <f>'01 Energy'!H20*(EF_GHG_ElectGen+EF_GHG_ElectTD)/1000000</f>
        <v>174.09144036321166</v>
      </c>
      <c r="I20" s="835">
        <f t="shared" si="2"/>
        <v>162.28101702917476</v>
      </c>
      <c r="J20" s="835">
        <f>'01 Energy'!J20*EF_GHG_NatGas_DCI/1000000</f>
        <v>104.52615091679071</v>
      </c>
      <c r="K20" s="835">
        <f>'01 Energy'!K20*EF_GHG_Coal_DCI/1000000</f>
        <v>0</v>
      </c>
      <c r="L20" s="850">
        <f>'01 Energy'!L20*EF_GHG_GasOil/1000000</f>
        <v>9.2999609886443508</v>
      </c>
      <c r="M20" s="850">
        <f>'01 Energy'!M20*EF_GHG_W_R_IC/1000000</f>
        <v>2.8853010705717788</v>
      </c>
      <c r="N20" s="837">
        <f t="shared" si="3"/>
        <v>278.99243000518157</v>
      </c>
      <c r="O20" s="850">
        <f>'Ib.Energy-Transport '!I193/1000</f>
        <v>15.717479895136082</v>
      </c>
      <c r="P20" s="850">
        <f>'Ib.Energy-Transport '!J193/1000</f>
        <v>6.053724624166687E-3</v>
      </c>
      <c r="Q20" s="850">
        <f>'Ib.Energy-Transport '!G193/1000</f>
        <v>2.679871698454146</v>
      </c>
      <c r="R20" s="850">
        <f>'Ib.Energy-Transport '!H193/1000</f>
        <v>11.718242535827793</v>
      </c>
      <c r="S20" s="850">
        <f>'Ib.Energy-Transport '!F193/1000</f>
        <v>104.65219192707271</v>
      </c>
      <c r="T20" s="1192">
        <f>('01 Energy'!T20*EF_CO2_ElectGen_DCI)/1000</f>
        <v>9.2180798209099968E-2</v>
      </c>
      <c r="U20" s="851">
        <f t="shared" si="4"/>
        <v>134.86602057932402</v>
      </c>
      <c r="V20" s="850">
        <v>0.16538052795216329</v>
      </c>
      <c r="W20" s="850">
        <v>1.8888470492898</v>
      </c>
      <c r="X20" s="850">
        <v>0</v>
      </c>
      <c r="Y20" s="1013">
        <f t="shared" si="5"/>
        <v>2.0542275772419631</v>
      </c>
      <c r="Z20" s="1022"/>
      <c r="AA20" s="1022"/>
      <c r="AB20" s="1354">
        <f>IV.Waste!Q114/1000</f>
        <v>0</v>
      </c>
      <c r="AC20" s="852">
        <f t="shared" si="6"/>
        <v>648.7521222120007</v>
      </c>
    </row>
    <row r="21" spans="2:29" x14ac:dyDescent="0.45">
      <c r="B21" s="833" t="s">
        <v>541</v>
      </c>
      <c r="C21" s="834">
        <f>'01 Energy'!C21*(EF_GHG_ElectGen+EF_GHG_ElectTD)/1000000</f>
        <v>89.019298879751091</v>
      </c>
      <c r="D21" s="835">
        <f>'01 Energy'!D21*EF_GHG_NatGas_DCI/1000000</f>
        <v>228.38572308355202</v>
      </c>
      <c r="E21" s="835">
        <f>'01 Energy'!E21*EF_GHG_Coal_DCI/1000000</f>
        <v>1.4806936702197375</v>
      </c>
      <c r="F21" s="835">
        <f>'01 Energy'!F21*EF_GHG_GasOil/1000000</f>
        <v>0.78414594500758472</v>
      </c>
      <c r="G21" s="837">
        <f t="shared" si="1"/>
        <v>319.66986157853046</v>
      </c>
      <c r="H21" s="849">
        <f>'01 Energy'!H21*(EF_GHG_ElectGen+EF_GHG_ElectTD)/1000000</f>
        <v>105.27722731837919</v>
      </c>
      <c r="I21" s="835">
        <f t="shared" si="2"/>
        <v>89.583526166035469</v>
      </c>
      <c r="J21" s="835">
        <f>'01 Energy'!J21*EF_GHG_NatGas_DCI/1000000</f>
        <v>65.899313404392586</v>
      </c>
      <c r="K21" s="835">
        <f>'01 Energy'!K21*EF_GHG_Coal_DCI/1000000</f>
        <v>6.4584983024552109E-2</v>
      </c>
      <c r="L21" s="850">
        <f>'01 Energy'!L21*EF_GHG_GasOil/1000000</f>
        <v>6.6408674651051536</v>
      </c>
      <c r="M21" s="850">
        <f>'01 Energy'!M21*EF_GHG_W_R_IC/1000000</f>
        <v>5.6929726485949814</v>
      </c>
      <c r="N21" s="837">
        <f t="shared" si="3"/>
        <v>167.88126466715272</v>
      </c>
      <c r="O21" s="850">
        <f>'Ib.Energy-Transport '!I194/1000</f>
        <v>0</v>
      </c>
      <c r="P21" s="850">
        <f>'Ib.Energy-Transport '!J194/1000</f>
        <v>0</v>
      </c>
      <c r="Q21" s="850">
        <f>'Ib.Energy-Transport '!G194/1000</f>
        <v>2.2990568735439227</v>
      </c>
      <c r="R21" s="850">
        <f>'Ib.Energy-Transport '!H194/1000</f>
        <v>15.585781326943525</v>
      </c>
      <c r="S21" s="850">
        <f>'Ib.Energy-Transport '!F194/1000</f>
        <v>126.50788896934662</v>
      </c>
      <c r="T21" s="1192">
        <f>('01 Energy'!T21*EF_CO2_ElectGen_DCI)/1000</f>
        <v>0.1079198254001975</v>
      </c>
      <c r="U21" s="851">
        <f t="shared" si="4"/>
        <v>144.50064699523426</v>
      </c>
      <c r="V21" s="850">
        <v>1.1233052086212376</v>
      </c>
      <c r="W21" s="850">
        <v>3.6416601170515324</v>
      </c>
      <c r="X21" s="850">
        <v>0</v>
      </c>
      <c r="Y21" s="1013">
        <f t="shared" si="5"/>
        <v>4.7649653256727698</v>
      </c>
      <c r="Z21" s="1022"/>
      <c r="AA21" s="1022"/>
      <c r="AB21" s="1354">
        <f>IV.Waste!Q115/1000</f>
        <v>0</v>
      </c>
      <c r="AC21" s="852">
        <f t="shared" si="6"/>
        <v>636.81673856659017</v>
      </c>
    </row>
    <row r="22" spans="2:29" x14ac:dyDescent="0.45">
      <c r="B22" s="833" t="s">
        <v>542</v>
      </c>
      <c r="C22" s="834">
        <f>'01 Energy'!C22*(EF_GHG_ElectGen+EF_GHG_ElectTD)/1000000</f>
        <v>86.316849017161701</v>
      </c>
      <c r="D22" s="835">
        <f>'01 Energy'!D22*EF_GHG_NatGas_DCI/1000000</f>
        <v>256.51067471187304</v>
      </c>
      <c r="E22" s="835">
        <f>'01 Energy'!E22*EF_GHG_Coal_DCI/1000000</f>
        <v>1.4404555398451142</v>
      </c>
      <c r="F22" s="835">
        <f>'01 Energy'!F22*EF_GHG_GasOil/1000000</f>
        <v>1.3599470489494578</v>
      </c>
      <c r="G22" s="837">
        <f t="shared" si="1"/>
        <v>345.62792631782929</v>
      </c>
      <c r="H22" s="849">
        <f>'01 Energy'!H22*(EF_GHG_ElectGen+EF_GHG_ElectTD)/1000000</f>
        <v>55.222608681554995</v>
      </c>
      <c r="I22" s="835">
        <f t="shared" si="2"/>
        <v>43.478071035284358</v>
      </c>
      <c r="J22" s="835">
        <f>'01 Energy'!J22*EF_GHG_NatGas_DCI/1000000</f>
        <v>44.653045435089304</v>
      </c>
      <c r="K22" s="835">
        <f>'01 Energy'!K22*EF_GHG_Coal_DCI/1000000</f>
        <v>1.3398594471003748E-4</v>
      </c>
      <c r="L22" s="850">
        <f>'01 Energy'!L22*EF_GHG_GasOil/1000000</f>
        <v>5.8575682808219218</v>
      </c>
      <c r="M22" s="850">
        <f>'01 Energy'!M22*EF_GHG_W_R_IC/1000000</f>
        <v>5.5294282035923459</v>
      </c>
      <c r="N22" s="837">
        <f t="shared" si="3"/>
        <v>99.518246940732638</v>
      </c>
      <c r="O22" s="850">
        <f>'Ib.Energy-Transport '!I195/1000</f>
        <v>0.23931699690498423</v>
      </c>
      <c r="P22" s="850">
        <f>'Ib.Energy-Transport '!J195/1000</f>
        <v>0</v>
      </c>
      <c r="Q22" s="850">
        <f>'Ib.Energy-Transport '!G195/1000</f>
        <v>3.4624301638283561</v>
      </c>
      <c r="R22" s="850">
        <f>'Ib.Energy-Transport '!H195/1000</f>
        <v>11.628550566154834</v>
      </c>
      <c r="S22" s="850">
        <f>'Ib.Energy-Transport '!F195/1000</f>
        <v>136.62522229976597</v>
      </c>
      <c r="T22" s="1192">
        <f>('01 Energy'!T22*EF_CO2_ElectGen_DCI)/1000</f>
        <v>0.11598708011579997</v>
      </c>
      <c r="U22" s="851">
        <f t="shared" si="4"/>
        <v>152.07150710676993</v>
      </c>
      <c r="V22" s="850">
        <v>1.8030477773526226</v>
      </c>
      <c r="W22" s="850">
        <v>5.3176725119573076</v>
      </c>
      <c r="X22" s="850">
        <v>0</v>
      </c>
      <c r="Y22" s="1013">
        <f t="shared" si="5"/>
        <v>7.1207202893099302</v>
      </c>
      <c r="Z22" s="1022"/>
      <c r="AA22" s="1022"/>
      <c r="AB22" s="1354">
        <f>IV.Waste!Q116/1000</f>
        <v>0</v>
      </c>
      <c r="AC22" s="852">
        <f t="shared" si="6"/>
        <v>604.33840065464176</v>
      </c>
    </row>
    <row r="23" spans="2:29" x14ac:dyDescent="0.45">
      <c r="B23" s="833" t="s">
        <v>543</v>
      </c>
      <c r="C23" s="834">
        <f>'01 Energy'!C23*(EF_GHG_ElectGen+EF_GHG_ElectTD)/1000000</f>
        <v>98.505030786085001</v>
      </c>
      <c r="D23" s="835">
        <f>'01 Energy'!D23*EF_GHG_NatGas_DCI/1000000</f>
        <v>244.45284730026302</v>
      </c>
      <c r="E23" s="835">
        <f>'01 Energy'!E23*EF_GHG_Coal_DCI/1000000</f>
        <v>2.3985305753632047</v>
      </c>
      <c r="F23" s="835">
        <f>'01 Energy'!F23*EF_GHG_GasOil/1000000</f>
        <v>1.9106353897059416</v>
      </c>
      <c r="G23" s="837">
        <f t="shared" si="1"/>
        <v>347.2670440514172</v>
      </c>
      <c r="H23" s="849">
        <f>'01 Energy'!H23*(EF_GHG_ElectGen+EF_GHG_ElectTD)/1000000</f>
        <v>100.04247734722848</v>
      </c>
      <c r="I23" s="835">
        <f t="shared" si="2"/>
        <v>88.229791379060458</v>
      </c>
      <c r="J23" s="835">
        <f>'01 Energy'!J23*EF_GHG_NatGas_DCI/1000000</f>
        <v>46.2365160819894</v>
      </c>
      <c r="K23" s="835">
        <f>'01 Energy'!K23*EF_GHG_Coal_DCI/1000000</f>
        <v>0.19344542555145597</v>
      </c>
      <c r="L23" s="850">
        <f>'01 Energy'!L23*EF_GHG_GasOil/1000000</f>
        <v>16.350851790095746</v>
      </c>
      <c r="M23" s="850">
        <f>'01 Energy'!M23*EF_GHG_W_R_IC/1000000</f>
        <v>8.3037756147424311</v>
      </c>
      <c r="N23" s="837">
        <f t="shared" si="3"/>
        <v>159.31438029143951</v>
      </c>
      <c r="O23" s="850">
        <f>'Ib.Energy-Transport '!I196/1000</f>
        <v>3.0156475709308772</v>
      </c>
      <c r="P23" s="850">
        <f>'Ib.Energy-Transport '!J196/1000</f>
        <v>1.0467022362825331</v>
      </c>
      <c r="Q23" s="850">
        <f>'Ib.Energy-Transport '!G196/1000</f>
        <v>1.9291977066956791</v>
      </c>
      <c r="R23" s="850">
        <f>'Ib.Energy-Transport '!H196/1000</f>
        <v>11.575245208409877</v>
      </c>
      <c r="S23" s="850">
        <f>'Ib.Energy-Transport '!F196/1000</f>
        <v>343.39160646658388</v>
      </c>
      <c r="T23" s="1192">
        <f>('01 Energy'!T23*EF_CO2_ElectGen_DCI)/1000</f>
        <v>0.23744075975814621</v>
      </c>
      <c r="U23" s="851">
        <f t="shared" si="4"/>
        <v>361.19583994866099</v>
      </c>
      <c r="V23" s="850">
        <v>2.0002668136980599</v>
      </c>
      <c r="W23" s="850">
        <v>5.212451261251017</v>
      </c>
      <c r="X23" s="850">
        <v>0</v>
      </c>
      <c r="Y23" s="1013">
        <f t="shared" si="5"/>
        <v>7.2127180749490769</v>
      </c>
      <c r="Z23" s="1022"/>
      <c r="AA23" s="1022"/>
      <c r="AB23" s="1354">
        <f>IV.Waste!Q117/1000</f>
        <v>31.775464420222484</v>
      </c>
      <c r="AC23" s="852">
        <f t="shared" si="6"/>
        <v>906.76544678668927</v>
      </c>
    </row>
    <row r="24" spans="2:29" x14ac:dyDescent="0.45">
      <c r="B24" s="833" t="s">
        <v>544</v>
      </c>
      <c r="C24" s="834">
        <f>'01 Energy'!C24*(EF_GHG_ElectGen+EF_GHG_ElectTD)/1000000</f>
        <v>105.69867579880908</v>
      </c>
      <c r="D24" s="835">
        <f>'01 Energy'!D24*EF_GHG_NatGas_DCI/1000000</f>
        <v>260.52260427795602</v>
      </c>
      <c r="E24" s="835">
        <f>'01 Energy'!E24*EF_GHG_Coal_DCI/1000000</f>
        <v>2.0001186675367673</v>
      </c>
      <c r="F24" s="835">
        <f>'01 Energy'!F24*EF_GHG_GasOil/1000000</f>
        <v>2.3061497601849354</v>
      </c>
      <c r="G24" s="837">
        <f t="shared" si="1"/>
        <v>370.52754850448679</v>
      </c>
      <c r="H24" s="849">
        <f>'01 Energy'!H24*(EF_GHG_ElectGen+EF_GHG_ElectTD)/1000000</f>
        <v>239.27603332357828</v>
      </c>
      <c r="I24" s="835">
        <f t="shared" si="2"/>
        <v>225.54014224652022</v>
      </c>
      <c r="J24" s="835">
        <f>'01 Energy'!J24*EF_GHG_NatGas_DCI/1000000</f>
        <v>126.1641092609097</v>
      </c>
      <c r="K24" s="835">
        <f>'01 Energy'!K24*EF_GHG_Coal_DCI/1000000</f>
        <v>0.12049663095384062</v>
      </c>
      <c r="L24" s="850">
        <f>'01 Energy'!L24*EF_GHG_GasOil/1000000</f>
        <v>124.24771686282192</v>
      </c>
      <c r="M24" s="850">
        <f>'01 Energy'!M24*EF_GHG_W_R_IC/1000000</f>
        <v>18.142584278072263</v>
      </c>
      <c r="N24" s="837">
        <f t="shared" si="3"/>
        <v>494.21504927927793</v>
      </c>
      <c r="O24" s="850">
        <f>'Ib.Energy-Transport '!I197/1000</f>
        <v>743.06765396539345</v>
      </c>
      <c r="P24" s="850">
        <f>'Ib.Energy-Transport '!J197/1000</f>
        <v>0</v>
      </c>
      <c r="Q24" s="850">
        <f>'Ib.Energy-Transport '!G197/1000</f>
        <v>10.669991634934458</v>
      </c>
      <c r="R24" s="850">
        <f>'Ib.Energy-Transport '!H197/1000</f>
        <v>13.420807859372644</v>
      </c>
      <c r="S24" s="850">
        <f>'Ib.Energy-Transport '!F197/1000</f>
        <v>400.64308190147597</v>
      </c>
      <c r="T24" s="1192">
        <f>('01 Energy'!T24*EF_CO2_ElectGen_DCI)/1000</f>
        <v>0.31508321768542186</v>
      </c>
      <c r="U24" s="851">
        <f t="shared" si="4"/>
        <v>1168.116618578862</v>
      </c>
      <c r="V24" s="850">
        <v>3.9407919308849406</v>
      </c>
      <c r="W24" s="850">
        <v>11.139160333124298</v>
      </c>
      <c r="X24" s="850">
        <f>SUM('Ib.Energy-Transport '!H283:M283)/1000</f>
        <v>27.021344679357608</v>
      </c>
      <c r="Y24" s="1013">
        <f t="shared" si="5"/>
        <v>42.101296943366847</v>
      </c>
      <c r="Z24" s="1022"/>
      <c r="AA24" s="1022"/>
      <c r="AB24" s="1354">
        <f>IV.Waste!Q118/1000</f>
        <v>243.84414582651701</v>
      </c>
      <c r="AC24" s="852">
        <f t="shared" si="6"/>
        <v>2318.8046591325106</v>
      </c>
    </row>
    <row r="25" spans="2:29" x14ac:dyDescent="0.45">
      <c r="B25" s="833" t="s">
        <v>545</v>
      </c>
      <c r="C25" s="834">
        <f>'01 Energy'!C25*(EF_GHG_ElectGen+EF_GHG_ElectTD)/1000000</f>
        <v>95.695315615301482</v>
      </c>
      <c r="D25" s="835">
        <f>'01 Energy'!D25*EF_GHG_NatGas_DCI/1000000</f>
        <v>211.86005317799399</v>
      </c>
      <c r="E25" s="835">
        <f>'01 Energy'!E25*EF_GHG_Coal_DCI/1000000</f>
        <v>1.6824436692064719</v>
      </c>
      <c r="F25" s="835">
        <f>'01 Energy'!F25*EF_GHG_GasOil/1000000</f>
        <v>1.7807154831790661</v>
      </c>
      <c r="G25" s="837">
        <f t="shared" si="1"/>
        <v>311.018527945681</v>
      </c>
      <c r="H25" s="849">
        <f>'01 Energy'!H25*(EF_GHG_ElectGen+EF_GHG_ElectTD)/1000000</f>
        <v>234.01658177396587</v>
      </c>
      <c r="I25" s="835">
        <f t="shared" si="2"/>
        <v>222.87730767609216</v>
      </c>
      <c r="J25" s="835">
        <f>'01 Energy'!J25*EF_GHG_NatGas_DCI/1000000</f>
        <v>105.21012547855081</v>
      </c>
      <c r="K25" s="835">
        <f>'01 Energy'!K25*EF_GHG_Coal_DCI/1000000</f>
        <v>0.22125515173469851</v>
      </c>
      <c r="L25" s="850">
        <f>'01 Energy'!L25*EF_GHG_GasOil/1000000</f>
        <v>12.600812662459711</v>
      </c>
      <c r="M25" s="850">
        <f>'01 Energy'!M25*EF_GHG_W_R_IC/1000000</f>
        <v>6.2330225112878139</v>
      </c>
      <c r="N25" s="837">
        <f t="shared" si="3"/>
        <v>347.14252348012513</v>
      </c>
      <c r="O25" s="850">
        <f>'Ib.Energy-Transport '!I198/1000</f>
        <v>115.62566537073306</v>
      </c>
      <c r="P25" s="850">
        <f>'Ib.Energy-Transport '!J198/1000</f>
        <v>0</v>
      </c>
      <c r="Q25" s="850">
        <f>'Ib.Energy-Transport '!G198/1000</f>
        <v>0.36460838899933123</v>
      </c>
      <c r="R25" s="850">
        <f>'Ib.Energy-Transport '!H198/1000</f>
        <v>10.892863596156811</v>
      </c>
      <c r="S25" s="850">
        <f>'Ib.Energy-Transport '!F198/1000</f>
        <v>276.91686599366869</v>
      </c>
      <c r="T25" s="1192">
        <f>('01 Energy'!T25*EF_CO2_ElectGen_DCI)/1000</f>
        <v>0.24641050171689025</v>
      </c>
      <c r="U25" s="851">
        <f t="shared" si="4"/>
        <v>404.04641385127474</v>
      </c>
      <c r="V25" s="850">
        <v>1.1148588126446626</v>
      </c>
      <c r="W25" s="850">
        <v>3.6065621652471984</v>
      </c>
      <c r="X25" s="850">
        <v>0</v>
      </c>
      <c r="Y25" s="1013">
        <f t="shared" si="5"/>
        <v>4.721420977891861</v>
      </c>
      <c r="Z25" s="1022"/>
      <c r="AA25" s="1022"/>
      <c r="AB25" s="1354">
        <f>IV.Waste!Q119/1000</f>
        <v>96.531390177673558</v>
      </c>
      <c r="AC25" s="852">
        <f t="shared" si="6"/>
        <v>1163.4602764326464</v>
      </c>
    </row>
    <row r="26" spans="2:29" x14ac:dyDescent="0.45">
      <c r="B26" s="833" t="s">
        <v>546</v>
      </c>
      <c r="C26" s="834">
        <f>'01 Energy'!C26*(EF_GHG_ElectGen+EF_GHG_ElectTD)/1000000</f>
        <v>77.997021639546801</v>
      </c>
      <c r="D26" s="835">
        <f>'01 Energy'!D26*EF_GHG_NatGas_DCI/1000000</f>
        <v>162.7324619444955</v>
      </c>
      <c r="E26" s="835">
        <f>'01 Energy'!E26*EF_GHG_Coal_DCI/1000000</f>
        <v>0.54503709387319799</v>
      </c>
      <c r="F26" s="835">
        <f>'01 Energy'!F26*EF_GHG_GasOil/1000000</f>
        <v>0.8061704320440064</v>
      </c>
      <c r="G26" s="837">
        <f t="shared" si="1"/>
        <v>242.0806911099595</v>
      </c>
      <c r="H26" s="849">
        <f>'01 Energy'!H26*(EF_GHG_ElectGen+EF_GHG_ElectTD)/1000000</f>
        <v>202.90559097029617</v>
      </c>
      <c r="I26" s="835">
        <f t="shared" si="2"/>
        <v>188.80338053571498</v>
      </c>
      <c r="J26" s="835">
        <f>'01 Energy'!J26*EF_GHG_NatGas_DCI/1000000</f>
        <v>121.46787370187549</v>
      </c>
      <c r="K26" s="835">
        <f>'01 Energy'!K26*EF_GHG_Coal_DCI/1000000</f>
        <v>0.24019320210515294</v>
      </c>
      <c r="L26" s="850">
        <f>'01 Energy'!L26*EF_GHG_GasOil/1000000</f>
        <v>6.5175730664850127</v>
      </c>
      <c r="M26" s="850">
        <f>'01 Energy'!M26*EF_GHG_W_R_IC/1000000</f>
        <v>2.0309700743029442</v>
      </c>
      <c r="N26" s="837">
        <f t="shared" si="3"/>
        <v>319.0599905804836</v>
      </c>
      <c r="O26" s="850">
        <f>'Ib.Energy-Transport '!I199/1000</f>
        <v>0</v>
      </c>
      <c r="P26" s="850">
        <f>'Ib.Energy-Transport '!J199/1000</f>
        <v>0</v>
      </c>
      <c r="Q26" s="850">
        <f>'Ib.Energy-Transport '!G199/1000</f>
        <v>1.6912329319158637</v>
      </c>
      <c r="R26" s="850">
        <f>'Ib.Energy-Transport '!H199/1000</f>
        <v>14.023166037516614</v>
      </c>
      <c r="S26" s="850">
        <f>'Ib.Energy-Transport '!F199/1000</f>
        <v>94.687126493803987</v>
      </c>
      <c r="T26" s="1192">
        <f>('01 Energy'!T26*EF_CO2_ElectGen_DCI)/1000</f>
        <v>7.904439706460005E-2</v>
      </c>
      <c r="U26" s="851">
        <f t="shared" si="4"/>
        <v>110.48056986030107</v>
      </c>
      <c r="V26" s="850">
        <v>0.250771290275839</v>
      </c>
      <c r="W26" s="850">
        <v>1.9088082966266007</v>
      </c>
      <c r="X26" s="850">
        <v>0</v>
      </c>
      <c r="Y26" s="1013">
        <f t="shared" si="5"/>
        <v>2.1595795869024395</v>
      </c>
      <c r="Z26" s="1022"/>
      <c r="AA26" s="1022"/>
      <c r="AB26" s="1354">
        <f>IV.Waste!Q120/1000</f>
        <v>0</v>
      </c>
      <c r="AC26" s="852">
        <f t="shared" si="6"/>
        <v>673.7808311376466</v>
      </c>
    </row>
    <row r="27" spans="2:29" x14ac:dyDescent="0.45">
      <c r="B27" s="833" t="s">
        <v>547</v>
      </c>
      <c r="C27" s="834">
        <f>'01 Energy'!C27*(EF_GHG_ElectGen+EF_GHG_ElectTD)/1000000</f>
        <v>91.845430236904377</v>
      </c>
      <c r="D27" s="835">
        <f>'01 Energy'!D27*EF_GHG_NatGas_DCI/1000000</f>
        <v>158.26759781725889</v>
      </c>
      <c r="E27" s="835">
        <f>'01 Energy'!E27*EF_GHG_Coal_DCI/1000000</f>
        <v>0.44324455653402689</v>
      </c>
      <c r="F27" s="835">
        <f>'01 Energy'!F27*EF_GHG_GasOil/1000000</f>
        <v>2.0515651752219632</v>
      </c>
      <c r="G27" s="837">
        <f t="shared" si="1"/>
        <v>252.60783778591926</v>
      </c>
      <c r="H27" s="849">
        <f>'01 Energy'!H27*(EF_GHG_ElectGen+EF_GHG_ElectTD)/1000000</f>
        <v>227.16057834650738</v>
      </c>
      <c r="I27" s="835">
        <f t="shared" si="2"/>
        <v>212.37589437277771</v>
      </c>
      <c r="J27" s="835">
        <f>'01 Energy'!J27*EF_GHG_NatGas_DCI/1000000</f>
        <v>162.7518364477497</v>
      </c>
      <c r="K27" s="835">
        <f>'01 Energy'!K27*EF_GHG_Coal_DCI/1000000</f>
        <v>5.9001373795919514E-2</v>
      </c>
      <c r="L27" s="850">
        <f>'01 Energy'!L27*EF_GHG_GasOil/1000000</f>
        <v>2.2282748881297638</v>
      </c>
      <c r="M27" s="850">
        <f>'01 Energy'!M27*EF_GHG_W_R_IC/1000000</f>
        <v>1.6192375594035737</v>
      </c>
      <c r="N27" s="837">
        <f t="shared" si="3"/>
        <v>379.03424464185667</v>
      </c>
      <c r="O27" s="850">
        <f>'Ib.Energy-Transport '!I200/1000</f>
        <v>1.9432032371093186</v>
      </c>
      <c r="P27" s="850">
        <f>'Ib.Energy-Transport '!J200/1000</f>
        <v>1.40665587491251E-2</v>
      </c>
      <c r="Q27" s="850">
        <f>'Ib.Energy-Transport '!G200/1000</f>
        <v>2.0108085065414651</v>
      </c>
      <c r="R27" s="850">
        <f>'Ib.Energy-Transport '!H200/1000</f>
        <v>14.689810765087463</v>
      </c>
      <c r="S27" s="850">
        <f>'Ib.Energy-Transport '!F200/1000</f>
        <v>109.33525594006099</v>
      </c>
      <c r="T27" s="1192">
        <f>('01 Energy'!T27*EF_CO2_ElectGen_DCI)/1000</f>
        <v>9.4873208642200016E-2</v>
      </c>
      <c r="U27" s="851">
        <f t="shared" si="4"/>
        <v>128.08801821619056</v>
      </c>
      <c r="V27" s="850">
        <v>0.77494215579919346</v>
      </c>
      <c r="W27" s="850">
        <v>0.98160532479938922</v>
      </c>
      <c r="X27" s="850">
        <v>0</v>
      </c>
      <c r="Y27" s="1013">
        <f t="shared" si="5"/>
        <v>1.7565474805985826</v>
      </c>
      <c r="Z27" s="1022"/>
      <c r="AA27" s="1022"/>
      <c r="AB27" s="1354">
        <f>IV.Waste!Q121/1000</f>
        <v>0</v>
      </c>
      <c r="AC27" s="852">
        <f t="shared" si="6"/>
        <v>761.48664812456502</v>
      </c>
    </row>
    <row r="28" spans="2:29" x14ac:dyDescent="0.45">
      <c r="B28" s="833" t="s">
        <v>548</v>
      </c>
      <c r="C28" s="834">
        <f>'01 Energy'!C28*(EF_GHG_ElectGen+EF_GHG_ElectTD)/1000000</f>
        <v>64.302653716658</v>
      </c>
      <c r="D28" s="835">
        <f>'01 Energy'!D28*EF_GHG_NatGas_DCI/1000000</f>
        <v>161.72430602760721</v>
      </c>
      <c r="E28" s="835">
        <f>'01 Energy'!E28*EF_GHG_Coal_DCI/1000000</f>
        <v>1.1621649134251706</v>
      </c>
      <c r="F28" s="835">
        <f>'01 Energy'!F28*EF_GHG_GasOil/1000000</f>
        <v>0.8487890389210998</v>
      </c>
      <c r="G28" s="837">
        <f t="shared" si="1"/>
        <v>228.03791369661147</v>
      </c>
      <c r="H28" s="849">
        <f>'01 Energy'!H28*(EF_GHG_ElectGen+EF_GHG_ElectTD)/1000000</f>
        <v>88.064624286368087</v>
      </c>
      <c r="I28" s="835">
        <f t="shared" si="2"/>
        <v>83.557400248971405</v>
      </c>
      <c r="J28" s="835">
        <f>'01 Energy'!J28*EF_GHG_NatGas_DCI/1000000</f>
        <v>43.7209070191713</v>
      </c>
      <c r="K28" s="835">
        <f>'01 Energy'!K28*EF_GHG_Coal_DCI/1000000</f>
        <v>0.32292491512276106</v>
      </c>
      <c r="L28" s="850">
        <f>'01 Energy'!L28*EF_GHG_GasOil/1000000</f>
        <v>7.9382959674448852</v>
      </c>
      <c r="M28" s="850">
        <f>'01 Energy'!M28*EF_GHG_W_R_IC/1000000</f>
        <v>4.2846021548436619</v>
      </c>
      <c r="N28" s="837">
        <f t="shared" si="3"/>
        <v>139.82413030555401</v>
      </c>
      <c r="O28" s="850">
        <f>'Ib.Energy-Transport '!I201/1000</f>
        <v>0</v>
      </c>
      <c r="P28" s="850">
        <f>'Ib.Energy-Transport '!J201/1000</f>
        <v>0</v>
      </c>
      <c r="Q28" s="850">
        <f>'Ib.Energy-Transport '!G201/1000</f>
        <v>0.53511548365927109</v>
      </c>
      <c r="R28" s="850">
        <f>'Ib.Energy-Transport '!H201/1000</f>
        <v>4.3727557717891825</v>
      </c>
      <c r="S28" s="850">
        <f>'Ib.Energy-Transport '!F201/1000</f>
        <v>153.53660992642881</v>
      </c>
      <c r="T28" s="1192">
        <f>('01 Energy'!T28*EF_CO2_ElectGen_DCI)/1000</f>
        <v>0.1344682656074998</v>
      </c>
      <c r="U28" s="851">
        <f t="shared" si="4"/>
        <v>158.57894944748475</v>
      </c>
      <c r="V28" s="850">
        <v>0.637192900063418</v>
      </c>
      <c r="W28" s="850">
        <v>2.4418247425917992</v>
      </c>
      <c r="X28" s="850">
        <v>0</v>
      </c>
      <c r="Y28" s="1013">
        <f t="shared" si="5"/>
        <v>3.0790176426552174</v>
      </c>
      <c r="Z28" s="1022"/>
      <c r="AA28" s="1022"/>
      <c r="AB28" s="1354">
        <f>IV.Waste!Q122/1000</f>
        <v>9.1296107796449917</v>
      </c>
      <c r="AC28" s="852">
        <f t="shared" si="6"/>
        <v>538.64962187195044</v>
      </c>
    </row>
    <row r="29" spans="2:29" x14ac:dyDescent="0.45">
      <c r="B29" s="833" t="s">
        <v>549</v>
      </c>
      <c r="C29" s="834">
        <f>'01 Energy'!C29*(EF_GHG_ElectGen+EF_GHG_ElectTD)/1000000</f>
        <v>108.46206741074529</v>
      </c>
      <c r="D29" s="835">
        <f>'01 Energy'!D29*EF_GHG_NatGas_DCI/1000000</f>
        <v>251.45752325980499</v>
      </c>
      <c r="E29" s="835">
        <f>'01 Energy'!E29*EF_GHG_Coal_DCI/1000000</f>
        <v>1.3333407549004077</v>
      </c>
      <c r="F29" s="835">
        <f>'01 Energy'!F29*EF_GHG_GasOil/1000000</f>
        <v>1.5384490331009235</v>
      </c>
      <c r="G29" s="837">
        <f t="shared" si="1"/>
        <v>362.7913804585516</v>
      </c>
      <c r="H29" s="849">
        <f>'01 Energy'!H29*(EF_GHG_ElectGen+EF_GHG_ElectTD)/1000000</f>
        <v>160.39661711861831</v>
      </c>
      <c r="I29" s="835">
        <f t="shared" si="2"/>
        <v>132.08675284624218</v>
      </c>
      <c r="J29" s="835">
        <f>'01 Energy'!J29*EF_GHG_NatGas_DCI/1000000</f>
        <v>135.04823530991192</v>
      </c>
      <c r="K29" s="835">
        <f>'01 Energy'!K29*EF_GHG_Coal_DCI/1000000</f>
        <v>0</v>
      </c>
      <c r="L29" s="850">
        <f>'01 Energy'!L29*EF_GHG_GasOil/1000000</f>
        <v>3.997297327652344</v>
      </c>
      <c r="M29" s="850">
        <f>'01 Energy'!M29*EF_GHG_W_R_IC/1000000</f>
        <v>5.0827602663124578</v>
      </c>
      <c r="N29" s="837">
        <f t="shared" si="3"/>
        <v>276.21504575011892</v>
      </c>
      <c r="O29" s="850">
        <f>'Ib.Energy-Transport '!I202/1000</f>
        <v>0</v>
      </c>
      <c r="P29" s="850">
        <f>'Ib.Energy-Transport '!J202/1000</f>
        <v>1.9164841809173331E-2</v>
      </c>
      <c r="Q29" s="850">
        <f>'Ib.Energy-Transport '!G202/1000</f>
        <v>0.89095923644991171</v>
      </c>
      <c r="R29" s="850">
        <f>'Ib.Energy-Transport '!H202/1000</f>
        <v>28.178179756721605</v>
      </c>
      <c r="S29" s="850">
        <f>'Ib.Energy-Transport '!F202/1000</f>
        <v>153.70695751952007</v>
      </c>
      <c r="T29" s="1192">
        <f>('01 Energy'!T29*EF_CO2_ElectGen_DCI)/1000</f>
        <v>0.13168451565450009</v>
      </c>
      <c r="U29" s="851">
        <f t="shared" si="4"/>
        <v>182.92694587015527</v>
      </c>
      <c r="V29" s="850">
        <v>0.61517681163734583</v>
      </c>
      <c r="W29" s="850">
        <v>5.5656539201933715</v>
      </c>
      <c r="X29" s="850">
        <v>0</v>
      </c>
      <c r="Y29" s="1013">
        <f t="shared" si="5"/>
        <v>6.1808307318307172</v>
      </c>
      <c r="Z29" s="1022"/>
      <c r="AA29" s="1022"/>
      <c r="AB29" s="1354">
        <f>IV.Waste!Q123/1000</f>
        <v>0</v>
      </c>
      <c r="AC29" s="852">
        <f t="shared" si="6"/>
        <v>828.11420281065648</v>
      </c>
    </row>
    <row r="30" spans="2:29" x14ac:dyDescent="0.45">
      <c r="B30" s="833" t="s">
        <v>550</v>
      </c>
      <c r="C30" s="834">
        <f>'01 Energy'!C30*(EF_GHG_ElectGen+EF_GHG_ElectTD)/1000000</f>
        <v>101.78524478408438</v>
      </c>
      <c r="D30" s="835">
        <f>'01 Energy'!D30*EF_GHG_NatGas_DCI/1000000</f>
        <v>240.5243829465</v>
      </c>
      <c r="E30" s="835">
        <f>'01 Energy'!E30*EF_GHG_Coal_DCI/1000000</f>
        <v>2.0844324050069654</v>
      </c>
      <c r="F30" s="835">
        <f>'01 Energy'!F30*EF_GHG_GasOil/1000000</f>
        <v>1.0331442522098269</v>
      </c>
      <c r="G30" s="837">
        <f t="shared" si="1"/>
        <v>345.42720438780117</v>
      </c>
      <c r="H30" s="849">
        <f>'01 Energy'!H30*(EF_GHG_ElectGen+EF_GHG_ElectTD)/1000000</f>
        <v>74.102975038582684</v>
      </c>
      <c r="I30" s="835">
        <f t="shared" si="2"/>
        <v>61.381092247088326</v>
      </c>
      <c r="J30" s="835">
        <f>'01 Energy'!J30*EF_GHG_NatGas_DCI/1000000</f>
        <v>65.237569679917812</v>
      </c>
      <c r="K30" s="835">
        <f>'01 Energy'!K30*EF_GHG_Coal_DCI/1000000</f>
        <v>3.0896589205117956E-2</v>
      </c>
      <c r="L30" s="850">
        <f>'01 Energy'!L30*EF_GHG_GasOil/1000000</f>
        <v>2.7318237323881878</v>
      </c>
      <c r="M30" s="850">
        <f>'01 Energy'!M30*EF_GHG_W_R_IC/1000000</f>
        <v>7.9697097488033188</v>
      </c>
      <c r="N30" s="837">
        <f t="shared" si="3"/>
        <v>137.35109199740276</v>
      </c>
      <c r="O30" s="850">
        <f>'Ib.Energy-Transport '!I203/1000</f>
        <v>9.7057815647977538E-3</v>
      </c>
      <c r="P30" s="850">
        <f>'Ib.Energy-Transport '!J203/1000</f>
        <v>0.64523329442470256</v>
      </c>
      <c r="Q30" s="850">
        <f>'Ib.Energy-Transport '!G203/1000</f>
        <v>1.3081675303600095</v>
      </c>
      <c r="R30" s="850">
        <f>'Ib.Energy-Transport '!H203/1000</f>
        <v>12.600076509348563</v>
      </c>
      <c r="S30" s="850">
        <f>'Ib.Energy-Transport '!F203/1000</f>
        <v>144.49321701826668</v>
      </c>
      <c r="T30" s="1192">
        <f>('01 Energy'!T30*EF_CO2_ElectGen_DCI)/1000</f>
        <v>0.12180628214579994</v>
      </c>
      <c r="U30" s="851">
        <f t="shared" si="4"/>
        <v>159.17820641611056</v>
      </c>
      <c r="V30" s="850">
        <v>1.712314260935611</v>
      </c>
      <c r="W30" s="850">
        <v>3.9357542900642151</v>
      </c>
      <c r="X30" s="850">
        <v>0</v>
      </c>
      <c r="Y30" s="1013">
        <f t="shared" si="5"/>
        <v>5.6480685509998256</v>
      </c>
      <c r="Z30" s="1022"/>
      <c r="AA30" s="1022"/>
      <c r="AB30" s="1354">
        <f>IV.Waste!Q124/1000</f>
        <v>166.20537750802615</v>
      </c>
      <c r="AC30" s="852">
        <f t="shared" si="6"/>
        <v>813.80994886034046</v>
      </c>
    </row>
    <row r="31" spans="2:29" x14ac:dyDescent="0.45">
      <c r="B31" s="833" t="s">
        <v>551</v>
      </c>
      <c r="C31" s="834">
        <f>'01 Energy'!C31*(EF_GHG_ElectGen+EF_GHG_ElectTD)/1000000</f>
        <v>77.293642063332101</v>
      </c>
      <c r="D31" s="835">
        <f>'01 Energy'!D31*EF_GHG_NatGas_DCI/1000000</f>
        <v>193.55212345602601</v>
      </c>
      <c r="E31" s="835">
        <f>'01 Energy'!E31*EF_GHG_Coal_DCI/1000000</f>
        <v>1.9228957158382884</v>
      </c>
      <c r="F31" s="835">
        <f>'01 Energy'!F31*EF_GHG_GasOil/1000000</f>
        <v>1.1113902923419159</v>
      </c>
      <c r="G31" s="837">
        <f t="shared" si="1"/>
        <v>273.88005152753834</v>
      </c>
      <c r="H31" s="849">
        <f>'01 Energy'!H31*(EF_GHG_ElectGen+EF_GHG_ElectTD)/1000000</f>
        <v>125.59193093839839</v>
      </c>
      <c r="I31" s="835">
        <f t="shared" si="2"/>
        <v>112.03681871473722</v>
      </c>
      <c r="J31" s="835">
        <f>'01 Energy'!J31*EF_GHG_NatGas_DCI/1000000</f>
        <v>55.099822584213896</v>
      </c>
      <c r="K31" s="835">
        <f>'01 Energy'!K31*EF_GHG_Coal_DCI/1000000</f>
        <v>0.38615865782172515</v>
      </c>
      <c r="L31" s="850">
        <f>'01 Energy'!L31*EF_GHG_GasOil/1000000</f>
        <v>7.5478166786837706</v>
      </c>
      <c r="M31" s="850">
        <f>'01 Energy'!M31*EF_GHG_W_R_IC/1000000</f>
        <v>7.5053216668819509</v>
      </c>
      <c r="N31" s="837">
        <f t="shared" si="3"/>
        <v>182.57593830233859</v>
      </c>
      <c r="O31" s="850">
        <f>'Ib.Energy-Transport '!I204/1000</f>
        <v>0</v>
      </c>
      <c r="P31" s="850">
        <f>'Ib.Energy-Transport '!J204/1000</f>
        <v>0</v>
      </c>
      <c r="Q31" s="850">
        <f>'Ib.Energy-Transport '!G204/1000</f>
        <v>0.69104931967589656</v>
      </c>
      <c r="R31" s="850">
        <f>'Ib.Energy-Transport '!H204/1000</f>
        <v>13.447440598042769</v>
      </c>
      <c r="S31" s="850">
        <f>'Ib.Energy-Transport '!F204/1000</f>
        <v>126.75321482377261</v>
      </c>
      <c r="T31" s="1192">
        <f>('01 Energy'!T31*EF_CO2_ElectGen_DCI)/1000</f>
        <v>0.10767162561839996</v>
      </c>
      <c r="U31" s="851">
        <f t="shared" si="4"/>
        <v>140.99937636710968</v>
      </c>
      <c r="V31" s="850">
        <v>0.78338579740140746</v>
      </c>
      <c r="W31" s="850">
        <v>2.1180223876746584</v>
      </c>
      <c r="X31" s="850">
        <v>0</v>
      </c>
      <c r="Y31" s="1013">
        <f t="shared" si="5"/>
        <v>2.901408185076066</v>
      </c>
      <c r="Z31" s="1022"/>
      <c r="AA31" s="1022"/>
      <c r="AB31" s="1354">
        <f>IV.Waste!Q125/1000</f>
        <v>16.750961807310755</v>
      </c>
      <c r="AC31" s="852">
        <f t="shared" si="6"/>
        <v>617.10773618937344</v>
      </c>
    </row>
    <row r="32" spans="2:29" x14ac:dyDescent="0.45">
      <c r="B32" s="833" t="s">
        <v>552</v>
      </c>
      <c r="C32" s="834">
        <f>'01 Energy'!C32*(EF_GHG_ElectGen+EF_GHG_ElectTD)/1000000</f>
        <v>94.983790904127289</v>
      </c>
      <c r="D32" s="835">
        <f>'01 Energy'!D32*EF_GHG_NatGas_DCI/1000000</f>
        <v>197.11182902289301</v>
      </c>
      <c r="E32" s="835">
        <f>'01 Energy'!E32*EF_GHG_Coal_DCI/1000000</f>
        <v>2.1515954219663249</v>
      </c>
      <c r="F32" s="835">
        <f>'01 Energy'!F32*EF_GHG_GasOil/1000000</f>
        <v>0.47418603180475549</v>
      </c>
      <c r="G32" s="837">
        <f t="shared" si="1"/>
        <v>294.72140138079135</v>
      </c>
      <c r="H32" s="849">
        <f>'01 Energy'!H32*(EF_GHG_ElectGen+EF_GHG_ElectTD)/1000000</f>
        <v>253.39878325908998</v>
      </c>
      <c r="I32" s="835">
        <f t="shared" si="2"/>
        <v>227.35774027619257</v>
      </c>
      <c r="J32" s="835">
        <f>'01 Energy'!J32*EF_GHG_NatGas_DCI/1000000</f>
        <v>171.3071811555117</v>
      </c>
      <c r="K32" s="835">
        <f>'01 Energy'!K32*EF_GHG_Coal_DCI/1000000</f>
        <v>6.581275675153693E-2</v>
      </c>
      <c r="L32" s="850">
        <f>'01 Energy'!L32*EF_GHG_GasOil/1000000</f>
        <v>32.093737742336927</v>
      </c>
      <c r="M32" s="850">
        <f>'01 Energy'!M32*EF_GHG_W_R_IC/1000000</f>
        <v>8.2657105706040177</v>
      </c>
      <c r="N32" s="837">
        <f t="shared" si="3"/>
        <v>439.09018250139678</v>
      </c>
      <c r="O32" s="850">
        <f>'Ib.Energy-Transport '!I205/1000</f>
        <v>40.65212545228588</v>
      </c>
      <c r="P32" s="850">
        <f>'Ib.Energy-Transport '!J205/1000</f>
        <v>4.3420404949289519</v>
      </c>
      <c r="Q32" s="850">
        <f>'Ib.Energy-Transport '!G205/1000</f>
        <v>2.3007914813267361</v>
      </c>
      <c r="R32" s="850">
        <f>'Ib.Energy-Transport '!H205/1000</f>
        <v>25.890578519025492</v>
      </c>
      <c r="S32" s="850">
        <f>'Ib.Energy-Transport '!F205/1000</f>
        <v>171.88957701388497</v>
      </c>
      <c r="T32" s="1192">
        <f>('01 Energy'!T32*EF_CO2_ElectGen_DCI)/1000</f>
        <v>0.15046446387191986</v>
      </c>
      <c r="U32" s="851">
        <f t="shared" si="4"/>
        <v>245.22557742532393</v>
      </c>
      <c r="V32" s="850">
        <v>1.3024668849603556</v>
      </c>
      <c r="W32" s="850">
        <v>6.1114297037186871</v>
      </c>
      <c r="X32" s="850">
        <v>0.38639304848098904</v>
      </c>
      <c r="Y32" s="1013">
        <f t="shared" si="5"/>
        <v>7.8002896371600317</v>
      </c>
      <c r="Z32" s="1022"/>
      <c r="AA32" s="1022"/>
      <c r="AB32" s="1354">
        <f>IV.Waste!Q126/1000</f>
        <v>210.15147399664704</v>
      </c>
      <c r="AC32" s="852">
        <f t="shared" si="6"/>
        <v>1196.9889249413193</v>
      </c>
    </row>
    <row r="33" spans="2:30" x14ac:dyDescent="0.45">
      <c r="B33" s="833" t="s">
        <v>553</v>
      </c>
      <c r="C33" s="834">
        <f>'01 Energy'!C33*(EF_GHG_ElectGen+EF_GHG_ElectTD)/1000000</f>
        <v>98.122144978282606</v>
      </c>
      <c r="D33" s="835">
        <f>'01 Energy'!D33*EF_GHG_NatGas_DCI/1000000</f>
        <v>261.40673745459901</v>
      </c>
      <c r="E33" s="835">
        <f>'01 Energy'!E33*EF_GHG_Coal_DCI/1000000</f>
        <v>2.0825484370046077</v>
      </c>
      <c r="F33" s="835">
        <f>'01 Energy'!F33*EF_GHG_GasOil/1000000</f>
        <v>1.1996327884981308</v>
      </c>
      <c r="G33" s="837">
        <f t="shared" si="1"/>
        <v>362.8110636583844</v>
      </c>
      <c r="H33" s="849">
        <f>'01 Energy'!H33*(EF_GHG_ElectGen+EF_GHG_ElectTD)/1000000</f>
        <v>66.013414068770686</v>
      </c>
      <c r="I33" s="835">
        <f t="shared" si="2"/>
        <v>54.41316181248537</v>
      </c>
      <c r="J33" s="835">
        <f>'01 Energy'!J33*EF_GHG_NatGas_DCI/1000000</f>
        <v>45.424598276263502</v>
      </c>
      <c r="K33" s="835">
        <f>'01 Energy'!K33*EF_GHG_Coal_DCI/1000000</f>
        <v>0.19375494907365684</v>
      </c>
      <c r="L33" s="850">
        <f>'01 Energy'!L33*EF_GHG_GasOil/1000000</f>
        <v>8.4768188346800919</v>
      </c>
      <c r="M33" s="850">
        <f>'01 Energy'!M33*EF_GHG_W_R_IC/1000000</f>
        <v>7.9648174013553659</v>
      </c>
      <c r="N33" s="837">
        <f t="shared" si="3"/>
        <v>116.47315127385797</v>
      </c>
      <c r="O33" s="850">
        <f>'Ib.Energy-Transport '!I206/1000</f>
        <v>0.87306421045310378</v>
      </c>
      <c r="P33" s="850">
        <f>'Ib.Energy-Transport '!J206/1000</f>
        <v>0</v>
      </c>
      <c r="Q33" s="850">
        <f>'Ib.Energy-Transport '!G206/1000</f>
        <v>0.68331705162458356</v>
      </c>
      <c r="R33" s="850">
        <f>'Ib.Energy-Transport '!H206/1000</f>
        <v>11.370309594965644</v>
      </c>
      <c r="S33" s="850">
        <f>'Ib.Energy-Transport '!F206/1000</f>
        <v>244.43891050526753</v>
      </c>
      <c r="T33" s="1192">
        <f>('01 Energy'!T33*EF_CO2_ElectGen_DCI)/1000</f>
        <v>0.22994266131966992</v>
      </c>
      <c r="U33" s="851">
        <f t="shared" si="4"/>
        <v>257.59554402363057</v>
      </c>
      <c r="V33" s="850">
        <v>1.0922245973226183</v>
      </c>
      <c r="W33" s="850">
        <v>2.2725381088664611</v>
      </c>
      <c r="X33" s="850">
        <v>0</v>
      </c>
      <c r="Y33" s="1013">
        <f t="shared" si="5"/>
        <v>3.3647627061890795</v>
      </c>
      <c r="Z33" s="1022"/>
      <c r="AA33" s="1022"/>
      <c r="AB33" s="1354">
        <f>IV.Waste!Q127/1000</f>
        <v>0</v>
      </c>
      <c r="AC33" s="852">
        <f t="shared" si="6"/>
        <v>740.24452166206197</v>
      </c>
      <c r="AD33" s="1677"/>
    </row>
    <row r="34" spans="2:30" x14ac:dyDescent="0.45">
      <c r="B34" s="833" t="s">
        <v>554</v>
      </c>
      <c r="C34" s="834">
        <f>'01 Energy'!C34*(EF_GHG_ElectGen+EF_GHG_ElectTD)/1000000</f>
        <v>83.495188813111582</v>
      </c>
      <c r="D34" s="835">
        <f>'01 Energy'!D34*EF_GHG_NatGas_DCI/1000000</f>
        <v>215.29371468309301</v>
      </c>
      <c r="E34" s="835">
        <f>'01 Energy'!E34*EF_GHG_Coal_DCI/1000000</f>
        <v>1.4581689707654142</v>
      </c>
      <c r="F34" s="835">
        <f>'01 Energy'!F34*EF_GHG_GasOil/1000000</f>
        <v>1.6224661020274493</v>
      </c>
      <c r="G34" s="837">
        <f t="shared" si="1"/>
        <v>301.86953856899748</v>
      </c>
      <c r="H34" s="849">
        <f>'01 Energy'!H34*(EF_GHG_ElectGen+EF_GHG_ElectTD)/1000000</f>
        <v>78.875267957723295</v>
      </c>
      <c r="I34" s="835">
        <f t="shared" si="2"/>
        <v>73.055077567923149</v>
      </c>
      <c r="J34" s="835">
        <f>'01 Energy'!J34*EF_GHG_NatGas_DCI/1000000</f>
        <v>54.6763645776294</v>
      </c>
      <c r="K34" s="835">
        <f>'01 Energy'!K34*EF_GHG_Coal_DCI/1000000</f>
        <v>0</v>
      </c>
      <c r="L34" s="850">
        <f>'01 Energy'!L34*EF_GHG_GasOil/1000000</f>
        <v>6.9411925209419181</v>
      </c>
      <c r="M34" s="850">
        <f>'01 Energy'!M34*EF_GHG_W_R_IC/1000000</f>
        <v>5.4118153318685822</v>
      </c>
      <c r="N34" s="837">
        <f t="shared" si="3"/>
        <v>140.08444999836306</v>
      </c>
      <c r="O34" s="850">
        <f>'Ib.Energy-Transport '!I207/1000</f>
        <v>46.482750010618879</v>
      </c>
      <c r="P34" s="850">
        <f>'Ib.Energy-Transport '!J207/1000</f>
        <v>0</v>
      </c>
      <c r="Q34" s="850">
        <f>'Ib.Energy-Transport '!G207/1000</f>
        <v>0.12703056026728426</v>
      </c>
      <c r="R34" s="850">
        <f>'Ib.Energy-Transport '!H207/1000</f>
        <v>5.6930082501902861</v>
      </c>
      <c r="S34" s="850">
        <f>'Ib.Energy-Transport '!F207/1000</f>
        <v>157.79568059439163</v>
      </c>
      <c r="T34" s="1192">
        <f>('01 Energy'!T34*EF_CO2_ElectGen_DCI)/1000</f>
        <v>0.12718213960985628</v>
      </c>
      <c r="U34" s="851">
        <f t="shared" si="4"/>
        <v>210.22565155507795</v>
      </c>
      <c r="V34" s="850">
        <v>2.303297869922496</v>
      </c>
      <c r="W34" s="850">
        <v>2.9463567535550879</v>
      </c>
      <c r="X34" s="850">
        <v>0</v>
      </c>
      <c r="Y34" s="1013">
        <f t="shared" si="5"/>
        <v>5.2496546234775838</v>
      </c>
      <c r="Z34" s="1022"/>
      <c r="AA34" s="1022"/>
      <c r="AB34" s="1354">
        <f>IV.Waste!Q128/1000</f>
        <v>0</v>
      </c>
      <c r="AC34" s="852">
        <f t="shared" si="6"/>
        <v>657.42929474591608</v>
      </c>
      <c r="AD34" s="1677"/>
    </row>
    <row r="35" spans="2:30" x14ac:dyDescent="0.45">
      <c r="B35" s="833" t="s">
        <v>555</v>
      </c>
      <c r="C35" s="834">
        <f>'01 Energy'!C35*(EF_GHG_ElectGen+EF_GHG_ElectTD)/1000000</f>
        <v>111.78328412910399</v>
      </c>
      <c r="D35" s="835">
        <f>'01 Energy'!D35*EF_GHG_NatGas_DCI/1000000</f>
        <v>187.83666156272403</v>
      </c>
      <c r="E35" s="835">
        <f>'01 Energy'!E35*EF_GHG_Coal_DCI/1000000</f>
        <v>1.0534058179658861</v>
      </c>
      <c r="F35" s="835">
        <f>'01 Energy'!F35*EF_GHG_GasOil/1000000</f>
        <v>2.1140967601770337</v>
      </c>
      <c r="G35" s="837">
        <f t="shared" si="1"/>
        <v>302.78744826997092</v>
      </c>
      <c r="H35" s="849">
        <f>'01 Energy'!H35*(EF_GHG_ElectGen+EF_GHG_ElectTD)/1000000</f>
        <v>301.46831755928997</v>
      </c>
      <c r="I35" s="835">
        <f t="shared" si="2"/>
        <v>283.97194804347089</v>
      </c>
      <c r="J35" s="835">
        <f>'01 Energy'!J35*EF_GHG_NatGas_DCI/1000000</f>
        <v>175.29052272063933</v>
      </c>
      <c r="K35" s="835">
        <f>'01 Energy'!K35*EF_GHG_Coal_DCI/1000000</f>
        <v>0.16150711954295049</v>
      </c>
      <c r="L35" s="850">
        <f>'01 Energy'!L35*EF_GHG_GasOil/1000000</f>
        <v>8.1843999402816117</v>
      </c>
      <c r="M35" s="850">
        <f>'01 Energy'!M35*EF_GHG_W_R_IC/1000000</f>
        <v>4.0175406072829531</v>
      </c>
      <c r="N35" s="837">
        <f t="shared" si="3"/>
        <v>471.62591843121771</v>
      </c>
      <c r="O35" s="850">
        <f>'Ib.Energy-Transport '!I208/1000</f>
        <v>1.3166088870173247</v>
      </c>
      <c r="P35" s="850">
        <f>'Ib.Energy-Transport '!J208/1000</f>
        <v>4.5509310048639628</v>
      </c>
      <c r="Q35" s="850">
        <f>'Ib.Energy-Transport '!G208/1000</f>
        <v>0.65889735700541407</v>
      </c>
      <c r="R35" s="850">
        <f>'Ib.Energy-Transport '!H208/1000</f>
        <v>17.373613394694718</v>
      </c>
      <c r="S35" s="850">
        <f>'Ib.Energy-Transport '!F208/1000</f>
        <v>152.21283509205071</v>
      </c>
      <c r="T35" s="1192">
        <f>('01 Energy'!T35*EF_CO2_ElectGen_DCI)/1000</f>
        <v>0.12275612112435989</v>
      </c>
      <c r="U35" s="851">
        <f t="shared" si="4"/>
        <v>176.23564185675647</v>
      </c>
      <c r="V35" s="850">
        <v>0.59441567451468502</v>
      </c>
      <c r="W35" s="850">
        <v>4.5438576928512955</v>
      </c>
      <c r="X35" s="850">
        <v>0</v>
      </c>
      <c r="Y35" s="1013">
        <f t="shared" si="5"/>
        <v>5.1382733673659802</v>
      </c>
      <c r="Z35" s="1022"/>
      <c r="AA35" s="1022"/>
      <c r="AB35" s="1354">
        <f>IV.Waste!Q129/1000</f>
        <v>0</v>
      </c>
      <c r="AC35" s="852">
        <f t="shared" si="6"/>
        <v>955.78728192531105</v>
      </c>
      <c r="AD35" s="1677"/>
    </row>
    <row r="36" spans="2:30" x14ac:dyDescent="0.45">
      <c r="B36" s="833" t="s">
        <v>556</v>
      </c>
      <c r="C36" s="834">
        <f>'01 Energy'!C36*(EF_GHG_ElectGen+EF_GHG_ElectTD)/1000000</f>
        <v>78.960908368782995</v>
      </c>
      <c r="D36" s="835">
        <f>'01 Energy'!D36*EF_GHG_NatGas_DCI/1000000</f>
        <v>188.38508693432399</v>
      </c>
      <c r="E36" s="835">
        <f>'01 Energy'!E36*EF_GHG_Coal_DCI/1000000</f>
        <v>1.6603227681906598</v>
      </c>
      <c r="F36" s="835">
        <f>'01 Energy'!F36*EF_GHG_GasOil/1000000</f>
        <v>1.2889084181607346</v>
      </c>
      <c r="G36" s="837">
        <f t="shared" si="1"/>
        <v>270.2952264894584</v>
      </c>
      <c r="H36" s="849">
        <f>'01 Energy'!H36*(EF_GHG_ElectGen+EF_GHG_ElectTD)/1000000</f>
        <v>91.13343441762909</v>
      </c>
      <c r="I36" s="835">
        <f t="shared" si="2"/>
        <v>88.451016586061328</v>
      </c>
      <c r="J36" s="835">
        <f>'01 Energy'!J36*EF_GHG_NatGas_DCI/1000000</f>
        <v>48.861980999422201</v>
      </c>
      <c r="K36" s="835">
        <f>'01 Energy'!K36*EF_GHG_Coal_DCI/1000000</f>
        <v>1.4750343448979904E-2</v>
      </c>
      <c r="L36" s="850">
        <f>'01 Energy'!L36*EF_GHG_GasOil/1000000</f>
        <v>8.1899225514849956</v>
      </c>
      <c r="M36" s="850">
        <f>'01 Energy'!M36*EF_GHG_W_R_IC/1000000</f>
        <v>6.0639985986268679</v>
      </c>
      <c r="N36" s="837">
        <f t="shared" si="3"/>
        <v>151.58166907904436</v>
      </c>
      <c r="O36" s="850">
        <f>'Ib.Energy-Transport '!I209/1000</f>
        <v>4.4182085522614843E-2</v>
      </c>
      <c r="P36" s="850">
        <f>'Ib.Energy-Transport '!J209/1000</f>
        <v>0</v>
      </c>
      <c r="Q36" s="850">
        <f>'Ib.Energy-Transport '!G209/1000</f>
        <v>0</v>
      </c>
      <c r="R36" s="850">
        <f>'Ib.Energy-Transport '!H209/1000</f>
        <v>2.5848317843517812</v>
      </c>
      <c r="S36" s="850">
        <f>'Ib.Energy-Transport '!F209/1000</f>
        <v>108.67683218553442</v>
      </c>
      <c r="T36" s="1192">
        <f>('01 Energy'!T36*EF_CO2_ElectGen_DCI)/1000</f>
        <v>9.7586047215989971E-2</v>
      </c>
      <c r="U36" s="851">
        <f t="shared" si="4"/>
        <v>111.40343210262481</v>
      </c>
      <c r="V36" s="850">
        <v>3.0402752059770304</v>
      </c>
      <c r="W36" s="850">
        <v>2.9280632290839343</v>
      </c>
      <c r="X36" s="850">
        <v>0</v>
      </c>
      <c r="Y36" s="1013">
        <f t="shared" si="5"/>
        <v>5.9683384350609643</v>
      </c>
      <c r="Z36" s="1022"/>
      <c r="AA36" s="1022"/>
      <c r="AB36" s="1354">
        <f>IV.Waste!Q130/1000</f>
        <v>463.57183315115952</v>
      </c>
      <c r="AC36" s="852">
        <f t="shared" si="6"/>
        <v>1002.820499257348</v>
      </c>
      <c r="AD36" s="1677"/>
    </row>
    <row r="37" spans="2:30" x14ac:dyDescent="0.45">
      <c r="B37" s="833" t="s">
        <v>557</v>
      </c>
      <c r="C37" s="834">
        <f>'01 Energy'!C37*(EF_GHG_ElectGen+EF_GHG_ElectTD)/1000000</f>
        <v>105.25794255513878</v>
      </c>
      <c r="D37" s="835">
        <f>'01 Energy'!D37*EF_GHG_NatGas_DCI/1000000</f>
        <v>126.9127762297623</v>
      </c>
      <c r="E37" s="835">
        <f>'01 Energy'!E37*EF_GHG_Coal_DCI/1000000</f>
        <v>0.51469187578813047</v>
      </c>
      <c r="F37" s="835">
        <f>'01 Energy'!F37*EF_GHG_GasOil/1000000</f>
        <v>1.1529148470042767</v>
      </c>
      <c r="G37" s="837">
        <f t="shared" si="1"/>
        <v>233.83832550769347</v>
      </c>
      <c r="H37" s="849">
        <f>'01 Energy'!H37*(EF_GHG_ElectGen+EF_GHG_ElectTD)/1000000</f>
        <v>538.2129299765819</v>
      </c>
      <c r="I37" s="835">
        <f t="shared" si="2"/>
        <v>513.76194871565701</v>
      </c>
      <c r="J37" s="835">
        <f>'01 Energy'!J37*EF_GHG_NatGas_DCI/1000000</f>
        <v>155.17627133625811</v>
      </c>
      <c r="K37" s="835">
        <f>'01 Energy'!K37*EF_GHG_Coal_DCI/1000000</f>
        <v>0.63328670948109778</v>
      </c>
      <c r="L37" s="850">
        <f>'01 Energy'!L37*EF_GHG_GasOil/1000000</f>
        <v>20.000832271064159</v>
      </c>
      <c r="M37" s="850">
        <f>'01 Energy'!M37*EF_GHG_W_R_IC/1000000</f>
        <v>7.661258174600249</v>
      </c>
      <c r="N37" s="837">
        <f t="shared" si="3"/>
        <v>697.2335972070606</v>
      </c>
      <c r="O37" s="850">
        <f>'Ib.Energy-Transport '!I210/1000</f>
        <v>13.073829923436364</v>
      </c>
      <c r="P37" s="850">
        <f>'Ib.Energy-Transport '!J210/1000</f>
        <v>9.9164502219082511</v>
      </c>
      <c r="Q37" s="850">
        <f>'Ib.Energy-Transport '!G210/1000</f>
        <v>1.7830016969268656E-3</v>
      </c>
      <c r="R37" s="850">
        <f>'Ib.Energy-Transport '!H210/1000</f>
        <v>24.306280154556575</v>
      </c>
      <c r="S37" s="850">
        <f>'Ib.Energy-Transport '!F210/1000</f>
        <v>151.89774546817858</v>
      </c>
      <c r="T37" s="1192">
        <f>('01 Energy'!T37*EF_CO2_ElectGen_DCI)/1000</f>
        <v>0.14470110636834005</v>
      </c>
      <c r="U37" s="851">
        <f t="shared" si="4"/>
        <v>199.34078987614504</v>
      </c>
      <c r="V37" s="850">
        <v>2.50477106135809</v>
      </c>
      <c r="W37" s="850">
        <v>4.4386897931071712</v>
      </c>
      <c r="X37" s="850">
        <v>0</v>
      </c>
      <c r="Y37" s="1013">
        <f t="shared" si="5"/>
        <v>6.9434608544652612</v>
      </c>
      <c r="Z37" s="1022"/>
      <c r="AA37" s="1022"/>
      <c r="AB37" s="1354">
        <f>IV.Waste!Q131/1000</f>
        <v>0</v>
      </c>
      <c r="AC37" s="852">
        <f t="shared" si="6"/>
        <v>1137.3561734453642</v>
      </c>
      <c r="AD37" s="1677"/>
    </row>
    <row r="38" spans="2:30" x14ac:dyDescent="0.45">
      <c r="B38" s="833" t="s">
        <v>558</v>
      </c>
      <c r="C38" s="834">
        <f>'01 Energy'!C38*(EF_GHG_ElectGen+EF_GHG_ElectTD)/1000000</f>
        <v>85.968080242839903</v>
      </c>
      <c r="D38" s="835">
        <f>'01 Energy'!D38*EF_GHG_NatGas_DCI/1000000</f>
        <v>216.74790654812099</v>
      </c>
      <c r="E38" s="835">
        <f>'01 Energy'!E38*EF_GHG_Coal_DCI/1000000</f>
        <v>2.2568096779944873</v>
      </c>
      <c r="F38" s="835">
        <f>'01 Energy'!F38*EF_GHG_GasOil/1000000</f>
        <v>0.74598712245072751</v>
      </c>
      <c r="G38" s="837">
        <f t="shared" si="1"/>
        <v>305.71878359140612</v>
      </c>
      <c r="H38" s="849">
        <f>'01 Energy'!H38*(EF_GHG_ElectGen+EF_GHG_ElectTD)/1000000</f>
        <v>84.524665523351899</v>
      </c>
      <c r="I38" s="835">
        <f t="shared" si="2"/>
        <v>76.370898395250506</v>
      </c>
      <c r="J38" s="835">
        <f>'01 Energy'!J38*EF_GHG_NatGas_DCI/1000000</f>
        <v>56.653048719586799</v>
      </c>
      <c r="K38" s="835">
        <f>'01 Energy'!K38*EF_GHG_Coal_DCI/1000000</f>
        <v>3.0896589205117956E-2</v>
      </c>
      <c r="L38" s="850">
        <f>'01 Energy'!L38*EF_GHG_GasOil/1000000</f>
        <v>9.0984237193415591</v>
      </c>
      <c r="M38" s="850">
        <f>'01 Energy'!M38*EF_GHG_W_R_IC/1000000</f>
        <v>8.6199957270892078</v>
      </c>
      <c r="N38" s="837">
        <f t="shared" si="3"/>
        <v>150.77326315047321</v>
      </c>
      <c r="O38" s="850">
        <f>'Ib.Energy-Transport '!I211/1000</f>
        <v>0.60549144992699833</v>
      </c>
      <c r="P38" s="850">
        <f>'Ib.Energy-Transport '!J211/1000</f>
        <v>0</v>
      </c>
      <c r="Q38" s="850">
        <f>'Ib.Energy-Transport '!G211/1000</f>
        <v>1.9521033418352245</v>
      </c>
      <c r="R38" s="850">
        <f>'Ib.Energy-Transport '!H211/1000</f>
        <v>7.9944057287696273</v>
      </c>
      <c r="S38" s="850">
        <f>'Ib.Energy-Transport '!F211/1000</f>
        <v>169.08906586425792</v>
      </c>
      <c r="T38" s="1192">
        <f>('01 Energy'!T38*EF_CO2_ElectGen_DCI)/1000</f>
        <v>0.15936139933176999</v>
      </c>
      <c r="U38" s="851">
        <f t="shared" si="4"/>
        <v>179.80042778412155</v>
      </c>
      <c r="V38" s="850">
        <v>0.81234944622971539</v>
      </c>
      <c r="W38" s="850">
        <v>2.8161239039898591</v>
      </c>
      <c r="X38" s="850">
        <v>0</v>
      </c>
      <c r="Y38" s="1013">
        <f t="shared" si="5"/>
        <v>3.6284733502195747</v>
      </c>
      <c r="Z38" s="1022"/>
      <c r="AA38" s="1022"/>
      <c r="AB38" s="1354">
        <f>IV.Waste!Q132/1000</f>
        <v>0</v>
      </c>
      <c r="AC38" s="852">
        <f t="shared" si="6"/>
        <v>639.92094787622045</v>
      </c>
      <c r="AD38" s="1677"/>
    </row>
    <row r="39" spans="2:30" x14ac:dyDescent="0.45">
      <c r="B39" s="833" t="s">
        <v>559</v>
      </c>
      <c r="C39" s="834">
        <f>'01 Energy'!C39*(EF_GHG_ElectGen+EF_GHG_ElectTD)/1000000</f>
        <v>124.53645687138248</v>
      </c>
      <c r="D39" s="835">
        <f>'01 Energy'!D39*EF_GHG_NatGas_DCI/1000000</f>
        <v>276.247532027646</v>
      </c>
      <c r="E39" s="835">
        <f>'01 Energy'!E39*EF_GHG_Coal_DCI/1000000</f>
        <v>1.6235845266314153</v>
      </c>
      <c r="F39" s="835">
        <f>'01 Energy'!F39*EF_GHG_GasOil/1000000</f>
        <v>1.4238543631282501</v>
      </c>
      <c r="G39" s="837">
        <f t="shared" si="1"/>
        <v>403.83142778878818</v>
      </c>
      <c r="H39" s="849">
        <f>'01 Energy'!H39*(EF_GHG_ElectGen+EF_GHG_ElectTD)/1000000</f>
        <v>124.11469184521889</v>
      </c>
      <c r="I39" s="835">
        <f t="shared" si="2"/>
        <v>99.479219769372904</v>
      </c>
      <c r="J39" s="835">
        <f>'01 Energy'!J39*EF_GHG_NatGas_DCI/1000000</f>
        <v>112.58840206266659</v>
      </c>
      <c r="K39" s="835">
        <f>'01 Energy'!K39*EF_GHG_Coal_DCI/1000000</f>
        <v>1.4750343448979904E-2</v>
      </c>
      <c r="L39" s="850">
        <f>'01 Energy'!L39*EF_GHG_GasOil/1000000</f>
        <v>5.4234810205979445</v>
      </c>
      <c r="M39" s="850">
        <f>'01 Energy'!M39*EF_GHG_W_R_IC/1000000</f>
        <v>6.3406827650894302</v>
      </c>
      <c r="N39" s="837">
        <f t="shared" si="3"/>
        <v>223.84653596117585</v>
      </c>
      <c r="O39" s="850">
        <f>'Ib.Energy-Transport '!I212/1000</f>
        <v>14.141434627016601</v>
      </c>
      <c r="P39" s="850">
        <f>'Ib.Energy-Transport '!J212/1000</f>
        <v>6.5582187728466827E-3</v>
      </c>
      <c r="Q39" s="850">
        <f>'Ib.Energy-Transport '!G212/1000</f>
        <v>1.3529443442061819</v>
      </c>
      <c r="R39" s="850">
        <f>'Ib.Energy-Transport '!H212/1000</f>
        <v>24.496503873162084</v>
      </c>
      <c r="S39" s="850">
        <f>'Ib.Energy-Transport '!F212/1000</f>
        <v>159.24399126519867</v>
      </c>
      <c r="T39" s="1192">
        <f>('01 Energy'!T39*EF_CO2_ElectGen_DCI)/1000</f>
        <v>0.13896820268390001</v>
      </c>
      <c r="U39" s="851">
        <f t="shared" si="4"/>
        <v>199.38040053104029</v>
      </c>
      <c r="V39" s="850">
        <v>2.019679413373161</v>
      </c>
      <c r="W39" s="850">
        <v>3.6430851217678928</v>
      </c>
      <c r="X39" s="850">
        <v>0</v>
      </c>
      <c r="Y39" s="1013">
        <f t="shared" si="5"/>
        <v>5.6627645351410543</v>
      </c>
      <c r="Z39" s="1022"/>
      <c r="AA39" s="1022"/>
      <c r="AB39" s="1354">
        <f>IV.Waste!Q133/1000</f>
        <v>0</v>
      </c>
      <c r="AC39" s="852">
        <f t="shared" si="6"/>
        <v>832.72112881614532</v>
      </c>
      <c r="AD39" s="1677"/>
    </row>
    <row r="40" spans="2:30" x14ac:dyDescent="0.45">
      <c r="B40" s="833" t="s">
        <v>560</v>
      </c>
      <c r="C40" s="834">
        <f>'01 Energy'!C40*(EF_GHG_ElectGen+EF_GHG_ElectTD)/1000000</f>
        <v>123.06712202313268</v>
      </c>
      <c r="D40" s="835">
        <f>'01 Energy'!D40*EF_GHG_NatGas_DCI/1000000</f>
        <v>174.5511208397325</v>
      </c>
      <c r="E40" s="835">
        <f>'01 Energy'!E40*EF_GHG_Coal_DCI/1000000</f>
        <v>0.46803721051298697</v>
      </c>
      <c r="F40" s="835">
        <f>'01 Energy'!F40*EF_GHG_GasOil/1000000</f>
        <v>2.9959692857898652</v>
      </c>
      <c r="G40" s="837">
        <f t="shared" si="1"/>
        <v>301.08224935916803</v>
      </c>
      <c r="H40" s="849">
        <f>'01 Energy'!H40*(EF_GHG_ElectGen+EF_GHG_ElectTD)/1000000</f>
        <v>792.69925140835096</v>
      </c>
      <c r="I40" s="835">
        <f t="shared" si="2"/>
        <v>752.94016777197203</v>
      </c>
      <c r="J40" s="835">
        <f>'01 Energy'!J40*EF_GHG_NatGas_DCI/1000000</f>
        <v>472.06123153251298</v>
      </c>
      <c r="K40" s="835">
        <f>'01 Energy'!K40*EF_GHG_Coal_DCI/1000000</f>
        <v>4.4528790043710647</v>
      </c>
      <c r="L40" s="850">
        <f>'01 Energy'!L40*EF_GHG_GasOil/1000000</f>
        <v>47.095994437716506</v>
      </c>
      <c r="M40" s="850">
        <f>'01 Energy'!M40*EF_GHG_W_R_IC/1000000</f>
        <v>1.6433687604926479</v>
      </c>
      <c r="N40" s="837">
        <f t="shared" si="3"/>
        <v>1278.193641507065</v>
      </c>
      <c r="O40" s="850">
        <f>'Ib.Energy-Transport '!I213/1000</f>
        <v>0</v>
      </c>
      <c r="P40" s="850">
        <f>'Ib.Energy-Transport '!J213/1000</f>
        <v>3.9184609226209641</v>
      </c>
      <c r="Q40" s="850">
        <f>'Ib.Energy-Transport '!G213/1000</f>
        <v>2.7631926278480408</v>
      </c>
      <c r="R40" s="850">
        <f>'Ib.Energy-Transport '!H213/1000</f>
        <v>39.562043842454287</v>
      </c>
      <c r="S40" s="850">
        <f>'Ib.Energy-Transport '!F213/1000</f>
        <v>231.74987287524471</v>
      </c>
      <c r="T40" s="1192">
        <f>('01 Energy'!T40*EF_CO2_ElectGen_DCI)/1000</f>
        <v>0.19703979392466997</v>
      </c>
      <c r="U40" s="851">
        <f t="shared" si="4"/>
        <v>278.19061006209267</v>
      </c>
      <c r="V40" s="850">
        <v>0.34054849168322848</v>
      </c>
      <c r="W40" s="850">
        <v>5.0875780802189947</v>
      </c>
      <c r="X40" s="850">
        <v>0</v>
      </c>
      <c r="Y40" s="1013">
        <f t="shared" si="5"/>
        <v>5.4281265719022231</v>
      </c>
      <c r="Z40" s="1022"/>
      <c r="AA40" s="1022"/>
      <c r="AB40" s="1354">
        <f>IV.Waste!Q134/1000</f>
        <v>6.7581540641843879E-2</v>
      </c>
      <c r="AC40" s="852">
        <f t="shared" si="6"/>
        <v>1862.9622090408698</v>
      </c>
      <c r="AD40" s="1677"/>
    </row>
    <row r="41" spans="2:30" x14ac:dyDescent="0.45">
      <c r="B41" s="833" t="s">
        <v>664</v>
      </c>
      <c r="C41" s="853"/>
      <c r="D41" s="854"/>
      <c r="E41" s="854"/>
      <c r="F41" s="854"/>
      <c r="G41" s="855"/>
      <c r="H41" s="856"/>
      <c r="I41" s="835">
        <f>H41-R41</f>
        <v>-26.359495075979996</v>
      </c>
      <c r="J41" s="835">
        <f>'01 Energy'!J41*EF_GHG_NatGas_DCI/1000000</f>
        <v>13.753861391520001</v>
      </c>
      <c r="K41" s="854"/>
      <c r="L41" s="857"/>
      <c r="M41" s="857"/>
      <c r="N41" s="837">
        <f>SUM(I41:M41)</f>
        <v>-12.605633684459995</v>
      </c>
      <c r="O41" s="858"/>
      <c r="P41" s="839"/>
      <c r="Q41" s="841"/>
      <c r="R41" s="850">
        <f>'Ib.Energy-Transport '!H214/1000</f>
        <v>26.359495075979996</v>
      </c>
      <c r="S41" s="839"/>
      <c r="T41" s="839"/>
      <c r="U41" s="851">
        <f t="shared" ref="U41" si="7">SUM(O41:S41)</f>
        <v>26.359495075979996</v>
      </c>
      <c r="V41" s="851"/>
      <c r="W41" s="851"/>
      <c r="X41" s="851"/>
      <c r="Y41" s="1195"/>
      <c r="Z41" s="1023">
        <f>SUM(II.IPPU!AH22:AH41)/1000</f>
        <v>1825.6958478366739</v>
      </c>
      <c r="AA41" s="1030">
        <f>(SUM(III.AFOLU!P12:P22)+SUM(III.AFOLU!P29:P44)+SUM(III.AFOLU!P58:P64))/1000</f>
        <v>119.15600939003112</v>
      </c>
      <c r="AB41" s="1354"/>
      <c r="AC41" s="852">
        <f>G41+N41+U41+Y41+AB41</f>
        <v>13.753861391520001</v>
      </c>
      <c r="AD41" s="1677"/>
    </row>
    <row r="42" spans="2:30" x14ac:dyDescent="0.45">
      <c r="B42" s="859" t="s">
        <v>1649</v>
      </c>
      <c r="C42" s="860">
        <f t="shared" ref="C42:H42" si="8">SUM(C8:C40)</f>
        <v>3178.4152814007734</v>
      </c>
      <c r="D42" s="861">
        <f t="shared" si="8"/>
        <v>7289.1865852251249</v>
      </c>
      <c r="E42" s="861">
        <f t="shared" si="8"/>
        <v>51.746621444047044</v>
      </c>
      <c r="F42" s="861">
        <f t="shared" si="8"/>
        <v>48.3912687098357</v>
      </c>
      <c r="G42" s="860">
        <f t="shared" si="8"/>
        <v>10567.739756779783</v>
      </c>
      <c r="H42" s="860">
        <f t="shared" si="8"/>
        <v>6392.1643866762843</v>
      </c>
      <c r="I42" s="861">
        <f>SUM(I8:I41)</f>
        <v>5869.8944661131864</v>
      </c>
      <c r="J42" s="861">
        <f>SUM(J8:J41)</f>
        <v>3746.5674667707854</v>
      </c>
      <c r="K42" s="861">
        <f>SUM(K8:K40)</f>
        <v>8.64046948008356</v>
      </c>
      <c r="L42" s="861">
        <f>SUM(L8:L40)</f>
        <v>565.75415848148884</v>
      </c>
      <c r="M42" s="861">
        <f>SUM(M8:M40)</f>
        <v>214.85326038940158</v>
      </c>
      <c r="N42" s="860">
        <f>SUM(N8:N41)</f>
        <v>10405.709821234948</v>
      </c>
      <c r="O42" s="860">
        <f>SUM(O8:O40)</f>
        <v>1016.2493037802147</v>
      </c>
      <c r="P42" s="861">
        <f>SUM(P8:P40)</f>
        <v>40.106479659647029</v>
      </c>
      <c r="Q42" s="861">
        <f>SUM(Q8:Q40)</f>
        <v>77.994893509336634</v>
      </c>
      <c r="R42" s="861">
        <f>SUM(R8:R41)</f>
        <v>516.96111278062926</v>
      </c>
      <c r="S42" s="861">
        <f>SUM(S8:S40)</f>
        <v>6220.4863894384607</v>
      </c>
      <c r="T42" s="1189">
        <f>SUM(T8:T40)</f>
        <v>5.3088077824661566</v>
      </c>
      <c r="U42" s="862">
        <f>SUM(U8:U41)</f>
        <v>7877.1069869507537</v>
      </c>
      <c r="V42" s="862">
        <f>SUM(V8:V41)</f>
        <v>49.479471744875546</v>
      </c>
      <c r="W42" s="862">
        <f t="shared" ref="W42:Y42" si="9">SUM(W8:W41)</f>
        <v>150.90931271761141</v>
      </c>
      <c r="X42" s="862">
        <f t="shared" si="9"/>
        <v>27.407737727838597</v>
      </c>
      <c r="Y42" s="862">
        <f t="shared" si="9"/>
        <v>227.79652219032562</v>
      </c>
      <c r="Z42" s="1014">
        <f>Z41</f>
        <v>1825.6958478366739</v>
      </c>
      <c r="AA42" s="1014">
        <f>AA41</f>
        <v>119.15600939003112</v>
      </c>
      <c r="AB42" s="1014">
        <f>SUM(AB8:AB40)</f>
        <v>1863.3590616544448</v>
      </c>
      <c r="AC42" s="863">
        <f>G42+N42+U42+Y42+Z42+AA42</f>
        <v>31023.204944382516</v>
      </c>
      <c r="AD42" s="1677"/>
    </row>
    <row r="43" spans="2:30" x14ac:dyDescent="0.45">
      <c r="B43" s="864" t="s">
        <v>1650</v>
      </c>
      <c r="C43" s="865">
        <f t="shared" ref="C43:AC43" si="10">C42/1000</f>
        <v>3.1784152814007736</v>
      </c>
      <c r="D43" s="866">
        <f t="shared" si="10"/>
        <v>7.2891865852251252</v>
      </c>
      <c r="E43" s="866">
        <f t="shared" si="10"/>
        <v>5.1746621444047042E-2</v>
      </c>
      <c r="F43" s="866">
        <f t="shared" si="10"/>
        <v>4.8391268709835698E-2</v>
      </c>
      <c r="G43" s="867">
        <f t="shared" si="10"/>
        <v>10.567739756779783</v>
      </c>
      <c r="H43" s="865">
        <f t="shared" si="10"/>
        <v>6.3921643866762841</v>
      </c>
      <c r="I43" s="866">
        <f t="shared" si="10"/>
        <v>5.8698944661131867</v>
      </c>
      <c r="J43" s="866">
        <f t="shared" ref="J43" si="11">J42/1000</f>
        <v>3.7465674667707853</v>
      </c>
      <c r="K43" s="866">
        <f t="shared" si="10"/>
        <v>8.6404694800835593E-3</v>
      </c>
      <c r="L43" s="866">
        <f t="shared" si="10"/>
        <v>0.5657541584814888</v>
      </c>
      <c r="M43" s="866">
        <f t="shared" si="10"/>
        <v>0.21485326038940158</v>
      </c>
      <c r="N43" s="867">
        <f t="shared" si="10"/>
        <v>10.405709821234948</v>
      </c>
      <c r="O43" s="868">
        <f t="shared" si="10"/>
        <v>1.0162493037802147</v>
      </c>
      <c r="P43" s="866">
        <f t="shared" si="10"/>
        <v>4.0106479659647032E-2</v>
      </c>
      <c r="Q43" s="866">
        <f t="shared" si="10"/>
        <v>7.7994893509336638E-2</v>
      </c>
      <c r="R43" s="866">
        <f>R42/1000</f>
        <v>0.51696111278062928</v>
      </c>
      <c r="S43" s="866">
        <f t="shared" si="10"/>
        <v>6.2204863894384603</v>
      </c>
      <c r="T43" s="1190">
        <f>T42/1000</f>
        <v>5.3088077824661566E-3</v>
      </c>
      <c r="U43" s="867">
        <f t="shared" si="10"/>
        <v>7.8771069869507535</v>
      </c>
      <c r="V43" s="867">
        <f t="shared" ref="V43:Y43" si="12">V42/1000</f>
        <v>4.9479471744875547E-2</v>
      </c>
      <c r="W43" s="867">
        <f t="shared" si="12"/>
        <v>0.1509093127176114</v>
      </c>
      <c r="X43" s="867">
        <f t="shared" si="12"/>
        <v>2.7407737727838596E-2</v>
      </c>
      <c r="Y43" s="867">
        <f t="shared" si="12"/>
        <v>0.22779652219032562</v>
      </c>
      <c r="Z43" s="1015">
        <f>Z42/1000</f>
        <v>1.8256958478366738</v>
      </c>
      <c r="AA43" s="1015">
        <f>AA42/1000</f>
        <v>0.11915600939003111</v>
      </c>
      <c r="AB43" s="1015">
        <f>AB42/1000</f>
        <v>1.8633590616544446</v>
      </c>
      <c r="AC43" s="867">
        <f t="shared" si="10"/>
        <v>31.023204944382517</v>
      </c>
      <c r="AD43" s="1677"/>
    </row>
    <row r="44" spans="2:30" x14ac:dyDescent="0.45">
      <c r="B44" s="1677"/>
      <c r="C44" s="1688"/>
      <c r="D44" s="1688"/>
      <c r="E44" s="1688"/>
      <c r="F44" s="1677"/>
      <c r="G44" s="1677"/>
      <c r="H44" s="1689"/>
      <c r="I44" s="1677"/>
      <c r="J44" s="1677"/>
      <c r="K44" s="1677"/>
      <c r="L44" s="1681"/>
      <c r="M44" s="1677"/>
      <c r="N44" s="1677"/>
      <c r="O44" s="1677"/>
      <c r="P44" s="1677"/>
      <c r="Q44" s="1681"/>
      <c r="R44" s="1689"/>
      <c r="S44" s="1677"/>
      <c r="T44" s="1677"/>
      <c r="U44" s="1690"/>
      <c r="V44" s="1690"/>
      <c r="W44" s="1690"/>
      <c r="X44" s="1690"/>
      <c r="Y44" s="1690"/>
      <c r="Z44" s="1690"/>
      <c r="AA44" s="1690"/>
      <c r="AB44" s="1690"/>
      <c r="AC44" s="1688"/>
      <c r="AD44" s="1687"/>
    </row>
    <row r="45" spans="2:30" ht="18.75" hidden="1" customHeight="1" x14ac:dyDescent="0.5">
      <c r="B45" s="1676" t="s">
        <v>1651</v>
      </c>
      <c r="C45" s="1676" t="s">
        <v>1652</v>
      </c>
      <c r="D45" s="1677"/>
      <c r="E45" s="1677"/>
      <c r="F45" s="1677"/>
      <c r="G45" s="1677"/>
      <c r="H45" s="1677"/>
      <c r="I45" s="1677"/>
      <c r="J45" s="1677"/>
      <c r="K45" s="1677"/>
      <c r="L45" s="1677"/>
      <c r="M45" s="1677"/>
      <c r="N45" s="1677"/>
      <c r="O45" s="1677"/>
      <c r="P45" s="1677"/>
      <c r="Q45" s="1677"/>
      <c r="R45" s="1677"/>
      <c r="S45" s="1677"/>
      <c r="T45" s="1677"/>
      <c r="U45" s="1677"/>
      <c r="V45" s="1677"/>
      <c r="W45" s="1677"/>
      <c r="X45" s="1677"/>
      <c r="Y45" s="1677"/>
      <c r="Z45" s="1677"/>
      <c r="AA45" s="1677"/>
      <c r="AB45" s="1677"/>
      <c r="AC45" s="1677"/>
      <c r="AD45" s="1677"/>
    </row>
    <row r="46" spans="2:30" ht="14.65" hidden="1" thickBot="1" x14ac:dyDescent="0.5">
      <c r="B46" s="1677"/>
      <c r="C46" s="1677"/>
      <c r="D46" s="1677"/>
      <c r="E46" s="1677"/>
      <c r="F46" s="1677"/>
      <c r="G46" s="1677"/>
      <c r="H46" s="1677"/>
      <c r="I46" s="1677"/>
      <c r="J46" s="1677"/>
      <c r="K46" s="1677"/>
      <c r="L46" s="1677"/>
      <c r="M46" s="1677"/>
      <c r="N46" s="1677"/>
      <c r="O46" s="1677"/>
      <c r="P46" s="1677"/>
      <c r="Q46" s="1677"/>
      <c r="R46" s="1677"/>
      <c r="S46" s="1677"/>
      <c r="T46" s="1677"/>
      <c r="U46" s="1677"/>
      <c r="V46" s="1677"/>
      <c r="W46" s="1677"/>
      <c r="X46" s="1677"/>
      <c r="Y46" s="1677"/>
      <c r="Z46" s="1677"/>
      <c r="AA46" s="1677"/>
      <c r="AB46" s="1677"/>
      <c r="AC46" s="1677"/>
      <c r="AD46" s="1677"/>
    </row>
    <row r="47" spans="2:30" ht="15.4" hidden="1" x14ac:dyDescent="0.55000000000000004">
      <c r="B47" s="1691" t="s">
        <v>1653</v>
      </c>
      <c r="C47" s="2270" t="s">
        <v>380</v>
      </c>
      <c r="D47" s="2271"/>
      <c r="E47" s="2271"/>
      <c r="F47" s="2271"/>
      <c r="G47" s="2271"/>
      <c r="H47" s="2271"/>
      <c r="I47" s="2271"/>
      <c r="J47" s="2271"/>
      <c r="K47" s="2271"/>
      <c r="L47" s="2271"/>
      <c r="M47" s="2271"/>
      <c r="N47" s="2271"/>
      <c r="O47" s="2271"/>
      <c r="P47" s="2271"/>
      <c r="Q47" s="2271"/>
      <c r="R47" s="2271"/>
      <c r="S47" s="2271"/>
      <c r="T47" s="2271"/>
      <c r="U47" s="2271"/>
      <c r="V47" s="1692"/>
      <c r="W47" s="1692"/>
      <c r="X47" s="1692"/>
      <c r="Y47" s="1692"/>
      <c r="Z47" s="1692"/>
      <c r="AA47" s="1692"/>
      <c r="AB47" s="1692"/>
      <c r="AC47" s="1693" t="s">
        <v>1636</v>
      </c>
      <c r="AD47" s="1677"/>
    </row>
    <row r="48" spans="2:30" hidden="1" x14ac:dyDescent="0.45">
      <c r="B48" s="1694" t="s">
        <v>1654</v>
      </c>
      <c r="C48" s="2264" t="s">
        <v>591</v>
      </c>
      <c r="D48" s="2265"/>
      <c r="E48" s="2265"/>
      <c r="F48" s="2265"/>
      <c r="G48" s="2266"/>
      <c r="H48" s="2264" t="s">
        <v>765</v>
      </c>
      <c r="I48" s="2265"/>
      <c r="J48" s="2265"/>
      <c r="K48" s="2265"/>
      <c r="L48" s="2265"/>
      <c r="M48" s="2265"/>
      <c r="N48" s="2266"/>
      <c r="O48" s="2264" t="s">
        <v>570</v>
      </c>
      <c r="P48" s="2265"/>
      <c r="Q48" s="2265"/>
      <c r="R48" s="2265"/>
      <c r="S48" s="2265"/>
      <c r="T48" s="2267"/>
      <c r="U48" s="2266"/>
      <c r="V48" s="1695"/>
      <c r="W48" s="1695"/>
      <c r="X48" s="1695"/>
      <c r="Y48" s="1695"/>
      <c r="Z48" s="1695"/>
      <c r="AA48" s="1695"/>
      <c r="AB48" s="1695"/>
      <c r="AC48" s="1696"/>
      <c r="AD48" s="1677"/>
    </row>
    <row r="49" spans="2:29" ht="26.25" hidden="1" x14ac:dyDescent="0.45">
      <c r="B49" s="1697"/>
      <c r="C49" s="1698" t="s">
        <v>16</v>
      </c>
      <c r="D49" s="1698" t="s">
        <v>592</v>
      </c>
      <c r="E49" s="1698" t="s">
        <v>593</v>
      </c>
      <c r="F49" s="1698" t="s">
        <v>350</v>
      </c>
      <c r="G49" s="1698" t="s">
        <v>667</v>
      </c>
      <c r="H49" s="1699" t="s">
        <v>16</v>
      </c>
      <c r="I49" s="1699" t="s">
        <v>1637</v>
      </c>
      <c r="J49" s="1699" t="s">
        <v>592</v>
      </c>
      <c r="K49" s="1699" t="s">
        <v>593</v>
      </c>
      <c r="L49" s="1699" t="s">
        <v>350</v>
      </c>
      <c r="M49" s="1699" t="s">
        <v>600</v>
      </c>
      <c r="N49" s="1699" t="s">
        <v>667</v>
      </c>
      <c r="O49" s="1699" t="s">
        <v>1632</v>
      </c>
      <c r="P49" s="1699" t="s">
        <v>1633</v>
      </c>
      <c r="Q49" s="1699" t="s">
        <v>1647</v>
      </c>
      <c r="R49" s="1699" t="s">
        <v>1648</v>
      </c>
      <c r="S49" s="1699" t="s">
        <v>758</v>
      </c>
      <c r="T49" s="1700"/>
      <c r="U49" s="1699" t="s">
        <v>667</v>
      </c>
      <c r="V49" s="1701"/>
      <c r="W49" s="1701"/>
      <c r="X49" s="1701"/>
      <c r="Y49" s="1701"/>
      <c r="Z49" s="1701"/>
      <c r="AA49" s="1701"/>
      <c r="AB49" s="1701"/>
      <c r="AC49" s="1702"/>
    </row>
    <row r="50" spans="2:29" hidden="1" x14ac:dyDescent="0.45">
      <c r="B50" s="1703"/>
      <c r="C50" s="1704"/>
      <c r="D50" s="1705"/>
      <c r="E50" s="1705"/>
      <c r="F50" s="1705"/>
      <c r="G50" s="1704"/>
      <c r="H50" s="1704"/>
      <c r="I50" s="1705"/>
      <c r="J50" s="1705"/>
      <c r="K50" s="1705"/>
      <c r="L50" s="1705"/>
      <c r="M50" s="1706"/>
      <c r="N50" s="1704"/>
      <c r="O50" s="1704"/>
      <c r="P50" s="1706"/>
      <c r="Q50" s="1705"/>
      <c r="R50" s="1705"/>
      <c r="S50" s="1706"/>
      <c r="T50" s="1707"/>
      <c r="U50" s="1708"/>
      <c r="V50" s="1709"/>
      <c r="W50" s="1709"/>
      <c r="X50" s="1709"/>
      <c r="Y50" s="1709"/>
      <c r="Z50" s="1710"/>
      <c r="AA50" s="1710"/>
      <c r="AB50" s="1710"/>
      <c r="AC50" s="1711"/>
    </row>
    <row r="51" spans="2:29" hidden="1" x14ac:dyDescent="0.45">
      <c r="B51" s="1712" t="s">
        <v>528</v>
      </c>
      <c r="C51" s="834">
        <v>64.220724355758605</v>
      </c>
      <c r="D51" s="835">
        <v>137.07793616164551</v>
      </c>
      <c r="E51" s="835">
        <v>1.7628734697133448</v>
      </c>
      <c r="F51" s="835">
        <v>0.64667348802060076</v>
      </c>
      <c r="G51" s="1713">
        <f t="shared" ref="G51:G84" si="13">SUM(C51:F51)</f>
        <v>203.7082074751381</v>
      </c>
      <c r="H51" s="835">
        <v>96.755784831883602</v>
      </c>
      <c r="I51" s="835">
        <v>85.324653151111647</v>
      </c>
      <c r="J51" s="835">
        <v>37.624058313059102</v>
      </c>
      <c r="K51" s="835">
        <v>4.9496948920681703E-2</v>
      </c>
      <c r="L51" s="835">
        <v>28.968851356701858</v>
      </c>
      <c r="M51" s="1714">
        <v>6.6718906070480681</v>
      </c>
      <c r="N51" s="1713">
        <f t="shared" ref="N51:N83" si="14">SUM(I51:M51)</f>
        <v>158.63895037684134</v>
      </c>
      <c r="O51" s="850">
        <f t="shared" ref="O51:S66" si="15">O8</f>
        <v>0</v>
      </c>
      <c r="P51" s="850">
        <f t="shared" si="15"/>
        <v>4.5157400919912849</v>
      </c>
      <c r="Q51" s="850">
        <f t="shared" si="15"/>
        <v>1.5847709126825154</v>
      </c>
      <c r="R51" s="850">
        <f t="shared" si="15"/>
        <v>11.374100563545788</v>
      </c>
      <c r="S51" s="850">
        <f t="shared" si="15"/>
        <v>129.55016135895028</v>
      </c>
      <c r="T51" s="850"/>
      <c r="U51" s="1715">
        <f>SUM(O51:S51)</f>
        <v>147.02477292716986</v>
      </c>
      <c r="V51" s="1716"/>
      <c r="W51" s="1716"/>
      <c r="X51" s="1716"/>
      <c r="Y51" s="1716"/>
      <c r="Z51" s="1717"/>
      <c r="AA51" s="1717"/>
      <c r="AB51" s="1717"/>
      <c r="AC51" s="1718">
        <f t="shared" ref="AC51:AC84" si="16">G51+N51+U51</f>
        <v>509.3719307791493</v>
      </c>
    </row>
    <row r="52" spans="2:29" hidden="1" x14ac:dyDescent="0.45">
      <c r="B52" s="1712" t="s">
        <v>529</v>
      </c>
      <c r="C52" s="834">
        <v>154.09730521985162</v>
      </c>
      <c r="D52" s="835">
        <v>394.68180574714802</v>
      </c>
      <c r="E52" s="835">
        <v>1.6845509464178228</v>
      </c>
      <c r="F52" s="835">
        <v>2.1593473298919643</v>
      </c>
      <c r="G52" s="1713">
        <f t="shared" si="13"/>
        <v>552.62300924330941</v>
      </c>
      <c r="H52" s="835">
        <v>126.65527085903662</v>
      </c>
      <c r="I52" s="835">
        <v>106.19136346275383</v>
      </c>
      <c r="J52" s="835">
        <v>103.34628141635909</v>
      </c>
      <c r="K52" s="835">
        <v>0.58248181489057216</v>
      </c>
      <c r="L52" s="835">
        <v>15.698819467605318</v>
      </c>
      <c r="M52" s="1714">
        <v>6.4514339180478784</v>
      </c>
      <c r="N52" s="1713">
        <f t="shared" si="14"/>
        <v>232.27038007965669</v>
      </c>
      <c r="O52" s="850">
        <f t="shared" si="15"/>
        <v>0.22288547705120199</v>
      </c>
      <c r="P52" s="850">
        <f t="shared" si="15"/>
        <v>0</v>
      </c>
      <c r="Q52" s="850">
        <f t="shared" si="15"/>
        <v>5.035270425715777</v>
      </c>
      <c r="R52" s="850">
        <f t="shared" si="15"/>
        <v>20.337079585633862</v>
      </c>
      <c r="S52" s="850">
        <f t="shared" si="15"/>
        <v>374.25131358981093</v>
      </c>
      <c r="T52" s="850"/>
      <c r="U52" s="1715">
        <f t="shared" ref="U52:U83" si="17">SUM(O52:S52)</f>
        <v>399.84654907821175</v>
      </c>
      <c r="V52" s="1716"/>
      <c r="W52" s="1716"/>
      <c r="X52" s="1716"/>
      <c r="Y52" s="1716"/>
      <c r="Z52" s="1717"/>
      <c r="AA52" s="1717"/>
      <c r="AB52" s="1717"/>
      <c r="AC52" s="1718">
        <f t="shared" si="16"/>
        <v>1184.7399384011778</v>
      </c>
    </row>
    <row r="53" spans="2:29" hidden="1" x14ac:dyDescent="0.45">
      <c r="B53" s="1712" t="s">
        <v>530</v>
      </c>
      <c r="C53" s="834">
        <v>92.456326392204019</v>
      </c>
      <c r="D53" s="835">
        <v>222.64130283748295</v>
      </c>
      <c r="E53" s="835">
        <v>2.0725023449859417</v>
      </c>
      <c r="F53" s="835">
        <v>1.5108498137713069</v>
      </c>
      <c r="G53" s="1713">
        <f t="shared" si="13"/>
        <v>318.6809813884442</v>
      </c>
      <c r="H53" s="835">
        <v>105.71819299535682</v>
      </c>
      <c r="I53" s="835">
        <v>100.46810634948702</v>
      </c>
      <c r="J53" s="835">
        <v>129.41894503653342</v>
      </c>
      <c r="K53" s="835">
        <v>0.17730220096734031</v>
      </c>
      <c r="L53" s="835">
        <v>27.721400675915451</v>
      </c>
      <c r="M53" s="1714">
        <v>12.04650554130901</v>
      </c>
      <c r="N53" s="1713">
        <f t="shared" si="14"/>
        <v>269.83225980421224</v>
      </c>
      <c r="O53" s="850">
        <f t="shared" si="15"/>
        <v>8.4798898434876282</v>
      </c>
      <c r="P53" s="850">
        <f t="shared" si="15"/>
        <v>2.2400520705547118</v>
      </c>
      <c r="Q53" s="850">
        <f t="shared" si="15"/>
        <v>0.81934161849361109</v>
      </c>
      <c r="R53" s="850">
        <f t="shared" si="15"/>
        <v>5.2420121376598026</v>
      </c>
      <c r="S53" s="850">
        <f t="shared" si="15"/>
        <v>183.5522161990713</v>
      </c>
      <c r="T53" s="850"/>
      <c r="U53" s="1715">
        <f t="shared" si="17"/>
        <v>200.33351186926706</v>
      </c>
      <c r="V53" s="1716"/>
      <c r="W53" s="1716"/>
      <c r="X53" s="1716"/>
      <c r="Y53" s="1716"/>
      <c r="Z53" s="1717"/>
      <c r="AA53" s="1717"/>
      <c r="AB53" s="1717"/>
      <c r="AC53" s="1718">
        <f t="shared" si="16"/>
        <v>788.84675306192344</v>
      </c>
    </row>
    <row r="54" spans="2:29" hidden="1" x14ac:dyDescent="0.45">
      <c r="B54" s="1712" t="s">
        <v>531</v>
      </c>
      <c r="C54" s="834">
        <v>105.71528530507203</v>
      </c>
      <c r="D54" s="835">
        <v>275.92558759209504</v>
      </c>
      <c r="E54" s="835">
        <v>1.216261535639185</v>
      </c>
      <c r="F54" s="835">
        <v>1.2853372612631793</v>
      </c>
      <c r="G54" s="1713">
        <f t="shared" si="13"/>
        <v>384.14247169406946</v>
      </c>
      <c r="H54" s="835">
        <v>196.33678572630041</v>
      </c>
      <c r="I54" s="835">
        <v>170.9181604652091</v>
      </c>
      <c r="J54" s="835">
        <v>106.43940726908809</v>
      </c>
      <c r="K54" s="835">
        <v>0</v>
      </c>
      <c r="L54" s="835">
        <v>23.631525861154774</v>
      </c>
      <c r="M54" s="1714">
        <v>4.7065356092402109</v>
      </c>
      <c r="N54" s="1713">
        <f t="shared" si="14"/>
        <v>305.69562920469218</v>
      </c>
      <c r="O54" s="850">
        <f t="shared" si="15"/>
        <v>0.30966722514315054</v>
      </c>
      <c r="P54" s="850">
        <f t="shared" si="15"/>
        <v>0</v>
      </c>
      <c r="Q54" s="850">
        <f t="shared" si="15"/>
        <v>8.31401559154253</v>
      </c>
      <c r="R54" s="850">
        <f t="shared" si="15"/>
        <v>25.244566227153065</v>
      </c>
      <c r="S54" s="850">
        <f t="shared" si="15"/>
        <v>202.2946970715756</v>
      </c>
      <c r="T54" s="850"/>
      <c r="U54" s="1715">
        <f t="shared" si="17"/>
        <v>236.16294611541434</v>
      </c>
      <c r="V54" s="1716"/>
      <c r="W54" s="1716"/>
      <c r="X54" s="1716"/>
      <c r="Y54" s="1716"/>
      <c r="Z54" s="1717"/>
      <c r="AA54" s="1717"/>
      <c r="AB54" s="1717"/>
      <c r="AC54" s="1718">
        <f t="shared" si="16"/>
        <v>926.00104701417604</v>
      </c>
    </row>
    <row r="55" spans="2:29" hidden="1" x14ac:dyDescent="0.45">
      <c r="B55" s="1712" t="s">
        <v>532</v>
      </c>
      <c r="C55" s="834">
        <v>135.1616216204346</v>
      </c>
      <c r="D55" s="835">
        <v>369.62984534478005</v>
      </c>
      <c r="E55" s="835">
        <v>2.2331480981155227</v>
      </c>
      <c r="F55" s="835">
        <v>3.4413685031419976</v>
      </c>
      <c r="G55" s="1713">
        <f t="shared" si="13"/>
        <v>510.46598356647218</v>
      </c>
      <c r="H55" s="835">
        <v>104.19005462865</v>
      </c>
      <c r="I55" s="835">
        <v>91.677218952756675</v>
      </c>
      <c r="J55" s="835">
        <v>67.790528429146107</v>
      </c>
      <c r="K55" s="835">
        <v>2.1228638228420393E-3</v>
      </c>
      <c r="L55" s="835">
        <v>21.820935274253628</v>
      </c>
      <c r="M55" s="1714">
        <v>8.0191777517589333</v>
      </c>
      <c r="N55" s="1713">
        <f t="shared" si="14"/>
        <v>189.30998327173819</v>
      </c>
      <c r="O55" s="850">
        <f t="shared" si="15"/>
        <v>1.4108009679033793</v>
      </c>
      <c r="P55" s="850">
        <f t="shared" si="15"/>
        <v>0</v>
      </c>
      <c r="Q55" s="850">
        <f t="shared" si="15"/>
        <v>0.70939644087468323</v>
      </c>
      <c r="R55" s="850">
        <f t="shared" si="15"/>
        <v>12.472224490867088</v>
      </c>
      <c r="S55" s="850">
        <f t="shared" si="15"/>
        <v>245.7685479545685</v>
      </c>
      <c r="T55" s="850"/>
      <c r="U55" s="1715">
        <f t="shared" si="17"/>
        <v>260.36096985421364</v>
      </c>
      <c r="V55" s="1716"/>
      <c r="W55" s="1716"/>
      <c r="X55" s="1716"/>
      <c r="Y55" s="1716"/>
      <c r="Z55" s="1717"/>
      <c r="AA55" s="1717"/>
      <c r="AB55" s="1717"/>
      <c r="AC55" s="1718">
        <f t="shared" si="16"/>
        <v>960.136936692424</v>
      </c>
    </row>
    <row r="56" spans="2:29" hidden="1" x14ac:dyDescent="0.45">
      <c r="B56" s="1712" t="s">
        <v>533</v>
      </c>
      <c r="C56" s="834">
        <v>86.595050441799017</v>
      </c>
      <c r="D56" s="835">
        <v>172.3914902051813</v>
      </c>
      <c r="E56" s="835">
        <v>0.41023438194076806</v>
      </c>
      <c r="F56" s="835">
        <v>2.3745438614491676</v>
      </c>
      <c r="G56" s="1713">
        <f t="shared" si="13"/>
        <v>261.77131889037025</v>
      </c>
      <c r="H56" s="835">
        <v>339.41947400258601</v>
      </c>
      <c r="I56" s="835">
        <v>312.37923654027725</v>
      </c>
      <c r="J56" s="835">
        <v>288.92382171251296</v>
      </c>
      <c r="K56" s="835">
        <v>5.0266495278425777E-2</v>
      </c>
      <c r="L56" s="835">
        <v>18.003045956433947</v>
      </c>
      <c r="M56" s="1714">
        <v>1.4753799814088389</v>
      </c>
      <c r="N56" s="1713">
        <f t="shared" si="14"/>
        <v>620.8317506859114</v>
      </c>
      <c r="O56" s="850">
        <f t="shared" si="15"/>
        <v>0</v>
      </c>
      <c r="P56" s="850">
        <f t="shared" si="15"/>
        <v>0</v>
      </c>
      <c r="Q56" s="850">
        <f t="shared" si="15"/>
        <v>6.5096889355733252</v>
      </c>
      <c r="R56" s="850">
        <f t="shared" si="15"/>
        <v>26.861140379099304</v>
      </c>
      <c r="S56" s="850">
        <f t="shared" si="15"/>
        <v>142.96771376845433</v>
      </c>
      <c r="T56" s="850"/>
      <c r="U56" s="1715">
        <f t="shared" si="17"/>
        <v>176.33854308312695</v>
      </c>
      <c r="V56" s="1716"/>
      <c r="W56" s="1716"/>
      <c r="X56" s="1716"/>
      <c r="Y56" s="1716"/>
      <c r="Z56" s="1717"/>
      <c r="AA56" s="1717"/>
      <c r="AB56" s="1717"/>
      <c r="AC56" s="1718">
        <f t="shared" si="16"/>
        <v>1058.9416126594085</v>
      </c>
    </row>
    <row r="57" spans="2:29" hidden="1" x14ac:dyDescent="0.45">
      <c r="B57" s="1712" t="s">
        <v>534</v>
      </c>
      <c r="C57" s="834">
        <v>7.1368430355296013</v>
      </c>
      <c r="D57" s="835">
        <v>5.10377583762833</v>
      </c>
      <c r="E57" s="835">
        <v>1.5790196618349448E-3</v>
      </c>
      <c r="F57" s="835">
        <v>8.6045260037506163E-2</v>
      </c>
      <c r="G57" s="1713">
        <f t="shared" si="13"/>
        <v>12.328243152857272</v>
      </c>
      <c r="H57" s="835">
        <v>522.38872336777604</v>
      </c>
      <c r="I57" s="835">
        <v>510.70639004909862</v>
      </c>
      <c r="J57" s="835">
        <v>151.64085215806489</v>
      </c>
      <c r="K57" s="835">
        <v>1.6755498426141921E-2</v>
      </c>
      <c r="L57" s="835">
        <v>13.930977266165888</v>
      </c>
      <c r="M57" s="1714">
        <v>6.4262829094058867E-3</v>
      </c>
      <c r="N57" s="1713">
        <f t="shared" si="14"/>
        <v>676.30140125466494</v>
      </c>
      <c r="O57" s="850">
        <f t="shared" si="15"/>
        <v>1.3164390608809924</v>
      </c>
      <c r="P57" s="850">
        <f t="shared" si="15"/>
        <v>5.2211087425334526</v>
      </c>
      <c r="Q57" s="850">
        <f t="shared" si="15"/>
        <v>0</v>
      </c>
      <c r="R57" s="850">
        <f t="shared" si="15"/>
        <v>11.563753300046494</v>
      </c>
      <c r="S57" s="850">
        <f t="shared" si="15"/>
        <v>47.592189628871104</v>
      </c>
      <c r="T57" s="850"/>
      <c r="U57" s="1715">
        <f t="shared" si="17"/>
        <v>65.693490732332037</v>
      </c>
      <c r="V57" s="1716"/>
      <c r="W57" s="1716"/>
      <c r="X57" s="1716"/>
      <c r="Y57" s="1716"/>
      <c r="Z57" s="1717"/>
      <c r="AA57" s="1717"/>
      <c r="AB57" s="1717"/>
      <c r="AC57" s="1718">
        <f t="shared" si="16"/>
        <v>754.32313513985423</v>
      </c>
    </row>
    <row r="58" spans="2:29" hidden="1" x14ac:dyDescent="0.45">
      <c r="B58" s="1712" t="s">
        <v>535</v>
      </c>
      <c r="C58" s="834">
        <v>142.15635462787159</v>
      </c>
      <c r="D58" s="835">
        <v>372.56671873503905</v>
      </c>
      <c r="E58" s="835">
        <v>2.8040947308501307</v>
      </c>
      <c r="F58" s="835">
        <v>2.2125577352989549</v>
      </c>
      <c r="G58" s="1713">
        <f t="shared" si="13"/>
        <v>519.73972582905969</v>
      </c>
      <c r="H58" s="835">
        <v>164.43324604760002</v>
      </c>
      <c r="I58" s="835">
        <v>148.98792250543275</v>
      </c>
      <c r="J58" s="835">
        <v>86.960303549486099</v>
      </c>
      <c r="K58" s="835">
        <v>6.6722674622396547E-2</v>
      </c>
      <c r="L58" s="835">
        <v>10.052502656709398</v>
      </c>
      <c r="M58" s="1714">
        <v>10.541363712220388</v>
      </c>
      <c r="N58" s="1713">
        <f t="shared" si="14"/>
        <v>256.60881509847104</v>
      </c>
      <c r="O58" s="850">
        <f t="shared" si="15"/>
        <v>0.28298495025156001</v>
      </c>
      <c r="P58" s="850">
        <f t="shared" si="15"/>
        <v>0</v>
      </c>
      <c r="Q58" s="850">
        <f t="shared" si="15"/>
        <v>1.2629972780207563</v>
      </c>
      <c r="R58" s="850">
        <f t="shared" si="15"/>
        <v>15.308463253623264</v>
      </c>
      <c r="S58" s="850">
        <f t="shared" si="15"/>
        <v>227.72190595148112</v>
      </c>
      <c r="T58" s="850"/>
      <c r="U58" s="1715">
        <f t="shared" si="17"/>
        <v>244.57635143337671</v>
      </c>
      <c r="V58" s="1716"/>
      <c r="W58" s="1716"/>
      <c r="X58" s="1716"/>
      <c r="Y58" s="1716"/>
      <c r="Z58" s="1717"/>
      <c r="AA58" s="1717"/>
      <c r="AB58" s="1717"/>
      <c r="AC58" s="1718">
        <f t="shared" si="16"/>
        <v>1020.9248923609075</v>
      </c>
    </row>
    <row r="59" spans="2:29" hidden="1" x14ac:dyDescent="0.45">
      <c r="B59" s="1712" t="s">
        <v>536</v>
      </c>
      <c r="C59" s="834">
        <v>118.48898101323122</v>
      </c>
      <c r="D59" s="835">
        <v>302.31034427817502</v>
      </c>
      <c r="E59" s="835">
        <v>1.9029388199766673</v>
      </c>
      <c r="F59" s="835">
        <v>1.6197623573029616</v>
      </c>
      <c r="G59" s="1713">
        <f t="shared" si="13"/>
        <v>424.32202646868592</v>
      </c>
      <c r="H59" s="835">
        <v>224.2462555578598</v>
      </c>
      <c r="I59" s="835">
        <v>208.42579646686875</v>
      </c>
      <c r="J59" s="835">
        <v>132.25581003395891</v>
      </c>
      <c r="K59" s="835">
        <v>0.18033966966918435</v>
      </c>
      <c r="L59" s="835">
        <v>27.742776401221565</v>
      </c>
      <c r="M59" s="1714">
        <v>7.0549285468720448</v>
      </c>
      <c r="N59" s="1713">
        <f t="shared" si="14"/>
        <v>375.65965111859049</v>
      </c>
      <c r="O59" s="850">
        <f t="shared" si="15"/>
        <v>0.14923179478034235</v>
      </c>
      <c r="P59" s="850">
        <f t="shared" si="15"/>
        <v>0</v>
      </c>
      <c r="Q59" s="850">
        <f t="shared" si="15"/>
        <v>13.428689297420577</v>
      </c>
      <c r="R59" s="850">
        <f t="shared" si="15"/>
        <v>15.704076426843031</v>
      </c>
      <c r="S59" s="850">
        <f t="shared" si="15"/>
        <v>271.31336582809934</v>
      </c>
      <c r="T59" s="850"/>
      <c r="U59" s="1715">
        <f t="shared" si="17"/>
        <v>300.59536334714329</v>
      </c>
      <c r="V59" s="1716"/>
      <c r="W59" s="1716"/>
      <c r="X59" s="1716"/>
      <c r="Y59" s="1716"/>
      <c r="Z59" s="1717"/>
      <c r="AA59" s="1717"/>
      <c r="AB59" s="1717"/>
      <c r="AC59" s="1718">
        <f t="shared" si="16"/>
        <v>1100.5770409344198</v>
      </c>
    </row>
    <row r="60" spans="2:29" hidden="1" x14ac:dyDescent="0.45">
      <c r="B60" s="1712" t="s">
        <v>537</v>
      </c>
      <c r="C60" s="834">
        <v>120.53471436683661</v>
      </c>
      <c r="D60" s="835">
        <v>283.09230950411001</v>
      </c>
      <c r="E60" s="835">
        <v>2.2822788894567836</v>
      </c>
      <c r="F60" s="835">
        <v>1.5707130553112734</v>
      </c>
      <c r="G60" s="1713">
        <f t="shared" si="13"/>
        <v>407.48001581571469</v>
      </c>
      <c r="H60" s="835">
        <v>138.01082601370641</v>
      </c>
      <c r="I60" s="835">
        <v>127.00189969547219</v>
      </c>
      <c r="J60" s="835">
        <v>95.348827288268396</v>
      </c>
      <c r="K60" s="835">
        <v>0.10742782525106868</v>
      </c>
      <c r="L60" s="835">
        <v>20.068342569922354</v>
      </c>
      <c r="M60" s="1714">
        <v>8.711201531708058</v>
      </c>
      <c r="N60" s="1713">
        <f t="shared" si="14"/>
        <v>251.23769891062207</v>
      </c>
      <c r="O60" s="850">
        <f t="shared" si="15"/>
        <v>0.33193598873876268</v>
      </c>
      <c r="P60" s="850">
        <f t="shared" si="15"/>
        <v>0</v>
      </c>
      <c r="Q60" s="850">
        <f t="shared" si="15"/>
        <v>0.57063053975800559</v>
      </c>
      <c r="R60" s="850">
        <f t="shared" si="15"/>
        <v>10.963463899617762</v>
      </c>
      <c r="S60" s="850">
        <f t="shared" si="15"/>
        <v>351.67731859647529</v>
      </c>
      <c r="T60" s="850"/>
      <c r="U60" s="1715">
        <f t="shared" si="17"/>
        <v>363.54334902458982</v>
      </c>
      <c r="V60" s="1716"/>
      <c r="W60" s="1716"/>
      <c r="X60" s="1716"/>
      <c r="Y60" s="1716"/>
      <c r="Z60" s="1717"/>
      <c r="AA60" s="1717"/>
      <c r="AB60" s="1717"/>
      <c r="AC60" s="1718">
        <f t="shared" si="16"/>
        <v>1022.2610637509266</v>
      </c>
    </row>
    <row r="61" spans="2:29" hidden="1" x14ac:dyDescent="0.45">
      <c r="B61" s="1712" t="s">
        <v>538</v>
      </c>
      <c r="C61" s="834">
        <v>92.94239871236941</v>
      </c>
      <c r="D61" s="835">
        <v>206.37766984075301</v>
      </c>
      <c r="E61" s="835">
        <v>1.7045931950222641</v>
      </c>
      <c r="F61" s="835">
        <v>1.1794132842206639</v>
      </c>
      <c r="G61" s="1713">
        <f t="shared" si="13"/>
        <v>302.20407503236538</v>
      </c>
      <c r="H61" s="835">
        <v>117.91759884287859</v>
      </c>
      <c r="I61" s="835">
        <v>109.74541370303747</v>
      </c>
      <c r="J61" s="835">
        <v>96.454131073996621</v>
      </c>
      <c r="K61" s="835">
        <v>1.7000966400499591E-2</v>
      </c>
      <c r="L61" s="835">
        <v>19.948817285578272</v>
      </c>
      <c r="M61" s="1714">
        <v>6.5506532540997249</v>
      </c>
      <c r="N61" s="1713">
        <f t="shared" si="14"/>
        <v>232.71601628311257</v>
      </c>
      <c r="O61" s="850">
        <f t="shared" si="15"/>
        <v>6.8171066362404682</v>
      </c>
      <c r="P61" s="850">
        <f t="shared" si="15"/>
        <v>3.6639172355829031</v>
      </c>
      <c r="Q61" s="850">
        <f t="shared" si="15"/>
        <v>0.58183959688167675</v>
      </c>
      <c r="R61" s="850">
        <f t="shared" si="15"/>
        <v>8.0287983141517199</v>
      </c>
      <c r="S61" s="850">
        <f t="shared" si="15"/>
        <v>210.2663375713075</v>
      </c>
      <c r="T61" s="850"/>
      <c r="U61" s="1715">
        <f t="shared" si="17"/>
        <v>229.35799935416426</v>
      </c>
      <c r="V61" s="1716"/>
      <c r="W61" s="1716"/>
      <c r="X61" s="1716"/>
      <c r="Y61" s="1716"/>
      <c r="Z61" s="1717"/>
      <c r="AA61" s="1717"/>
      <c r="AB61" s="1717"/>
      <c r="AC61" s="1718">
        <f t="shared" si="16"/>
        <v>764.27809066964221</v>
      </c>
    </row>
    <row r="62" spans="2:29" hidden="1" x14ac:dyDescent="0.45">
      <c r="B62" s="1712" t="s">
        <v>539</v>
      </c>
      <c r="C62" s="834">
        <v>86.023094457943415</v>
      </c>
      <c r="D62" s="835">
        <v>176.8684954849268</v>
      </c>
      <c r="E62" s="835">
        <v>0.66633759788001867</v>
      </c>
      <c r="F62" s="835">
        <v>0.76378492157365563</v>
      </c>
      <c r="G62" s="1713">
        <f t="shared" si="13"/>
        <v>264.32171246232389</v>
      </c>
      <c r="H62" s="835">
        <v>143.00790321328245</v>
      </c>
      <c r="I62" s="835">
        <v>136.89204565587784</v>
      </c>
      <c r="J62" s="835">
        <v>70.188462564210312</v>
      </c>
      <c r="K62" s="835">
        <v>0.19405769939348183</v>
      </c>
      <c r="L62" s="835">
        <v>7.0999062715691998</v>
      </c>
      <c r="M62" s="1714">
        <v>2.444063737309929</v>
      </c>
      <c r="N62" s="1713">
        <f t="shared" si="14"/>
        <v>216.81853592836077</v>
      </c>
      <c r="O62" s="850">
        <f t="shared" si="15"/>
        <v>0.12020237168711041</v>
      </c>
      <c r="P62" s="850">
        <f t="shared" si="15"/>
        <v>0</v>
      </c>
      <c r="Q62" s="850">
        <f t="shared" si="15"/>
        <v>0.80570363150445901</v>
      </c>
      <c r="R62" s="850">
        <f t="shared" si="15"/>
        <v>6.0974434528658898</v>
      </c>
      <c r="S62" s="850">
        <f t="shared" si="15"/>
        <v>115.28687177601911</v>
      </c>
      <c r="T62" s="850"/>
      <c r="U62" s="1715">
        <f t="shared" si="17"/>
        <v>122.31022123207657</v>
      </c>
      <c r="V62" s="1716"/>
      <c r="W62" s="1716"/>
      <c r="X62" s="1716"/>
      <c r="Y62" s="1716"/>
      <c r="Z62" s="1717"/>
      <c r="AA62" s="1717"/>
      <c r="AB62" s="1717"/>
      <c r="AC62" s="1718">
        <f t="shared" si="16"/>
        <v>603.45046962276115</v>
      </c>
    </row>
    <row r="63" spans="2:29" hidden="1" x14ac:dyDescent="0.45">
      <c r="B63" s="1712" t="s">
        <v>540</v>
      </c>
      <c r="C63" s="834">
        <v>71.754864715924413</v>
      </c>
      <c r="D63" s="835">
        <v>159.7145147874291</v>
      </c>
      <c r="E63" s="835">
        <v>0.65190486434027883</v>
      </c>
      <c r="F63" s="835">
        <v>0.92388756013722129</v>
      </c>
      <c r="G63" s="1713">
        <f t="shared" si="13"/>
        <v>233.04517192783101</v>
      </c>
      <c r="H63" s="835">
        <v>174.35960127691939</v>
      </c>
      <c r="I63" s="835">
        <v>162.55318503731019</v>
      </c>
      <c r="J63" s="835">
        <v>104.65121619770491</v>
      </c>
      <c r="K63" s="835">
        <v>0</v>
      </c>
      <c r="L63" s="835">
        <v>10.308407617185997</v>
      </c>
      <c r="M63" s="1714">
        <v>2.5563226189269144</v>
      </c>
      <c r="N63" s="1713">
        <f t="shared" si="14"/>
        <v>280.069131471128</v>
      </c>
      <c r="O63" s="850">
        <f t="shared" si="15"/>
        <v>15.717479895136082</v>
      </c>
      <c r="P63" s="850">
        <f t="shared" si="15"/>
        <v>6.053724624166687E-3</v>
      </c>
      <c r="Q63" s="850">
        <f t="shared" si="15"/>
        <v>2.679871698454146</v>
      </c>
      <c r="R63" s="850">
        <f t="shared" si="15"/>
        <v>11.718242535827793</v>
      </c>
      <c r="S63" s="850">
        <f t="shared" si="15"/>
        <v>104.65219192707271</v>
      </c>
      <c r="T63" s="850"/>
      <c r="U63" s="1715">
        <f t="shared" si="17"/>
        <v>134.7738397811149</v>
      </c>
      <c r="V63" s="1716"/>
      <c r="W63" s="1716"/>
      <c r="X63" s="1716"/>
      <c r="Y63" s="1716"/>
      <c r="Z63" s="1717"/>
      <c r="AA63" s="1717"/>
      <c r="AB63" s="1717"/>
      <c r="AC63" s="1718">
        <f t="shared" si="16"/>
        <v>647.88814318007394</v>
      </c>
    </row>
    <row r="64" spans="2:29" hidden="1" x14ac:dyDescent="0.45">
      <c r="B64" s="1712" t="s">
        <v>541</v>
      </c>
      <c r="C64" s="834">
        <v>89.156419329070204</v>
      </c>
      <c r="D64" s="835">
        <v>228.65898603606402</v>
      </c>
      <c r="E64" s="835">
        <v>1.3048851239604096</v>
      </c>
      <c r="F64" s="835">
        <v>0.78102196496174614</v>
      </c>
      <c r="G64" s="1713">
        <f t="shared" si="13"/>
        <v>319.90131245405632</v>
      </c>
      <c r="H64" s="835">
        <v>105.43939058965442</v>
      </c>
      <c r="I64" s="835">
        <v>89.760653043360406</v>
      </c>
      <c r="J64" s="835">
        <v>65.978161769808196</v>
      </c>
      <c r="K64" s="835">
        <v>6.7021993704567573E-2</v>
      </c>
      <c r="L64" s="835">
        <v>7.3008130812548666</v>
      </c>
      <c r="M64" s="1714">
        <v>5.0438669638214355</v>
      </c>
      <c r="N64" s="1713">
        <f t="shared" si="14"/>
        <v>168.15051685194948</v>
      </c>
      <c r="O64" s="850">
        <f t="shared" si="15"/>
        <v>0</v>
      </c>
      <c r="P64" s="850">
        <f t="shared" si="15"/>
        <v>0</v>
      </c>
      <c r="Q64" s="850">
        <f t="shared" si="15"/>
        <v>2.2990568735439227</v>
      </c>
      <c r="R64" s="850">
        <f t="shared" si="15"/>
        <v>15.585781326943525</v>
      </c>
      <c r="S64" s="850">
        <f t="shared" si="15"/>
        <v>126.50788896934662</v>
      </c>
      <c r="T64" s="850"/>
      <c r="U64" s="1715">
        <f t="shared" si="17"/>
        <v>144.39272716983407</v>
      </c>
      <c r="V64" s="1716"/>
      <c r="W64" s="1716"/>
      <c r="X64" s="1716"/>
      <c r="Y64" s="1716"/>
      <c r="Z64" s="1717"/>
      <c r="AA64" s="1717"/>
      <c r="AB64" s="1717"/>
      <c r="AC64" s="1718">
        <f t="shared" si="16"/>
        <v>632.44455647583982</v>
      </c>
    </row>
    <row r="65" spans="2:29" hidden="1" x14ac:dyDescent="0.45">
      <c r="B65" s="1712" t="s">
        <v>542</v>
      </c>
      <c r="C65" s="834">
        <v>86.449806760819399</v>
      </c>
      <c r="D65" s="835">
        <v>256.81758909941101</v>
      </c>
      <c r="E65" s="835">
        <v>1.2695160010798001</v>
      </c>
      <c r="F65" s="835">
        <v>1.3590288644192245</v>
      </c>
      <c r="G65" s="1713">
        <f t="shared" si="13"/>
        <v>345.89594072572942</v>
      </c>
      <c r="H65" s="835">
        <v>55.307670561510001</v>
      </c>
      <c r="I65" s="835">
        <v>43.608080197969876</v>
      </c>
      <c r="J65" s="835">
        <v>44.706472693455098</v>
      </c>
      <c r="K65" s="835">
        <v>1.2273398717883697E-4</v>
      </c>
      <c r="L65" s="835">
        <v>6.3927821199141155</v>
      </c>
      <c r="M65" s="1714">
        <v>4.8989696537195009</v>
      </c>
      <c r="N65" s="1713">
        <f t="shared" si="14"/>
        <v>99.606427399045771</v>
      </c>
      <c r="O65" s="850">
        <f t="shared" si="15"/>
        <v>0.23931699690498423</v>
      </c>
      <c r="P65" s="850">
        <f t="shared" si="15"/>
        <v>0</v>
      </c>
      <c r="Q65" s="850">
        <f t="shared" si="15"/>
        <v>3.4624301638283561</v>
      </c>
      <c r="R65" s="850">
        <f t="shared" si="15"/>
        <v>11.628550566154834</v>
      </c>
      <c r="S65" s="850">
        <f t="shared" si="15"/>
        <v>136.62522229976597</v>
      </c>
      <c r="T65" s="850"/>
      <c r="U65" s="1715">
        <f t="shared" si="17"/>
        <v>151.95552002665414</v>
      </c>
      <c r="V65" s="1716"/>
      <c r="W65" s="1716"/>
      <c r="X65" s="1716"/>
      <c r="Y65" s="1716"/>
      <c r="Z65" s="1717"/>
      <c r="AA65" s="1717"/>
      <c r="AB65" s="1717"/>
      <c r="AC65" s="1718">
        <f t="shared" si="16"/>
        <v>597.45788815142942</v>
      </c>
    </row>
    <row r="66" spans="2:29" hidden="1" x14ac:dyDescent="0.45">
      <c r="B66" s="1712" t="s">
        <v>543</v>
      </c>
      <c r="C66" s="834">
        <v>98.656762536970007</v>
      </c>
      <c r="D66" s="835">
        <v>244.74533452714104</v>
      </c>
      <c r="E66" s="835">
        <v>2.1232372213050801</v>
      </c>
      <c r="F66" s="835">
        <v>1.906354642735687</v>
      </c>
      <c r="G66" s="1713">
        <f t="shared" si="13"/>
        <v>347.4316889281518</v>
      </c>
      <c r="H66" s="835">
        <v>100.19657729653701</v>
      </c>
      <c r="I66" s="835">
        <v>88.582328432166079</v>
      </c>
      <c r="J66" s="835">
        <v>46.291837959065802</v>
      </c>
      <c r="K66" s="835">
        <v>0.18878096002637212</v>
      </c>
      <c r="L66" s="835">
        <v>17.923101891516261</v>
      </c>
      <c r="M66" s="1714">
        <v>7.3617370541305958</v>
      </c>
      <c r="N66" s="1713">
        <f t="shared" si="14"/>
        <v>160.34778629690513</v>
      </c>
      <c r="O66" s="850">
        <f t="shared" si="15"/>
        <v>3.0156475709308772</v>
      </c>
      <c r="P66" s="850">
        <f t="shared" si="15"/>
        <v>1.0467022362825331</v>
      </c>
      <c r="Q66" s="850">
        <f t="shared" si="15"/>
        <v>1.9291977066956791</v>
      </c>
      <c r="R66" s="850">
        <f t="shared" si="15"/>
        <v>11.575245208409877</v>
      </c>
      <c r="S66" s="850">
        <f t="shared" si="15"/>
        <v>343.39160646658388</v>
      </c>
      <c r="T66" s="850"/>
      <c r="U66" s="1715">
        <f t="shared" si="17"/>
        <v>360.95839918890283</v>
      </c>
      <c r="V66" s="1716"/>
      <c r="W66" s="1716"/>
      <c r="X66" s="1716"/>
      <c r="Y66" s="1716"/>
      <c r="Z66" s="1717"/>
      <c r="AA66" s="1717"/>
      <c r="AB66" s="1717"/>
      <c r="AC66" s="1718">
        <f t="shared" si="16"/>
        <v>868.73787441395973</v>
      </c>
    </row>
    <row r="67" spans="2:29" hidden="1" x14ac:dyDescent="0.45">
      <c r="B67" s="1712" t="s">
        <v>544</v>
      </c>
      <c r="C67" s="834">
        <v>105.8614882462262</v>
      </c>
      <c r="D67" s="835">
        <v>260.83431892929201</v>
      </c>
      <c r="E67" s="835">
        <v>1.7666133201265284</v>
      </c>
      <c r="F67" s="835">
        <v>2.3030534023076727</v>
      </c>
      <c r="G67" s="1713">
        <f t="shared" si="13"/>
        <v>370.7654738979524</v>
      </c>
      <c r="H67" s="835">
        <v>239.6446010118606</v>
      </c>
      <c r="I67" s="835">
        <v>226.12311572766765</v>
      </c>
      <c r="J67" s="835">
        <v>126.31506430543789</v>
      </c>
      <c r="K67" s="835">
        <v>0.11343876499257698</v>
      </c>
      <c r="L67" s="835">
        <v>134.60905141059703</v>
      </c>
      <c r="M67" s="1714">
        <v>15.5488645215852</v>
      </c>
      <c r="N67" s="1713">
        <f t="shared" si="14"/>
        <v>502.70953473028032</v>
      </c>
      <c r="O67" s="850">
        <f t="shared" ref="O67:S82" si="18">O24</f>
        <v>743.06765396539345</v>
      </c>
      <c r="P67" s="850">
        <f t="shared" si="18"/>
        <v>0</v>
      </c>
      <c r="Q67" s="850">
        <f t="shared" si="18"/>
        <v>10.669991634934458</v>
      </c>
      <c r="R67" s="850">
        <f t="shared" si="18"/>
        <v>13.420807859372644</v>
      </c>
      <c r="S67" s="850">
        <f t="shared" si="18"/>
        <v>400.64308190147597</v>
      </c>
      <c r="T67" s="850"/>
      <c r="U67" s="1715">
        <f t="shared" si="17"/>
        <v>1167.8015353611765</v>
      </c>
      <c r="V67" s="1716"/>
      <c r="W67" s="1716"/>
      <c r="X67" s="1716"/>
      <c r="Y67" s="1716"/>
      <c r="Z67" s="1717"/>
      <c r="AA67" s="1717"/>
      <c r="AB67" s="1717"/>
      <c r="AC67" s="1718">
        <f t="shared" si="16"/>
        <v>2041.2765439894092</v>
      </c>
    </row>
    <row r="68" spans="2:29" hidden="1" x14ac:dyDescent="0.45">
      <c r="B68" s="1712" t="s">
        <v>545</v>
      </c>
      <c r="C68" s="834">
        <v>95.842719434923012</v>
      </c>
      <c r="D68" s="835">
        <v>212.11354320735796</v>
      </c>
      <c r="E68" s="835">
        <v>1.4851171717112805</v>
      </c>
      <c r="F68" s="835">
        <v>1.7750943493330213</v>
      </c>
      <c r="G68" s="1713">
        <f t="shared" si="13"/>
        <v>311.2164741633253</v>
      </c>
      <c r="H68" s="835">
        <v>234.37704809132381</v>
      </c>
      <c r="I68" s="835">
        <v>223.41451862377966</v>
      </c>
      <c r="J68" s="835">
        <v>105.33600913333561</v>
      </c>
      <c r="K68" s="835">
        <v>0.22162775120917516</v>
      </c>
      <c r="L68" s="835">
        <v>14.362867948483798</v>
      </c>
      <c r="M68" s="1714">
        <v>5.5223410105788799</v>
      </c>
      <c r="N68" s="1713">
        <f t="shared" si="14"/>
        <v>348.85736446738713</v>
      </c>
      <c r="O68" s="850">
        <f t="shared" si="18"/>
        <v>115.62566537073306</v>
      </c>
      <c r="P68" s="850">
        <f t="shared" si="18"/>
        <v>0</v>
      </c>
      <c r="Q68" s="850">
        <f t="shared" si="18"/>
        <v>0.36460838899933123</v>
      </c>
      <c r="R68" s="850">
        <f t="shared" si="18"/>
        <v>10.892863596156811</v>
      </c>
      <c r="S68" s="850">
        <f t="shared" si="18"/>
        <v>276.91686599366869</v>
      </c>
      <c r="T68" s="850"/>
      <c r="U68" s="1715">
        <f t="shared" si="17"/>
        <v>403.80000334955787</v>
      </c>
      <c r="V68" s="1716"/>
      <c r="W68" s="1716"/>
      <c r="X68" s="1716"/>
      <c r="Y68" s="1716"/>
      <c r="Z68" s="1717"/>
      <c r="AA68" s="1717"/>
      <c r="AB68" s="1717"/>
      <c r="AC68" s="1718">
        <f t="shared" si="16"/>
        <v>1063.8738419802703</v>
      </c>
    </row>
    <row r="69" spans="2:29" hidden="1" x14ac:dyDescent="0.45">
      <c r="B69" s="1712" t="s">
        <v>546</v>
      </c>
      <c r="C69" s="834">
        <v>78.117163977077624</v>
      </c>
      <c r="D69" s="835">
        <v>162.92717093251852</v>
      </c>
      <c r="E69" s="835">
        <v>0.48099059147784717</v>
      </c>
      <c r="F69" s="835">
        <v>0.79958239548909871</v>
      </c>
      <c r="G69" s="1713">
        <f t="shared" si="13"/>
        <v>242.3249078965631</v>
      </c>
      <c r="H69" s="835">
        <v>203.21813562244841</v>
      </c>
      <c r="I69" s="835">
        <v>189.10559428823208</v>
      </c>
      <c r="J69" s="835">
        <v>121.6132097121785</v>
      </c>
      <c r="K69" s="835">
        <v>0.24234387965971096</v>
      </c>
      <c r="L69" s="835">
        <v>6.9622170684784281</v>
      </c>
      <c r="M69" s="1714">
        <v>1.7994013838824223</v>
      </c>
      <c r="N69" s="1713">
        <f t="shared" si="14"/>
        <v>319.72276633243115</v>
      </c>
      <c r="O69" s="850">
        <f t="shared" si="18"/>
        <v>0</v>
      </c>
      <c r="P69" s="850">
        <f t="shared" si="18"/>
        <v>0</v>
      </c>
      <c r="Q69" s="850">
        <f t="shared" si="18"/>
        <v>1.6912329319158637</v>
      </c>
      <c r="R69" s="850">
        <f t="shared" si="18"/>
        <v>14.023166037516614</v>
      </c>
      <c r="S69" s="850">
        <f t="shared" si="18"/>
        <v>94.687126493803987</v>
      </c>
      <c r="T69" s="850"/>
      <c r="U69" s="1715">
        <f t="shared" si="17"/>
        <v>110.40152546323647</v>
      </c>
      <c r="V69" s="1716"/>
      <c r="W69" s="1716"/>
      <c r="X69" s="1716"/>
      <c r="Y69" s="1716"/>
      <c r="Z69" s="1717"/>
      <c r="AA69" s="1717"/>
      <c r="AB69" s="1717"/>
      <c r="AC69" s="1718">
        <f t="shared" si="16"/>
        <v>672.44919969223076</v>
      </c>
    </row>
    <row r="70" spans="2:29" hidden="1" x14ac:dyDescent="0.45">
      <c r="B70" s="1712" t="s">
        <v>547</v>
      </c>
      <c r="C70" s="834">
        <v>91.986903904080805</v>
      </c>
      <c r="D70" s="835">
        <v>158.45696460640227</v>
      </c>
      <c r="E70" s="835">
        <v>0.39149481652497836</v>
      </c>
      <c r="F70" s="835">
        <v>2.0332498862486919</v>
      </c>
      <c r="G70" s="1713">
        <f t="shared" si="13"/>
        <v>252.86861321325674</v>
      </c>
      <c r="H70" s="835">
        <v>227.51048405192682</v>
      </c>
      <c r="I70" s="835">
        <v>212.70310890114857</v>
      </c>
      <c r="J70" s="835">
        <v>162.94656861731789</v>
      </c>
      <c r="K70" s="835">
        <v>5.910073365577994E-2</v>
      </c>
      <c r="L70" s="835">
        <v>2.3989480124482454</v>
      </c>
      <c r="M70" s="1714">
        <v>1.4346140999764325</v>
      </c>
      <c r="N70" s="1713">
        <f t="shared" si="14"/>
        <v>379.54234036454693</v>
      </c>
      <c r="O70" s="850">
        <f t="shared" si="18"/>
        <v>1.9432032371093186</v>
      </c>
      <c r="P70" s="850">
        <f t="shared" si="18"/>
        <v>1.40665587491251E-2</v>
      </c>
      <c r="Q70" s="850">
        <f t="shared" si="18"/>
        <v>2.0108085065414651</v>
      </c>
      <c r="R70" s="850">
        <f t="shared" si="18"/>
        <v>14.689810765087463</v>
      </c>
      <c r="S70" s="850">
        <f t="shared" si="18"/>
        <v>109.33525594006099</v>
      </c>
      <c r="T70" s="850"/>
      <c r="U70" s="1715">
        <f t="shared" si="17"/>
        <v>127.99314500754836</v>
      </c>
      <c r="V70" s="1716"/>
      <c r="W70" s="1716"/>
      <c r="X70" s="1716"/>
      <c r="Y70" s="1716"/>
      <c r="Z70" s="1717"/>
      <c r="AA70" s="1717"/>
      <c r="AB70" s="1717"/>
      <c r="AC70" s="1718">
        <f t="shared" si="16"/>
        <v>760.40409858535202</v>
      </c>
    </row>
    <row r="71" spans="2:29" hidden="1" x14ac:dyDescent="0.45">
      <c r="B71" s="1712" t="s">
        <v>548</v>
      </c>
      <c r="C71" s="834">
        <v>64.401702000356011</v>
      </c>
      <c r="D71" s="835">
        <v>161.91780875957039</v>
      </c>
      <c r="E71" s="835">
        <v>1.0260759796523873</v>
      </c>
      <c r="F71" s="835">
        <v>0.84781177985068745</v>
      </c>
      <c r="G71" s="1713">
        <f t="shared" si="13"/>
        <v>228.19339851942948</v>
      </c>
      <c r="H71" s="835">
        <v>88.200274207264215</v>
      </c>
      <c r="I71" s="835">
        <v>83.820782882131695</v>
      </c>
      <c r="J71" s="835">
        <v>43.773218976229096</v>
      </c>
      <c r="K71" s="835">
        <v>0.33510996852283842</v>
      </c>
      <c r="L71" s="835">
        <v>8.6186661165602576</v>
      </c>
      <c r="M71" s="1714">
        <v>3.7960771280479695</v>
      </c>
      <c r="N71" s="1713">
        <f t="shared" si="14"/>
        <v>140.34385507149187</v>
      </c>
      <c r="O71" s="850">
        <f t="shared" si="18"/>
        <v>0</v>
      </c>
      <c r="P71" s="850">
        <f t="shared" si="18"/>
        <v>0</v>
      </c>
      <c r="Q71" s="850">
        <f t="shared" si="18"/>
        <v>0.53511548365927109</v>
      </c>
      <c r="R71" s="850">
        <f t="shared" si="18"/>
        <v>4.3727557717891825</v>
      </c>
      <c r="S71" s="850">
        <f t="shared" si="18"/>
        <v>153.53660992642881</v>
      </c>
      <c r="T71" s="850"/>
      <c r="U71" s="1715">
        <f t="shared" si="17"/>
        <v>158.44448118187725</v>
      </c>
      <c r="V71" s="1716"/>
      <c r="W71" s="1716"/>
      <c r="X71" s="1716"/>
      <c r="Y71" s="1716"/>
      <c r="Z71" s="1717"/>
      <c r="AA71" s="1717"/>
      <c r="AB71" s="1717"/>
      <c r="AC71" s="1718">
        <f t="shared" si="16"/>
        <v>526.98173477279863</v>
      </c>
    </row>
    <row r="72" spans="2:29" hidden="1" x14ac:dyDescent="0.45">
      <c r="B72" s="1712" t="s">
        <v>549</v>
      </c>
      <c r="C72" s="834">
        <v>108.62913643515462</v>
      </c>
      <c r="D72" s="835">
        <v>251.75839156413502</v>
      </c>
      <c r="E72" s="835">
        <v>1.1754795615477587</v>
      </c>
      <c r="F72" s="835">
        <v>1.529177305810699</v>
      </c>
      <c r="G72" s="1713">
        <f t="shared" si="13"/>
        <v>363.09218486664815</v>
      </c>
      <c r="H72" s="835">
        <v>160.64368327714061</v>
      </c>
      <c r="I72" s="835">
        <v>132.29887484756324</v>
      </c>
      <c r="J72" s="835">
        <v>135.2098201892733</v>
      </c>
      <c r="K72" s="835">
        <v>0</v>
      </c>
      <c r="L72" s="835">
        <v>4.3549415009077928</v>
      </c>
      <c r="M72" s="1714">
        <v>4.5032302409892599</v>
      </c>
      <c r="N72" s="1713">
        <f t="shared" si="14"/>
        <v>276.36686677873359</v>
      </c>
      <c r="O72" s="850">
        <f t="shared" si="18"/>
        <v>0</v>
      </c>
      <c r="P72" s="850">
        <f t="shared" si="18"/>
        <v>1.9164841809173331E-2</v>
      </c>
      <c r="Q72" s="850">
        <f t="shared" si="18"/>
        <v>0.89095923644991171</v>
      </c>
      <c r="R72" s="850">
        <f t="shared" si="18"/>
        <v>28.178179756721605</v>
      </c>
      <c r="S72" s="850">
        <f t="shared" si="18"/>
        <v>153.70695751952007</v>
      </c>
      <c r="T72" s="850"/>
      <c r="U72" s="1715">
        <f t="shared" si="17"/>
        <v>182.79526135450075</v>
      </c>
      <c r="V72" s="1716"/>
      <c r="W72" s="1716"/>
      <c r="X72" s="1716"/>
      <c r="Y72" s="1716"/>
      <c r="Z72" s="1717"/>
      <c r="AA72" s="1717"/>
      <c r="AB72" s="1717"/>
      <c r="AC72" s="1718">
        <f t="shared" si="16"/>
        <v>822.25431299988259</v>
      </c>
    </row>
    <row r="73" spans="2:29" hidden="1" x14ac:dyDescent="0.45">
      <c r="B73" s="1712" t="s">
        <v>550</v>
      </c>
      <c r="C73" s="834">
        <v>101.94202919684081</v>
      </c>
      <c r="D73" s="835">
        <v>240.8121697755</v>
      </c>
      <c r="E73" s="835">
        <v>1.8373999387225264</v>
      </c>
      <c r="F73" s="835">
        <v>1.0318765704143624</v>
      </c>
      <c r="G73" s="1713">
        <f t="shared" si="13"/>
        <v>345.62347548147767</v>
      </c>
      <c r="H73" s="835">
        <v>74.217119200141397</v>
      </c>
      <c r="I73" s="835">
        <v>61.597634223481151</v>
      </c>
      <c r="J73" s="835">
        <v>65.315626270604596</v>
      </c>
      <c r="K73" s="835">
        <v>3.1530681840086935E-2</v>
      </c>
      <c r="L73" s="835">
        <v>2.91777531513313</v>
      </c>
      <c r="M73" s="1714">
        <v>7.0610133219515019</v>
      </c>
      <c r="N73" s="1713">
        <f t="shared" si="14"/>
        <v>136.92357981301046</v>
      </c>
      <c r="O73" s="850">
        <f t="shared" si="18"/>
        <v>9.7057815647977538E-3</v>
      </c>
      <c r="P73" s="850">
        <f t="shared" si="18"/>
        <v>0.64523329442470256</v>
      </c>
      <c r="Q73" s="850">
        <f t="shared" si="18"/>
        <v>1.3081675303600095</v>
      </c>
      <c r="R73" s="850">
        <f t="shared" si="18"/>
        <v>12.600076509348563</v>
      </c>
      <c r="S73" s="850">
        <f t="shared" si="18"/>
        <v>144.49321701826668</v>
      </c>
      <c r="T73" s="850"/>
      <c r="U73" s="1715">
        <f t="shared" si="17"/>
        <v>159.05640013396476</v>
      </c>
      <c r="V73" s="1716"/>
      <c r="W73" s="1716"/>
      <c r="X73" s="1716"/>
      <c r="Y73" s="1716"/>
      <c r="Z73" s="1717"/>
      <c r="AA73" s="1717"/>
      <c r="AB73" s="1717"/>
      <c r="AC73" s="1718">
        <f t="shared" si="16"/>
        <v>641.60345542845289</v>
      </c>
    </row>
    <row r="74" spans="2:29" hidden="1" x14ac:dyDescent="0.45">
      <c r="B74" s="1712" t="s">
        <v>551</v>
      </c>
      <c r="C74" s="834">
        <v>77.412700953512228</v>
      </c>
      <c r="D74" s="835">
        <v>193.78370809278201</v>
      </c>
      <c r="E74" s="835">
        <v>1.6934229012780275</v>
      </c>
      <c r="F74" s="835">
        <v>1.1095915135725305</v>
      </c>
      <c r="G74" s="1713">
        <f t="shared" si="13"/>
        <v>273.99942346114477</v>
      </c>
      <c r="H74" s="835">
        <v>125.78538586578881</v>
      </c>
      <c r="I74" s="835">
        <v>112.2483947710206</v>
      </c>
      <c r="J74" s="835">
        <v>55.165749385587297</v>
      </c>
      <c r="K74" s="835">
        <v>0.40019255854426888</v>
      </c>
      <c r="L74" s="835">
        <v>8.2527008157904156</v>
      </c>
      <c r="M74" s="1714">
        <v>6.6495741935071253</v>
      </c>
      <c r="N74" s="1713">
        <f t="shared" si="14"/>
        <v>182.71661172444971</v>
      </c>
      <c r="O74" s="850">
        <f t="shared" si="18"/>
        <v>0</v>
      </c>
      <c r="P74" s="850">
        <f t="shared" si="18"/>
        <v>0</v>
      </c>
      <c r="Q74" s="850">
        <f t="shared" si="18"/>
        <v>0.69104931967589656</v>
      </c>
      <c r="R74" s="850">
        <f t="shared" si="18"/>
        <v>13.447440598042769</v>
      </c>
      <c r="S74" s="850">
        <f t="shared" si="18"/>
        <v>126.75321482377261</v>
      </c>
      <c r="T74" s="850"/>
      <c r="U74" s="1715">
        <f t="shared" si="17"/>
        <v>140.89170474149128</v>
      </c>
      <c r="V74" s="1716"/>
      <c r="W74" s="1716"/>
      <c r="X74" s="1716"/>
      <c r="Y74" s="1716"/>
      <c r="Z74" s="1717"/>
      <c r="AA74" s="1717"/>
      <c r="AB74" s="1717"/>
      <c r="AC74" s="1718">
        <f t="shared" si="16"/>
        <v>597.60773992708573</v>
      </c>
    </row>
    <row r="75" spans="2:29" hidden="1" x14ac:dyDescent="0.45">
      <c r="B75" s="1712" t="s">
        <v>552</v>
      </c>
      <c r="C75" s="834">
        <v>95.130098730078586</v>
      </c>
      <c r="D75" s="835">
        <v>197.34767283855098</v>
      </c>
      <c r="E75" s="835">
        <v>1.8961978441648917</v>
      </c>
      <c r="F75" s="835">
        <v>0.47234619581102555</v>
      </c>
      <c r="G75" s="1713">
        <f t="shared" si="13"/>
        <v>294.84631560860549</v>
      </c>
      <c r="H75" s="835">
        <v>253.78910485738004</v>
      </c>
      <c r="I75" s="835">
        <v>227.39794379595077</v>
      </c>
      <c r="J75" s="835">
        <v>171.51214977385189</v>
      </c>
      <c r="K75" s="835">
        <v>6.6743383295538861E-2</v>
      </c>
      <c r="L75" s="835">
        <v>35.492759134403215</v>
      </c>
      <c r="M75" s="1714">
        <v>7.3232644969528442</v>
      </c>
      <c r="N75" s="1713">
        <f t="shared" si="14"/>
        <v>441.79286058445427</v>
      </c>
      <c r="O75" s="850">
        <f t="shared" si="18"/>
        <v>40.65212545228588</v>
      </c>
      <c r="P75" s="850">
        <f t="shared" si="18"/>
        <v>4.3420404949289519</v>
      </c>
      <c r="Q75" s="850">
        <f t="shared" si="18"/>
        <v>2.3007914813267361</v>
      </c>
      <c r="R75" s="850">
        <f t="shared" si="18"/>
        <v>25.890578519025492</v>
      </c>
      <c r="S75" s="850">
        <f t="shared" si="18"/>
        <v>171.88957701388497</v>
      </c>
      <c r="T75" s="850"/>
      <c r="U75" s="1715">
        <f t="shared" si="17"/>
        <v>245.07511296145202</v>
      </c>
      <c r="V75" s="1716"/>
      <c r="W75" s="1716"/>
      <c r="X75" s="1716"/>
      <c r="Y75" s="1716"/>
      <c r="Z75" s="1717"/>
      <c r="AA75" s="1717"/>
      <c r="AB75" s="1717"/>
      <c r="AC75" s="1718">
        <f t="shared" si="16"/>
        <v>981.71428915451179</v>
      </c>
    </row>
    <row r="76" spans="2:29" hidden="1" x14ac:dyDescent="0.45">
      <c r="B76" s="1712" t="s">
        <v>553</v>
      </c>
      <c r="C76" s="834">
        <v>98.273286952853212</v>
      </c>
      <c r="D76" s="835">
        <v>261.719509969093</v>
      </c>
      <c r="E76" s="835">
        <v>1.8357153497737031</v>
      </c>
      <c r="F76" s="835">
        <v>1.1969164230907743</v>
      </c>
      <c r="G76" s="1713">
        <f t="shared" si="13"/>
        <v>363.02542869481067</v>
      </c>
      <c r="H76" s="835">
        <v>66.115097513957409</v>
      </c>
      <c r="I76" s="835">
        <v>54.67317642487069</v>
      </c>
      <c r="J76" s="835">
        <v>45.478948695694505</v>
      </c>
      <c r="K76" s="835">
        <v>0.20106598111370325</v>
      </c>
      <c r="L76" s="835">
        <v>9.294779599716394</v>
      </c>
      <c r="M76" s="1714">
        <v>7.0566787938953475</v>
      </c>
      <c r="N76" s="1713">
        <f t="shared" si="14"/>
        <v>116.70464949529062</v>
      </c>
      <c r="O76" s="850">
        <f t="shared" si="18"/>
        <v>0.87306421045310378</v>
      </c>
      <c r="P76" s="850">
        <f t="shared" si="18"/>
        <v>0</v>
      </c>
      <c r="Q76" s="850">
        <f t="shared" si="18"/>
        <v>0.68331705162458356</v>
      </c>
      <c r="R76" s="850">
        <f t="shared" si="18"/>
        <v>11.370309594965644</v>
      </c>
      <c r="S76" s="850">
        <f t="shared" si="18"/>
        <v>244.43891050526753</v>
      </c>
      <c r="T76" s="850"/>
      <c r="U76" s="1715">
        <f t="shared" si="17"/>
        <v>257.36560136231088</v>
      </c>
      <c r="V76" s="1716"/>
      <c r="W76" s="1716"/>
      <c r="X76" s="1716"/>
      <c r="Y76" s="1716"/>
      <c r="Z76" s="1717"/>
      <c r="AA76" s="1717"/>
      <c r="AB76" s="1717"/>
      <c r="AC76" s="1718">
        <f t="shared" si="16"/>
        <v>737.09567955241209</v>
      </c>
    </row>
    <row r="77" spans="2:29" hidden="1" x14ac:dyDescent="0.45">
      <c r="B77" s="1712" t="s">
        <v>554</v>
      </c>
      <c r="C77" s="834">
        <v>83.623800226031193</v>
      </c>
      <c r="D77" s="835">
        <v>215.55131307995103</v>
      </c>
      <c r="E77" s="835">
        <v>1.2870466525801003</v>
      </c>
      <c r="F77" s="835">
        <v>1.617632552866012</v>
      </c>
      <c r="G77" s="1713">
        <f t="shared" si="13"/>
        <v>302.07979251142831</v>
      </c>
      <c r="H77" s="835">
        <v>78.996763097750602</v>
      </c>
      <c r="I77" s="835">
        <v>73.28815277216161</v>
      </c>
      <c r="J77" s="835">
        <v>54.741784712545808</v>
      </c>
      <c r="K77" s="835">
        <v>0</v>
      </c>
      <c r="L77" s="835">
        <v>7.571116931490911</v>
      </c>
      <c r="M77" s="1714">
        <v>4.7947668558448155</v>
      </c>
      <c r="N77" s="1713">
        <f t="shared" si="14"/>
        <v>140.39582127204315</v>
      </c>
      <c r="O77" s="850">
        <f t="shared" si="18"/>
        <v>46.482750010618879</v>
      </c>
      <c r="P77" s="850">
        <f t="shared" si="18"/>
        <v>0</v>
      </c>
      <c r="Q77" s="850">
        <f t="shared" si="18"/>
        <v>0.12703056026728426</v>
      </c>
      <c r="R77" s="850">
        <f t="shared" si="18"/>
        <v>5.6930082501902861</v>
      </c>
      <c r="S77" s="850">
        <f t="shared" si="18"/>
        <v>157.79568059439163</v>
      </c>
      <c r="T77" s="850"/>
      <c r="U77" s="1715">
        <f t="shared" si="17"/>
        <v>210.09846941546809</v>
      </c>
      <c r="V77" s="1716"/>
      <c r="W77" s="1716"/>
      <c r="X77" s="1716"/>
      <c r="Y77" s="1716"/>
      <c r="Z77" s="1717"/>
      <c r="AA77" s="1717"/>
      <c r="AB77" s="1717"/>
      <c r="AC77" s="1718">
        <f t="shared" si="16"/>
        <v>652.57408319893955</v>
      </c>
    </row>
    <row r="78" spans="2:29" hidden="1" x14ac:dyDescent="0.45">
      <c r="B78" s="1712" t="s">
        <v>555</v>
      </c>
      <c r="C78" s="834">
        <v>111.95546897372802</v>
      </c>
      <c r="D78" s="835">
        <v>188.061407663468</v>
      </c>
      <c r="E78" s="835">
        <v>0.92866787827693631</v>
      </c>
      <c r="F78" s="835">
        <v>2.0986764194027061</v>
      </c>
      <c r="G78" s="1713">
        <f t="shared" si="13"/>
        <v>303.04422093487563</v>
      </c>
      <c r="H78" s="835">
        <v>301.93268283378006</v>
      </c>
      <c r="I78" s="835">
        <v>284.48456757525361</v>
      </c>
      <c r="J78" s="835">
        <v>175.50025739730512</v>
      </c>
      <c r="K78" s="835">
        <v>0.16759589559047883</v>
      </c>
      <c r="L78" s="835">
        <v>9.3317913242985764</v>
      </c>
      <c r="M78" s="1714">
        <v>3.5594656071089168</v>
      </c>
      <c r="N78" s="1713">
        <f t="shared" si="14"/>
        <v>473.04367779955669</v>
      </c>
      <c r="O78" s="850">
        <f t="shared" si="18"/>
        <v>1.3166088870173247</v>
      </c>
      <c r="P78" s="850">
        <f t="shared" si="18"/>
        <v>4.5509310048639628</v>
      </c>
      <c r="Q78" s="850">
        <f t="shared" si="18"/>
        <v>0.65889735700541407</v>
      </c>
      <c r="R78" s="850">
        <f t="shared" si="18"/>
        <v>17.373613394694718</v>
      </c>
      <c r="S78" s="850">
        <f t="shared" si="18"/>
        <v>152.21283509205071</v>
      </c>
      <c r="T78" s="850"/>
      <c r="U78" s="1715">
        <f t="shared" si="17"/>
        <v>176.11288573563212</v>
      </c>
      <c r="V78" s="1716"/>
      <c r="W78" s="1716"/>
      <c r="X78" s="1716"/>
      <c r="Y78" s="1716"/>
      <c r="Z78" s="1717"/>
      <c r="AA78" s="1717"/>
      <c r="AB78" s="1717"/>
      <c r="AC78" s="1718">
        <f t="shared" si="16"/>
        <v>952.20078447006449</v>
      </c>
    </row>
    <row r="79" spans="2:29" hidden="1" x14ac:dyDescent="0.45">
      <c r="B79" s="1712" t="s">
        <v>556</v>
      </c>
      <c r="C79" s="834">
        <v>79.082535424606021</v>
      </c>
      <c r="D79" s="835">
        <v>188.61048922466799</v>
      </c>
      <c r="E79" s="835">
        <v>1.4664910963402928</v>
      </c>
      <c r="F79" s="835">
        <v>1.2874156690357106</v>
      </c>
      <c r="G79" s="1713">
        <f t="shared" si="13"/>
        <v>270.44693141465001</v>
      </c>
      <c r="H79" s="835">
        <v>91.273811365466202</v>
      </c>
      <c r="I79" s="835">
        <v>88.676114118226792</v>
      </c>
      <c r="J79" s="835">
        <v>48.920444238775403</v>
      </c>
      <c r="K79" s="835">
        <v>1.4775183413945011E-2</v>
      </c>
      <c r="L79" s="835">
        <v>8.6851852566472374</v>
      </c>
      <c r="M79" s="1714">
        <v>5.3725889949290604</v>
      </c>
      <c r="N79" s="1713">
        <f t="shared" si="14"/>
        <v>151.66910779199245</v>
      </c>
      <c r="O79" s="850">
        <f t="shared" si="18"/>
        <v>4.4182085522614843E-2</v>
      </c>
      <c r="P79" s="850">
        <f t="shared" si="18"/>
        <v>0</v>
      </c>
      <c r="Q79" s="850">
        <f t="shared" si="18"/>
        <v>0</v>
      </c>
      <c r="R79" s="850">
        <f t="shared" si="18"/>
        <v>2.5848317843517812</v>
      </c>
      <c r="S79" s="850">
        <f t="shared" si="18"/>
        <v>108.67683218553442</v>
      </c>
      <c r="T79" s="850"/>
      <c r="U79" s="1715">
        <f t="shared" si="17"/>
        <v>111.30584605540882</v>
      </c>
      <c r="V79" s="1716"/>
      <c r="W79" s="1716"/>
      <c r="X79" s="1716"/>
      <c r="Y79" s="1716"/>
      <c r="Z79" s="1717"/>
      <c r="AA79" s="1717"/>
      <c r="AB79" s="1717"/>
      <c r="AC79" s="1718">
        <f t="shared" si="16"/>
        <v>533.42188526205121</v>
      </c>
    </row>
    <row r="80" spans="2:29" hidden="1" x14ac:dyDescent="0.45">
      <c r="B80" s="1712" t="s">
        <v>557</v>
      </c>
      <c r="C80" s="834">
        <v>105.4200761212216</v>
      </c>
      <c r="D80" s="835">
        <v>127.06462705246609</v>
      </c>
      <c r="E80" s="835">
        <v>0.45514760719025665</v>
      </c>
      <c r="F80" s="835">
        <v>1.1436814227676104</v>
      </c>
      <c r="G80" s="1713">
        <f t="shared" si="13"/>
        <v>234.08353220364558</v>
      </c>
      <c r="H80" s="835">
        <v>539.04196367732402</v>
      </c>
      <c r="I80" s="835">
        <v>514.24962018617896</v>
      </c>
      <c r="J80" s="835">
        <v>155.36193936091669</v>
      </c>
      <c r="K80" s="835">
        <v>0.65239710193590372</v>
      </c>
      <c r="L80" s="835">
        <v>20.848365461959737</v>
      </c>
      <c r="M80" s="1714">
        <v>7.2057245195847877</v>
      </c>
      <c r="N80" s="1713">
        <f t="shared" si="14"/>
        <v>698.31804663057608</v>
      </c>
      <c r="O80" s="850">
        <f t="shared" si="18"/>
        <v>13.073829923436364</v>
      </c>
      <c r="P80" s="850">
        <f t="shared" si="18"/>
        <v>9.9164502219082511</v>
      </c>
      <c r="Q80" s="850">
        <f t="shared" si="18"/>
        <v>1.7830016969268656E-3</v>
      </c>
      <c r="R80" s="850">
        <f t="shared" si="18"/>
        <v>24.306280154556575</v>
      </c>
      <c r="S80" s="850">
        <f t="shared" si="18"/>
        <v>151.89774546817858</v>
      </c>
      <c r="T80" s="850"/>
      <c r="U80" s="1715">
        <f t="shared" si="17"/>
        <v>199.19608876977671</v>
      </c>
      <c r="V80" s="1716"/>
      <c r="W80" s="1716"/>
      <c r="X80" s="1716"/>
      <c r="Y80" s="1716"/>
      <c r="Z80" s="1717"/>
      <c r="AA80" s="1717"/>
      <c r="AB80" s="1717"/>
      <c r="AC80" s="1718">
        <f t="shared" si="16"/>
        <v>1131.5976676039984</v>
      </c>
    </row>
    <row r="81" spans="2:29" hidden="1" x14ac:dyDescent="0.45">
      <c r="B81" s="1712" t="s">
        <v>558</v>
      </c>
      <c r="C81" s="834">
        <v>86.100500762191814</v>
      </c>
      <c r="D81" s="835">
        <v>217.00724488194697</v>
      </c>
      <c r="E81" s="835">
        <v>1.989439133645271</v>
      </c>
      <c r="F81" s="835">
        <v>0.74377101991731476</v>
      </c>
      <c r="G81" s="1713">
        <f t="shared" si="13"/>
        <v>305.84095579770133</v>
      </c>
      <c r="H81" s="835">
        <v>84.654862685775797</v>
      </c>
      <c r="I81" s="835">
        <v>76.610044904904768</v>
      </c>
      <c r="J81" s="835">
        <v>56.720833952187597</v>
      </c>
      <c r="K81" s="835">
        <v>3.1530681840086935E-2</v>
      </c>
      <c r="L81" s="835">
        <v>10.002089745917882</v>
      </c>
      <c r="M81" s="1714">
        <v>7.6371544990432243</v>
      </c>
      <c r="N81" s="1713">
        <f t="shared" si="14"/>
        <v>151.00165378389354</v>
      </c>
      <c r="O81" s="850">
        <f t="shared" si="18"/>
        <v>0.60549144992699833</v>
      </c>
      <c r="P81" s="850">
        <f t="shared" si="18"/>
        <v>0</v>
      </c>
      <c r="Q81" s="850">
        <f t="shared" si="18"/>
        <v>1.9521033418352245</v>
      </c>
      <c r="R81" s="850">
        <f t="shared" si="18"/>
        <v>7.9944057287696273</v>
      </c>
      <c r="S81" s="850">
        <f t="shared" si="18"/>
        <v>169.08906586425792</v>
      </c>
      <c r="T81" s="850"/>
      <c r="U81" s="1715">
        <f t="shared" si="17"/>
        <v>179.64106638478978</v>
      </c>
      <c r="V81" s="1716"/>
      <c r="W81" s="1716"/>
      <c r="X81" s="1716"/>
      <c r="Y81" s="1716"/>
      <c r="Z81" s="1717"/>
      <c r="AA81" s="1717"/>
      <c r="AB81" s="1717"/>
      <c r="AC81" s="1718">
        <f t="shared" si="16"/>
        <v>636.48367596638468</v>
      </c>
    </row>
    <row r="82" spans="2:29" hidden="1" x14ac:dyDescent="0.45">
      <c r="B82" s="1712" t="s">
        <v>559</v>
      </c>
      <c r="C82" s="834">
        <v>124.72828600436502</v>
      </c>
      <c r="D82" s="835">
        <v>276.57806151612198</v>
      </c>
      <c r="E82" s="835">
        <v>1.4297932828607487</v>
      </c>
      <c r="F82" s="835">
        <v>1.4157819588392666</v>
      </c>
      <c r="G82" s="1713">
        <f t="shared" si="13"/>
        <v>404.15192276218704</v>
      </c>
      <c r="H82" s="835">
        <v>124.30587131446981</v>
      </c>
      <c r="I82" s="835">
        <v>99.733446821454777</v>
      </c>
      <c r="J82" s="835">
        <v>112.7231138071262</v>
      </c>
      <c r="K82" s="835">
        <v>1.4775183413945011E-2</v>
      </c>
      <c r="L82" s="835">
        <v>6.1406924019971845</v>
      </c>
      <c r="M82" s="1714">
        <v>5.6177259756903162</v>
      </c>
      <c r="N82" s="1713">
        <f t="shared" si="14"/>
        <v>224.22975418968241</v>
      </c>
      <c r="O82" s="850">
        <f t="shared" si="18"/>
        <v>14.141434627016601</v>
      </c>
      <c r="P82" s="850">
        <f t="shared" si="18"/>
        <v>6.5582187728466827E-3</v>
      </c>
      <c r="Q82" s="850">
        <f t="shared" si="18"/>
        <v>1.3529443442061819</v>
      </c>
      <c r="R82" s="850">
        <f t="shared" si="18"/>
        <v>24.496503873162084</v>
      </c>
      <c r="S82" s="850">
        <f t="shared" si="18"/>
        <v>159.24399126519867</v>
      </c>
      <c r="T82" s="850"/>
      <c r="U82" s="1715">
        <f t="shared" si="17"/>
        <v>199.24143232835638</v>
      </c>
      <c r="V82" s="1716"/>
      <c r="W82" s="1716"/>
      <c r="X82" s="1716"/>
      <c r="Y82" s="1716"/>
      <c r="Z82" s="1717"/>
      <c r="AA82" s="1717"/>
      <c r="AB82" s="1717"/>
      <c r="AC82" s="1718">
        <f t="shared" si="16"/>
        <v>827.62310928022578</v>
      </c>
    </row>
    <row r="83" spans="2:29" ht="14.65" hidden="1" thickBot="1" x14ac:dyDescent="0.5">
      <c r="B83" s="1712" t="s">
        <v>560</v>
      </c>
      <c r="C83" s="834">
        <v>123.2566878732414</v>
      </c>
      <c r="D83" s="835">
        <v>174.75997082387752</v>
      </c>
      <c r="E83" s="835">
        <v>0.41407989637657999</v>
      </c>
      <c r="F83" s="835">
        <v>2.9692194974801187</v>
      </c>
      <c r="G83" s="1713">
        <f t="shared" si="13"/>
        <v>301.39995809097564</v>
      </c>
      <c r="H83" s="835">
        <v>793.92028189158214</v>
      </c>
      <c r="I83" s="835">
        <v>754.04882165243828</v>
      </c>
      <c r="J83" s="835">
        <v>472.62605162789094</v>
      </c>
      <c r="K83" s="835">
        <v>4.4842384841847451</v>
      </c>
      <c r="L83" s="835">
        <v>50.493329045933706</v>
      </c>
      <c r="M83" s="1714">
        <v>1.4559938914287154</v>
      </c>
      <c r="N83" s="1713">
        <f t="shared" si="14"/>
        <v>1283.1084347018764</v>
      </c>
      <c r="O83" s="850">
        <f t="shared" ref="O83:S83" si="19">O40</f>
        <v>0</v>
      </c>
      <c r="P83" s="850">
        <f t="shared" si="19"/>
        <v>3.9184609226209641</v>
      </c>
      <c r="Q83" s="850">
        <f t="shared" si="19"/>
        <v>2.7631926278480408</v>
      </c>
      <c r="R83" s="850">
        <f t="shared" si="19"/>
        <v>39.562043842454287</v>
      </c>
      <c r="S83" s="850">
        <f t="shared" si="19"/>
        <v>231.74987287524471</v>
      </c>
      <c r="T83" s="850"/>
      <c r="U83" s="1715">
        <f t="shared" si="17"/>
        <v>277.99357026816801</v>
      </c>
      <c r="V83" s="1716"/>
      <c r="W83" s="1716"/>
      <c r="X83" s="1716"/>
      <c r="Y83" s="1716"/>
      <c r="Z83" s="1717"/>
      <c r="AA83" s="1717"/>
      <c r="AB83" s="1717"/>
      <c r="AC83" s="1718">
        <f t="shared" si="16"/>
        <v>1862.50196306102</v>
      </c>
    </row>
    <row r="84" spans="2:29" hidden="1" x14ac:dyDescent="0.45">
      <c r="B84" s="1719" t="s">
        <v>1649</v>
      </c>
      <c r="C84" s="1720">
        <v>3183.3111381081749</v>
      </c>
      <c r="D84" s="1721">
        <v>7297.9080789367144</v>
      </c>
      <c r="E84" s="1722">
        <f>SUM(E51:E83)</f>
        <v>45.650109262595961</v>
      </c>
      <c r="F84" s="1721">
        <v>48.195568265774419</v>
      </c>
      <c r="G84" s="1723">
        <f t="shared" si="13"/>
        <v>10575.064894573259</v>
      </c>
      <c r="H84" s="1720">
        <v>6402.0105263769183</v>
      </c>
      <c r="I84" s="1721">
        <f t="shared" ref="I84:N84" si="20">SUM(I51:I83)</f>
        <v>5907.6963662246535</v>
      </c>
      <c r="J84" s="1721">
        <f t="shared" si="20"/>
        <v>3737.2799076209762</v>
      </c>
      <c r="K84" s="1721">
        <f t="shared" si="20"/>
        <v>8.7363665785735378</v>
      </c>
      <c r="L84" s="1722">
        <f t="shared" si="20"/>
        <v>616.95028284386683</v>
      </c>
      <c r="M84" s="1722">
        <f t="shared" si="20"/>
        <v>190.87893629952774</v>
      </c>
      <c r="N84" s="1723">
        <f t="shared" si="20"/>
        <v>10461.541859567598</v>
      </c>
      <c r="O84" s="1723">
        <f t="shared" ref="O84:U84" si="21">SUM(O51:O83)</f>
        <v>1016.2493037802147</v>
      </c>
      <c r="P84" s="1722">
        <f t="shared" si="21"/>
        <v>40.106479659647029</v>
      </c>
      <c r="Q84" s="1722">
        <f t="shared" si="21"/>
        <v>77.994893509336634</v>
      </c>
      <c r="R84" s="1722">
        <f t="shared" si="21"/>
        <v>490.60161770464924</v>
      </c>
      <c r="S84" s="1722">
        <f t="shared" si="21"/>
        <v>6220.4863894384607</v>
      </c>
      <c r="T84" s="1722"/>
      <c r="U84" s="1724">
        <f t="shared" si="21"/>
        <v>7845.4386840923089</v>
      </c>
      <c r="V84" s="1723"/>
      <c r="W84" s="1723"/>
      <c r="X84" s="1723"/>
      <c r="Y84" s="1723"/>
      <c r="Z84" s="1723"/>
      <c r="AA84" s="1723"/>
      <c r="AB84" s="1723"/>
      <c r="AC84" s="1725">
        <f t="shared" si="16"/>
        <v>28882.045438233166</v>
      </c>
    </row>
    <row r="85" spans="2:29" ht="14.65" hidden="1" thickBot="1" x14ac:dyDescent="0.5">
      <c r="B85" s="1726" t="s">
        <v>1650</v>
      </c>
      <c r="C85" s="1727">
        <f t="shared" ref="C85:AC85" si="22">C84/1000</f>
        <v>3.1833111381081749</v>
      </c>
      <c r="D85" s="1728">
        <f t="shared" si="22"/>
        <v>7.2979080789367146</v>
      </c>
      <c r="E85" s="1729">
        <f t="shared" si="22"/>
        <v>4.565010926259596E-2</v>
      </c>
      <c r="F85" s="1728">
        <f t="shared" si="22"/>
        <v>4.8195568265774417E-2</v>
      </c>
      <c r="G85" s="1730">
        <f t="shared" si="22"/>
        <v>10.575064894573259</v>
      </c>
      <c r="H85" s="1727">
        <f t="shared" si="22"/>
        <v>6.4020105263769187</v>
      </c>
      <c r="I85" s="1728">
        <f t="shared" si="22"/>
        <v>5.9076963662246538</v>
      </c>
      <c r="J85" s="1728">
        <f t="shared" si="22"/>
        <v>3.7372799076209762</v>
      </c>
      <c r="K85" s="1728">
        <f t="shared" si="22"/>
        <v>8.7363665785735387E-3</v>
      </c>
      <c r="L85" s="1731">
        <f t="shared" si="22"/>
        <v>0.61695028284386688</v>
      </c>
      <c r="M85" s="1731">
        <f t="shared" si="22"/>
        <v>0.19087893629952773</v>
      </c>
      <c r="N85" s="1727">
        <f t="shared" si="22"/>
        <v>10.461541859567598</v>
      </c>
      <c r="O85" s="1732">
        <f t="shared" si="22"/>
        <v>1.0162493037802147</v>
      </c>
      <c r="P85" s="1733">
        <f t="shared" si="22"/>
        <v>4.0106479659647032E-2</v>
      </c>
      <c r="Q85" s="1733">
        <f t="shared" si="22"/>
        <v>7.7994893509336638E-2</v>
      </c>
      <c r="R85" s="1733">
        <f t="shared" si="22"/>
        <v>0.49060161770464922</v>
      </c>
      <c r="S85" s="1733">
        <f t="shared" si="22"/>
        <v>6.2204863894384603</v>
      </c>
      <c r="T85" s="1733"/>
      <c r="U85" s="1727">
        <f t="shared" si="22"/>
        <v>7.8454386840923087</v>
      </c>
      <c r="V85" s="1727"/>
      <c r="W85" s="1727"/>
      <c r="X85" s="1727"/>
      <c r="Y85" s="1727"/>
      <c r="Z85" s="1727"/>
      <c r="AA85" s="1727"/>
      <c r="AB85" s="1727"/>
      <c r="AC85" s="1734">
        <f t="shared" si="22"/>
        <v>28.882045438233167</v>
      </c>
    </row>
    <row r="86" spans="2:29" hidden="1" x14ac:dyDescent="0.45">
      <c r="B86" s="1677"/>
      <c r="C86" s="1677"/>
      <c r="D86" s="1677"/>
      <c r="E86" s="1677"/>
      <c r="F86" s="1677"/>
      <c r="G86" s="1677"/>
      <c r="H86" s="1677"/>
      <c r="I86" s="1689"/>
      <c r="J86" s="1677"/>
      <c r="K86" s="1677"/>
      <c r="L86" s="1677"/>
      <c r="M86" s="1677"/>
      <c r="N86" s="1677"/>
      <c r="O86" s="1677"/>
      <c r="P86" s="1677"/>
      <c r="Q86" s="1677"/>
      <c r="R86" s="1735"/>
      <c r="S86" s="1677"/>
      <c r="T86" s="1677"/>
      <c r="U86" s="1677"/>
      <c r="V86" s="1677"/>
      <c r="W86" s="1677"/>
      <c r="X86" s="1677"/>
      <c r="Y86" s="1677"/>
      <c r="Z86" s="1677"/>
      <c r="AA86" s="1677"/>
      <c r="AB86" s="1677"/>
      <c r="AC86" s="1677"/>
    </row>
    <row r="87" spans="2:29" hidden="1" x14ac:dyDescent="0.45">
      <c r="B87" s="1677"/>
      <c r="C87" s="1677"/>
      <c r="D87" s="1677"/>
      <c r="E87" s="1677"/>
      <c r="F87" s="1677"/>
      <c r="G87" s="1677"/>
      <c r="H87" s="1677"/>
      <c r="I87" s="1677"/>
      <c r="J87" s="1677"/>
      <c r="K87" s="1677"/>
      <c r="L87" s="1677"/>
      <c r="M87" s="1677"/>
      <c r="N87" s="1677"/>
      <c r="O87" s="1677"/>
      <c r="P87" s="1677"/>
      <c r="Q87" s="1677"/>
      <c r="R87" s="1677"/>
      <c r="S87" s="1677"/>
      <c r="T87" s="1677"/>
      <c r="U87" s="1677"/>
      <c r="V87" s="1677"/>
      <c r="W87" s="1677"/>
      <c r="X87" s="1677"/>
      <c r="Y87" s="1677"/>
      <c r="Z87" s="1677"/>
      <c r="AA87" s="1677"/>
      <c r="AB87" s="1677"/>
      <c r="AC87" s="1677"/>
    </row>
    <row r="88" spans="2:29" hidden="1" x14ac:dyDescent="0.45">
      <c r="B88" s="1677"/>
      <c r="C88" s="1677"/>
      <c r="D88" s="1677"/>
      <c r="E88" s="1677"/>
      <c r="F88" s="1677"/>
      <c r="G88" s="1677"/>
      <c r="H88" s="1677"/>
      <c r="I88" s="1677"/>
      <c r="J88" s="1677"/>
      <c r="K88" s="1677"/>
      <c r="L88" s="1677"/>
      <c r="M88" s="1677"/>
      <c r="N88" s="1677"/>
      <c r="O88" s="1677"/>
      <c r="P88" s="1677"/>
      <c r="Q88" s="1677"/>
      <c r="R88" s="1677"/>
      <c r="S88" s="1677"/>
      <c r="T88" s="1677"/>
      <c r="U88" s="1677"/>
      <c r="V88" s="1677"/>
      <c r="W88" s="1677"/>
      <c r="X88" s="1677"/>
      <c r="Y88" s="1677"/>
      <c r="Z88" s="1677"/>
      <c r="AA88" s="1677"/>
      <c r="AB88" s="1677"/>
      <c r="AC88" s="1677"/>
    </row>
    <row r="89" spans="2:29" x14ac:dyDescent="0.45">
      <c r="B89" s="1677"/>
      <c r="C89" s="1677"/>
      <c r="D89" s="1677"/>
      <c r="E89" s="1677"/>
      <c r="F89" s="1677"/>
      <c r="G89" s="1677"/>
      <c r="H89" s="1677"/>
      <c r="I89" s="1677"/>
      <c r="J89" s="1677"/>
      <c r="K89" s="1677"/>
      <c r="L89" s="1677"/>
      <c r="M89" s="1677"/>
      <c r="N89" s="1677"/>
      <c r="O89" s="1677"/>
      <c r="P89" s="1677"/>
      <c r="Q89" s="1677"/>
      <c r="R89" s="1677"/>
      <c r="S89" s="1677"/>
      <c r="T89" s="1677"/>
      <c r="U89" s="1677"/>
      <c r="V89" s="1677"/>
      <c r="W89" s="1677"/>
      <c r="X89" s="1677"/>
      <c r="Y89" s="1677"/>
      <c r="Z89" s="1677"/>
      <c r="AA89" s="1677"/>
      <c r="AB89" s="1677"/>
      <c r="AC89" s="1677"/>
    </row>
  </sheetData>
  <sheetProtection algorithmName="SHA-512" hashValue="SvSCbww7Y/p4KoG5FDGgjBcQizMeLOreSTxx3wRZLYrvfKyeuj6YNwMw1rqNsTVensgKajFKenSXrJIgC6TsAg==" saltValue="3VVjSDDqXDuXqX3VgMm2IA==" spinCount="100000" sheet="1" objects="1" scenarios="1"/>
  <mergeCells count="14">
    <mergeCell ref="C48:G48"/>
    <mergeCell ref="H48:N48"/>
    <mergeCell ref="O48:U48"/>
    <mergeCell ref="B4:B5"/>
    <mergeCell ref="C4:U4"/>
    <mergeCell ref="C5:G5"/>
    <mergeCell ref="H5:N5"/>
    <mergeCell ref="C47:U47"/>
    <mergeCell ref="Z5:Z6"/>
    <mergeCell ref="AA5:AA6"/>
    <mergeCell ref="AB5:AB6"/>
    <mergeCell ref="AC4:AC6"/>
    <mergeCell ref="O5:U5"/>
    <mergeCell ref="V5:Y5"/>
  </mergeCells>
  <pageMargins left="0.25" right="0.25" top="0.75" bottom="0.75" header="0.3" footer="0.3"/>
  <pageSetup paperSize="8" scale="64" orientation="landscape" r:id="rId1"/>
  <headerFooter alignWithMargins="0"/>
  <rowBreaks count="1" manualBreakCount="1">
    <brk id="44" max="2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9" tint="0.39997558519241921"/>
  </sheetPr>
  <dimension ref="A1"/>
  <sheetViews>
    <sheetView workbookViewId="0">
      <selection activeCell="E17" sqref="E17"/>
    </sheetView>
  </sheetViews>
  <sheetFormatPr defaultRowHeight="14.25" x14ac:dyDescent="0.45"/>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rgb="FFCCFFFF"/>
    <pageSetUpPr autoPageBreaks="0"/>
  </sheetPr>
  <dimension ref="A1:AO296"/>
  <sheetViews>
    <sheetView zoomScaleNormal="100" workbookViewId="0">
      <selection activeCell="D252" sqref="D252"/>
    </sheetView>
  </sheetViews>
  <sheetFormatPr defaultRowHeight="12.75" x14ac:dyDescent="0.35"/>
  <cols>
    <col min="1" max="1" width="9.1328125" style="1736"/>
    <col min="2" max="2" width="16" style="1736" customWidth="1"/>
    <col min="3" max="3" width="17.59765625" style="1736" customWidth="1"/>
    <col min="4" max="4" width="16.86328125" style="1736" customWidth="1"/>
    <col min="5" max="5" width="21.73046875" style="1736" customWidth="1"/>
    <col min="6" max="6" width="13.3984375" style="1736" customWidth="1"/>
    <col min="7" max="7" width="30.59765625" style="1736" customWidth="1"/>
    <col min="8" max="8" width="15" style="1736" customWidth="1"/>
    <col min="9" max="9" width="15.1328125" style="1736" customWidth="1"/>
    <col min="10" max="10" width="12.59765625" style="1736" customWidth="1"/>
    <col min="11" max="11" width="19" style="1736" customWidth="1"/>
    <col min="12" max="12" width="16.73046875" style="1736" customWidth="1"/>
    <col min="13" max="13" width="18.86328125" style="1736" customWidth="1"/>
    <col min="14" max="14" width="16.59765625" style="1736" customWidth="1"/>
    <col min="15" max="15" width="18.73046875" style="1736" customWidth="1"/>
    <col min="16" max="16" width="16.59765625" style="1736" customWidth="1"/>
    <col min="17" max="17" width="57.265625" style="1736" customWidth="1"/>
    <col min="18" max="18" width="39.59765625" style="1736" customWidth="1"/>
    <col min="19" max="19" width="12.265625" style="1736" customWidth="1"/>
    <col min="20" max="20" width="13.59765625" style="1736" customWidth="1"/>
    <col min="21" max="21" width="9.1328125" style="1736"/>
    <col min="22" max="23" width="13.73046875" style="1736" bestFit="1" customWidth="1"/>
    <col min="24" max="29" width="9.1328125" style="1736"/>
    <col min="30" max="30" width="13.3984375" style="1736" customWidth="1"/>
    <col min="31" max="31" width="15.73046875" style="1736" customWidth="1"/>
    <col min="32" max="271" width="9.1328125" style="1736"/>
    <col min="272" max="272" width="13.59765625" style="1736" customWidth="1"/>
    <col min="273" max="273" width="9.1328125" style="1736"/>
    <col min="274" max="274" width="13.59765625" style="1736" customWidth="1"/>
    <col min="275" max="527" width="9.1328125" style="1736"/>
    <col min="528" max="528" width="13.59765625" style="1736" customWidth="1"/>
    <col min="529" max="529" width="9.1328125" style="1736"/>
    <col min="530" max="530" width="13.59765625" style="1736" customWidth="1"/>
    <col min="531" max="783" width="9.1328125" style="1736"/>
    <col min="784" max="784" width="13.59765625" style="1736" customWidth="1"/>
    <col min="785" max="785" width="9.1328125" style="1736"/>
    <col min="786" max="786" width="13.59765625" style="1736" customWidth="1"/>
    <col min="787" max="1039" width="9.1328125" style="1736"/>
    <col min="1040" max="1040" width="13.59765625" style="1736" customWidth="1"/>
    <col min="1041" max="1041" width="9.1328125" style="1736"/>
    <col min="1042" max="1042" width="13.59765625" style="1736" customWidth="1"/>
    <col min="1043" max="1295" width="9.1328125" style="1736"/>
    <col min="1296" max="1296" width="13.59765625" style="1736" customWidth="1"/>
    <col min="1297" max="1297" width="9.1328125" style="1736"/>
    <col min="1298" max="1298" width="13.59765625" style="1736" customWidth="1"/>
    <col min="1299" max="1551" width="9.1328125" style="1736"/>
    <col min="1552" max="1552" width="13.59765625" style="1736" customWidth="1"/>
    <col min="1553" max="1553" width="9.1328125" style="1736"/>
    <col min="1554" max="1554" width="13.59765625" style="1736" customWidth="1"/>
    <col min="1555" max="1807" width="9.1328125" style="1736"/>
    <col min="1808" max="1808" width="13.59765625" style="1736" customWidth="1"/>
    <col min="1809" max="1809" width="9.1328125" style="1736"/>
    <col min="1810" max="1810" width="13.59765625" style="1736" customWidth="1"/>
    <col min="1811" max="2063" width="9.1328125" style="1736"/>
    <col min="2064" max="2064" width="13.59765625" style="1736" customWidth="1"/>
    <col min="2065" max="2065" width="9.1328125" style="1736"/>
    <col min="2066" max="2066" width="13.59765625" style="1736" customWidth="1"/>
    <col min="2067" max="2319" width="9.1328125" style="1736"/>
    <col min="2320" max="2320" width="13.59765625" style="1736" customWidth="1"/>
    <col min="2321" max="2321" width="9.1328125" style="1736"/>
    <col min="2322" max="2322" width="13.59765625" style="1736" customWidth="1"/>
    <col min="2323" max="2575" width="9.1328125" style="1736"/>
    <col min="2576" max="2576" width="13.59765625" style="1736" customWidth="1"/>
    <col min="2577" max="2577" width="9.1328125" style="1736"/>
    <col min="2578" max="2578" width="13.59765625" style="1736" customWidth="1"/>
    <col min="2579" max="2831" width="9.1328125" style="1736"/>
    <col min="2832" max="2832" width="13.59765625" style="1736" customWidth="1"/>
    <col min="2833" max="2833" width="9.1328125" style="1736"/>
    <col min="2834" max="2834" width="13.59765625" style="1736" customWidth="1"/>
    <col min="2835" max="3087" width="9.1328125" style="1736"/>
    <col min="3088" max="3088" width="13.59765625" style="1736" customWidth="1"/>
    <col min="3089" max="3089" width="9.1328125" style="1736"/>
    <col min="3090" max="3090" width="13.59765625" style="1736" customWidth="1"/>
    <col min="3091" max="3343" width="9.1328125" style="1736"/>
    <col min="3344" max="3344" width="13.59765625" style="1736" customWidth="1"/>
    <col min="3345" max="3345" width="9.1328125" style="1736"/>
    <col min="3346" max="3346" width="13.59765625" style="1736" customWidth="1"/>
    <col min="3347" max="3599" width="9.1328125" style="1736"/>
    <col min="3600" max="3600" width="13.59765625" style="1736" customWidth="1"/>
    <col min="3601" max="3601" width="9.1328125" style="1736"/>
    <col min="3602" max="3602" width="13.59765625" style="1736" customWidth="1"/>
    <col min="3603" max="3855" width="9.1328125" style="1736"/>
    <col min="3856" max="3856" width="13.59765625" style="1736" customWidth="1"/>
    <col min="3857" max="3857" width="9.1328125" style="1736"/>
    <col min="3858" max="3858" width="13.59765625" style="1736" customWidth="1"/>
    <col min="3859" max="4111" width="9.1328125" style="1736"/>
    <col min="4112" max="4112" width="13.59765625" style="1736" customWidth="1"/>
    <col min="4113" max="4113" width="9.1328125" style="1736"/>
    <col min="4114" max="4114" width="13.59765625" style="1736" customWidth="1"/>
    <col min="4115" max="4367" width="9.1328125" style="1736"/>
    <col min="4368" max="4368" width="13.59765625" style="1736" customWidth="1"/>
    <col min="4369" max="4369" width="9.1328125" style="1736"/>
    <col min="4370" max="4370" width="13.59765625" style="1736" customWidth="1"/>
    <col min="4371" max="4623" width="9.1328125" style="1736"/>
    <col min="4624" max="4624" width="13.59765625" style="1736" customWidth="1"/>
    <col min="4625" max="4625" width="9.1328125" style="1736"/>
    <col min="4626" max="4626" width="13.59765625" style="1736" customWidth="1"/>
    <col min="4627" max="4879" width="9.1328125" style="1736"/>
    <col min="4880" max="4880" width="13.59765625" style="1736" customWidth="1"/>
    <col min="4881" max="4881" width="9.1328125" style="1736"/>
    <col min="4882" max="4882" width="13.59765625" style="1736" customWidth="1"/>
    <col min="4883" max="5135" width="9.1328125" style="1736"/>
    <col min="5136" max="5136" width="13.59765625" style="1736" customWidth="1"/>
    <col min="5137" max="5137" width="9.1328125" style="1736"/>
    <col min="5138" max="5138" width="13.59765625" style="1736" customWidth="1"/>
    <col min="5139" max="5391" width="9.1328125" style="1736"/>
    <col min="5392" max="5392" width="13.59765625" style="1736" customWidth="1"/>
    <col min="5393" max="5393" width="9.1328125" style="1736"/>
    <col min="5394" max="5394" width="13.59765625" style="1736" customWidth="1"/>
    <col min="5395" max="5647" width="9.1328125" style="1736"/>
    <col min="5648" max="5648" width="13.59765625" style="1736" customWidth="1"/>
    <col min="5649" max="5649" width="9.1328125" style="1736"/>
    <col min="5650" max="5650" width="13.59765625" style="1736" customWidth="1"/>
    <col min="5651" max="5903" width="9.1328125" style="1736"/>
    <col min="5904" max="5904" width="13.59765625" style="1736" customWidth="1"/>
    <col min="5905" max="5905" width="9.1328125" style="1736"/>
    <col min="5906" max="5906" width="13.59765625" style="1736" customWidth="1"/>
    <col min="5907" max="6159" width="9.1328125" style="1736"/>
    <col min="6160" max="6160" width="13.59765625" style="1736" customWidth="1"/>
    <col min="6161" max="6161" width="9.1328125" style="1736"/>
    <col min="6162" max="6162" width="13.59765625" style="1736" customWidth="1"/>
    <col min="6163" max="6415" width="9.1328125" style="1736"/>
    <col min="6416" max="6416" width="13.59765625" style="1736" customWidth="1"/>
    <col min="6417" max="6417" width="9.1328125" style="1736"/>
    <col min="6418" max="6418" width="13.59765625" style="1736" customWidth="1"/>
    <col min="6419" max="6671" width="9.1328125" style="1736"/>
    <col min="6672" max="6672" width="13.59765625" style="1736" customWidth="1"/>
    <col min="6673" max="6673" width="9.1328125" style="1736"/>
    <col min="6674" max="6674" width="13.59765625" style="1736" customWidth="1"/>
    <col min="6675" max="6927" width="9.1328125" style="1736"/>
    <col min="6928" max="6928" width="13.59765625" style="1736" customWidth="1"/>
    <col min="6929" max="6929" width="9.1328125" style="1736"/>
    <col min="6930" max="6930" width="13.59765625" style="1736" customWidth="1"/>
    <col min="6931" max="7183" width="9.1328125" style="1736"/>
    <col min="7184" max="7184" width="13.59765625" style="1736" customWidth="1"/>
    <col min="7185" max="7185" width="9.1328125" style="1736"/>
    <col min="7186" max="7186" width="13.59765625" style="1736" customWidth="1"/>
    <col min="7187" max="7439" width="9.1328125" style="1736"/>
    <col min="7440" max="7440" width="13.59765625" style="1736" customWidth="1"/>
    <col min="7441" max="7441" width="9.1328125" style="1736"/>
    <col min="7442" max="7442" width="13.59765625" style="1736" customWidth="1"/>
    <col min="7443" max="7695" width="9.1328125" style="1736"/>
    <col min="7696" max="7696" width="13.59765625" style="1736" customWidth="1"/>
    <col min="7697" max="7697" width="9.1328125" style="1736"/>
    <col min="7698" max="7698" width="13.59765625" style="1736" customWidth="1"/>
    <col min="7699" max="7951" width="9.1328125" style="1736"/>
    <col min="7952" max="7952" width="13.59765625" style="1736" customWidth="1"/>
    <col min="7953" max="7953" width="9.1328125" style="1736"/>
    <col min="7954" max="7954" width="13.59765625" style="1736" customWidth="1"/>
    <col min="7955" max="8207" width="9.1328125" style="1736"/>
    <col min="8208" max="8208" width="13.59765625" style="1736" customWidth="1"/>
    <col min="8209" max="8209" width="9.1328125" style="1736"/>
    <col min="8210" max="8210" width="13.59765625" style="1736" customWidth="1"/>
    <col min="8211" max="8463" width="9.1328125" style="1736"/>
    <col min="8464" max="8464" width="13.59765625" style="1736" customWidth="1"/>
    <col min="8465" max="8465" width="9.1328125" style="1736"/>
    <col min="8466" max="8466" width="13.59765625" style="1736" customWidth="1"/>
    <col min="8467" max="8719" width="9.1328125" style="1736"/>
    <col min="8720" max="8720" width="13.59765625" style="1736" customWidth="1"/>
    <col min="8721" max="8721" width="9.1328125" style="1736"/>
    <col min="8722" max="8722" width="13.59765625" style="1736" customWidth="1"/>
    <col min="8723" max="8975" width="9.1328125" style="1736"/>
    <col min="8976" max="8976" width="13.59765625" style="1736" customWidth="1"/>
    <col min="8977" max="8977" width="9.1328125" style="1736"/>
    <col min="8978" max="8978" width="13.59765625" style="1736" customWidth="1"/>
    <col min="8979" max="9231" width="9.1328125" style="1736"/>
    <col min="9232" max="9232" width="13.59765625" style="1736" customWidth="1"/>
    <col min="9233" max="9233" width="9.1328125" style="1736"/>
    <col min="9234" max="9234" width="13.59765625" style="1736" customWidth="1"/>
    <col min="9235" max="9487" width="9.1328125" style="1736"/>
    <col min="9488" max="9488" width="13.59765625" style="1736" customWidth="1"/>
    <col min="9489" max="9489" width="9.1328125" style="1736"/>
    <col min="9490" max="9490" width="13.59765625" style="1736" customWidth="1"/>
    <col min="9491" max="9743" width="9.1328125" style="1736"/>
    <col min="9744" max="9744" width="13.59765625" style="1736" customWidth="1"/>
    <col min="9745" max="9745" width="9.1328125" style="1736"/>
    <col min="9746" max="9746" width="13.59765625" style="1736" customWidth="1"/>
    <col min="9747" max="9999" width="9.1328125" style="1736"/>
    <col min="10000" max="10000" width="13.59765625" style="1736" customWidth="1"/>
    <col min="10001" max="10001" width="9.1328125" style="1736"/>
    <col min="10002" max="10002" width="13.59765625" style="1736" customWidth="1"/>
    <col min="10003" max="10255" width="9.1328125" style="1736"/>
    <col min="10256" max="10256" width="13.59765625" style="1736" customWidth="1"/>
    <col min="10257" max="10257" width="9.1328125" style="1736"/>
    <col min="10258" max="10258" width="13.59765625" style="1736" customWidth="1"/>
    <col min="10259" max="10511" width="9.1328125" style="1736"/>
    <col min="10512" max="10512" width="13.59765625" style="1736" customWidth="1"/>
    <col min="10513" max="10513" width="9.1328125" style="1736"/>
    <col min="10514" max="10514" width="13.59765625" style="1736" customWidth="1"/>
    <col min="10515" max="10767" width="9.1328125" style="1736"/>
    <col min="10768" max="10768" width="13.59765625" style="1736" customWidth="1"/>
    <col min="10769" max="10769" width="9.1328125" style="1736"/>
    <col min="10770" max="10770" width="13.59765625" style="1736" customWidth="1"/>
    <col min="10771" max="11023" width="9.1328125" style="1736"/>
    <col min="11024" max="11024" width="13.59765625" style="1736" customWidth="1"/>
    <col min="11025" max="11025" width="9.1328125" style="1736"/>
    <col min="11026" max="11026" width="13.59765625" style="1736" customWidth="1"/>
    <col min="11027" max="11279" width="9.1328125" style="1736"/>
    <col min="11280" max="11280" width="13.59765625" style="1736" customWidth="1"/>
    <col min="11281" max="11281" width="9.1328125" style="1736"/>
    <col min="11282" max="11282" width="13.59765625" style="1736" customWidth="1"/>
    <col min="11283" max="11535" width="9.1328125" style="1736"/>
    <col min="11536" max="11536" width="13.59765625" style="1736" customWidth="1"/>
    <col min="11537" max="11537" width="9.1328125" style="1736"/>
    <col min="11538" max="11538" width="13.59765625" style="1736" customWidth="1"/>
    <col min="11539" max="11791" width="9.1328125" style="1736"/>
    <col min="11792" max="11792" width="13.59765625" style="1736" customWidth="1"/>
    <col min="11793" max="11793" width="9.1328125" style="1736"/>
    <col min="11794" max="11794" width="13.59765625" style="1736" customWidth="1"/>
    <col min="11795" max="12047" width="9.1328125" style="1736"/>
    <col min="12048" max="12048" width="13.59765625" style="1736" customWidth="1"/>
    <col min="12049" max="12049" width="9.1328125" style="1736"/>
    <col min="12050" max="12050" width="13.59765625" style="1736" customWidth="1"/>
    <col min="12051" max="12303" width="9.1328125" style="1736"/>
    <col min="12304" max="12304" width="13.59765625" style="1736" customWidth="1"/>
    <col min="12305" max="12305" width="9.1328125" style="1736"/>
    <col min="12306" max="12306" width="13.59765625" style="1736" customWidth="1"/>
    <col min="12307" max="12559" width="9.1328125" style="1736"/>
    <col min="12560" max="12560" width="13.59765625" style="1736" customWidth="1"/>
    <col min="12561" max="12561" width="9.1328125" style="1736"/>
    <col min="12562" max="12562" width="13.59765625" style="1736" customWidth="1"/>
    <col min="12563" max="12815" width="9.1328125" style="1736"/>
    <col min="12816" max="12816" width="13.59765625" style="1736" customWidth="1"/>
    <col min="12817" max="12817" width="9.1328125" style="1736"/>
    <col min="12818" max="12818" width="13.59765625" style="1736" customWidth="1"/>
    <col min="12819" max="13071" width="9.1328125" style="1736"/>
    <col min="13072" max="13072" width="13.59765625" style="1736" customWidth="1"/>
    <col min="13073" max="13073" width="9.1328125" style="1736"/>
    <col min="13074" max="13074" width="13.59765625" style="1736" customWidth="1"/>
    <col min="13075" max="13327" width="9.1328125" style="1736"/>
    <col min="13328" max="13328" width="13.59765625" style="1736" customWidth="1"/>
    <col min="13329" max="13329" width="9.1328125" style="1736"/>
    <col min="13330" max="13330" width="13.59765625" style="1736" customWidth="1"/>
    <col min="13331" max="13583" width="9.1328125" style="1736"/>
    <col min="13584" max="13584" width="13.59765625" style="1736" customWidth="1"/>
    <col min="13585" max="13585" width="9.1328125" style="1736"/>
    <col min="13586" max="13586" width="13.59765625" style="1736" customWidth="1"/>
    <col min="13587" max="13839" width="9.1328125" style="1736"/>
    <col min="13840" max="13840" width="13.59765625" style="1736" customWidth="1"/>
    <col min="13841" max="13841" width="9.1328125" style="1736"/>
    <col min="13842" max="13842" width="13.59765625" style="1736" customWidth="1"/>
    <col min="13843" max="14095" width="9.1328125" style="1736"/>
    <col min="14096" max="14096" width="13.59765625" style="1736" customWidth="1"/>
    <col min="14097" max="14097" width="9.1328125" style="1736"/>
    <col min="14098" max="14098" width="13.59765625" style="1736" customWidth="1"/>
    <col min="14099" max="14351" width="9.1328125" style="1736"/>
    <col min="14352" max="14352" width="13.59765625" style="1736" customWidth="1"/>
    <col min="14353" max="14353" width="9.1328125" style="1736"/>
    <col min="14354" max="14354" width="13.59765625" style="1736" customWidth="1"/>
    <col min="14355" max="14607" width="9.1328125" style="1736"/>
    <col min="14608" max="14608" width="13.59765625" style="1736" customWidth="1"/>
    <col min="14609" max="14609" width="9.1328125" style="1736"/>
    <col min="14610" max="14610" width="13.59765625" style="1736" customWidth="1"/>
    <col min="14611" max="14863" width="9.1328125" style="1736"/>
    <col min="14864" max="14864" width="13.59765625" style="1736" customWidth="1"/>
    <col min="14865" max="14865" width="9.1328125" style="1736"/>
    <col min="14866" max="14866" width="13.59765625" style="1736" customWidth="1"/>
    <col min="14867" max="15119" width="9.1328125" style="1736"/>
    <col min="15120" max="15120" width="13.59765625" style="1736" customWidth="1"/>
    <col min="15121" max="15121" width="9.1328125" style="1736"/>
    <col min="15122" max="15122" width="13.59765625" style="1736" customWidth="1"/>
    <col min="15123" max="15375" width="9.1328125" style="1736"/>
    <col min="15376" max="15376" width="13.59765625" style="1736" customWidth="1"/>
    <col min="15377" max="15377" width="9.1328125" style="1736"/>
    <col min="15378" max="15378" width="13.59765625" style="1736" customWidth="1"/>
    <col min="15379" max="15631" width="9.1328125" style="1736"/>
    <col min="15632" max="15632" width="13.59765625" style="1736" customWidth="1"/>
    <col min="15633" max="15633" width="9.1328125" style="1736"/>
    <col min="15634" max="15634" width="13.59765625" style="1736" customWidth="1"/>
    <col min="15635" max="15887" width="9.1328125" style="1736"/>
    <col min="15888" max="15888" width="13.59765625" style="1736" customWidth="1"/>
    <col min="15889" max="15889" width="9.1328125" style="1736"/>
    <col min="15890" max="15890" width="13.59765625" style="1736" customWidth="1"/>
    <col min="15891" max="16143" width="9.1328125" style="1736"/>
    <col min="16144" max="16144" width="13.59765625" style="1736" customWidth="1"/>
    <col min="16145" max="16145" width="9.1328125" style="1736"/>
    <col min="16146" max="16146" width="13.59765625" style="1736" customWidth="1"/>
    <col min="16147" max="16384" width="9.1328125" style="1736"/>
  </cols>
  <sheetData>
    <row r="1" spans="1:40" ht="14.65" thickTop="1" x14ac:dyDescent="0.45">
      <c r="A1" s="999"/>
      <c r="B1" s="1000"/>
      <c r="C1" s="1000"/>
      <c r="D1" s="1001"/>
    </row>
    <row r="2" spans="1:40" ht="14.25" x14ac:dyDescent="0.45">
      <c r="A2" s="1002" t="s">
        <v>380</v>
      </c>
      <c r="B2" s="1024" t="s">
        <v>2213</v>
      </c>
      <c r="C2" s="887"/>
      <c r="D2" s="1004"/>
    </row>
    <row r="3" spans="1:40" ht="14.25" x14ac:dyDescent="0.45">
      <c r="A3" s="1025" t="s">
        <v>568</v>
      </c>
      <c r="B3" s="1003">
        <v>2018</v>
      </c>
      <c r="C3" s="887"/>
      <c r="D3" s="1004"/>
    </row>
    <row r="4" spans="1:40" ht="13.15" x14ac:dyDescent="0.4">
      <c r="A4" s="1005" t="s">
        <v>397</v>
      </c>
      <c r="B4" s="1006" t="s">
        <v>309</v>
      </c>
      <c r="C4" s="259"/>
      <c r="D4" s="1007"/>
      <c r="W4" s="1737"/>
      <c r="X4" s="1737"/>
      <c r="Y4" s="1737"/>
      <c r="Z4" s="1737"/>
      <c r="AA4" s="1737"/>
      <c r="AB4" s="1737"/>
      <c r="AC4" s="1737"/>
      <c r="AD4" s="1737"/>
      <c r="AE4" s="1737"/>
      <c r="AF4" s="1737"/>
    </row>
    <row r="5" spans="1:40" x14ac:dyDescent="0.35">
      <c r="A5" s="2044" t="s">
        <v>2317</v>
      </c>
      <c r="B5" s="2043"/>
      <c r="C5" s="259"/>
      <c r="D5" s="1007"/>
      <c r="W5" s="1737"/>
      <c r="X5" s="1737"/>
      <c r="Y5" s="1737"/>
      <c r="Z5" s="1737"/>
      <c r="AA5" s="1737"/>
      <c r="AB5" s="1737"/>
      <c r="AC5" s="1737"/>
      <c r="AD5" s="1737"/>
      <c r="AE5" s="1737"/>
      <c r="AF5" s="1737"/>
    </row>
    <row r="6" spans="1:40" ht="13.5" thickBot="1" x14ac:dyDescent="0.45">
      <c r="A6" s="2045" t="s">
        <v>2318</v>
      </c>
      <c r="B6" s="1008"/>
      <c r="C6" s="1009"/>
      <c r="D6" s="1010"/>
      <c r="W6" s="1737"/>
      <c r="X6" s="1737"/>
      <c r="Y6" s="1737"/>
      <c r="Z6" s="1737"/>
      <c r="AA6" s="1737"/>
      <c r="AB6" s="1737"/>
      <c r="AC6" s="1737"/>
      <c r="AD6" s="1737"/>
      <c r="AE6" s="1737"/>
      <c r="AF6" s="1737"/>
    </row>
    <row r="7" spans="1:40" ht="14.65" thickTop="1" x14ac:dyDescent="0.45">
      <c r="C7" s="1740"/>
      <c r="D7" s="1740"/>
      <c r="W7" s="1207"/>
      <c r="X7" s="1207"/>
      <c r="Y7" s="1207"/>
      <c r="Z7" s="1207"/>
      <c r="AA7" s="1207"/>
      <c r="AB7" s="1207"/>
      <c r="AC7" s="1207"/>
      <c r="AD7" s="1207"/>
      <c r="AE7" s="1207"/>
      <c r="AF7" s="1207"/>
      <c r="AG7" s="1207"/>
      <c r="AH7" s="1207"/>
      <c r="AI7" s="1207"/>
      <c r="AJ7" s="1207"/>
      <c r="AK7" s="1207"/>
      <c r="AL7" s="1207"/>
      <c r="AM7" s="1207"/>
      <c r="AN7" s="1207"/>
    </row>
    <row r="8" spans="1:40" ht="13.15" x14ac:dyDescent="0.4">
      <c r="C8" s="1738"/>
      <c r="E8" s="1738"/>
      <c r="F8" s="1737"/>
      <c r="G8" s="1737"/>
      <c r="H8" s="1737"/>
      <c r="I8" s="1737"/>
      <c r="J8" s="1737"/>
      <c r="K8" s="1739"/>
      <c r="L8" s="1739"/>
      <c r="W8" s="1737"/>
      <c r="X8" s="1737"/>
      <c r="Y8" s="1737"/>
      <c r="Z8" s="1737"/>
      <c r="AA8" s="1737"/>
      <c r="AB8" s="1737"/>
      <c r="AC8" s="1737"/>
      <c r="AD8" s="1737"/>
      <c r="AE8" s="1737"/>
      <c r="AF8" s="1737"/>
    </row>
    <row r="9" spans="1:40" ht="13.5" thickBot="1" x14ac:dyDescent="0.45">
      <c r="B9" s="1741"/>
      <c r="C9" s="1742"/>
      <c r="W9" s="1737"/>
      <c r="X9" s="1737"/>
      <c r="Y9" s="1737"/>
      <c r="Z9" s="1737"/>
      <c r="AA9" s="1737"/>
      <c r="AB9" s="1737"/>
      <c r="AC9" s="1737"/>
      <c r="AD9" s="1737"/>
      <c r="AE9" s="1737"/>
      <c r="AF9" s="1737"/>
    </row>
    <row r="10" spans="1:40" ht="15" thickBot="1" x14ac:dyDescent="0.55000000000000004">
      <c r="B10" s="251" t="s">
        <v>1269</v>
      </c>
      <c r="C10" s="253"/>
      <c r="D10" s="253"/>
      <c r="E10" s="245"/>
      <c r="F10" s="245"/>
      <c r="G10" s="245"/>
      <c r="H10" s="245"/>
      <c r="I10" s="246"/>
      <c r="J10" s="245"/>
      <c r="K10" s="245"/>
      <c r="L10" s="252"/>
      <c r="M10" s="248" t="s">
        <v>881</v>
      </c>
      <c r="N10" s="252"/>
      <c r="O10" s="252"/>
      <c r="P10" s="253"/>
      <c r="W10" s="1737"/>
      <c r="X10" s="1737"/>
      <c r="Y10" s="1737"/>
      <c r="Z10" s="1737"/>
      <c r="AA10" s="1737"/>
      <c r="AB10" s="1737"/>
      <c r="AC10" s="1737"/>
      <c r="AD10" s="1737"/>
      <c r="AE10" s="1737"/>
      <c r="AF10" s="1737"/>
    </row>
    <row r="11" spans="1:40" ht="48.75" customHeight="1" thickBot="1" x14ac:dyDescent="0.45">
      <c r="B11" s="678" t="s">
        <v>1271</v>
      </c>
      <c r="C11" s="617" t="s">
        <v>1270</v>
      </c>
      <c r="D11" s="268" t="s">
        <v>521</v>
      </c>
      <c r="E11" s="618" t="s">
        <v>522</v>
      </c>
      <c r="F11" s="618" t="s">
        <v>1280</v>
      </c>
      <c r="G11" s="618" t="s">
        <v>1278</v>
      </c>
      <c r="H11" s="618" t="s">
        <v>1268</v>
      </c>
      <c r="I11" s="247" t="s">
        <v>574</v>
      </c>
      <c r="J11" s="242" t="s">
        <v>584</v>
      </c>
      <c r="K11" s="257" t="s">
        <v>804</v>
      </c>
      <c r="L11" s="260" t="s">
        <v>798</v>
      </c>
      <c r="M11" s="260" t="s">
        <v>799</v>
      </c>
      <c r="N11" s="260" t="s">
        <v>800</v>
      </c>
      <c r="O11" s="260" t="s">
        <v>801</v>
      </c>
      <c r="P11" s="250" t="s">
        <v>802</v>
      </c>
      <c r="W11" s="1737"/>
      <c r="X11" s="1737"/>
      <c r="Y11" s="1737"/>
      <c r="Z11" s="1737"/>
      <c r="AA11" s="1737"/>
      <c r="AB11" s="1737"/>
      <c r="AC11" s="1737"/>
      <c r="AD11" s="1737"/>
      <c r="AE11" s="1737"/>
      <c r="AF11" s="1737"/>
    </row>
    <row r="12" spans="1:40" ht="40.5" customHeight="1" x14ac:dyDescent="0.45">
      <c r="B12" s="1036" t="s">
        <v>1279</v>
      </c>
      <c r="C12" s="1038" t="s">
        <v>1183</v>
      </c>
      <c r="D12" s="1038" t="s">
        <v>1071</v>
      </c>
      <c r="E12" s="1038" t="s">
        <v>520</v>
      </c>
      <c r="F12" s="1097"/>
      <c r="G12" s="1097"/>
      <c r="H12" s="1041" t="s">
        <v>36</v>
      </c>
      <c r="I12" s="1041" t="s">
        <v>321</v>
      </c>
      <c r="J12" s="1041"/>
      <c r="K12" s="1183">
        <f>L160</f>
        <v>39643153234.487015</v>
      </c>
      <c r="L12" s="1183">
        <f>K12*EF_CO2_NatGas_DCI*ConFact_0.001</f>
        <v>7275311.4815930566</v>
      </c>
      <c r="M12" s="2028">
        <f>K12*EF_CH4_NatGas_DCI*ConFact_0.001</f>
        <v>9910.7883086217535</v>
      </c>
      <c r="N12" s="2028">
        <f>K12*EF_N2O_NatGas_DCI*ConFact_0.001</f>
        <v>3964.3153234487017</v>
      </c>
      <c r="O12" s="1124"/>
      <c r="P12" s="2046">
        <f t="shared" ref="P12:P16" si="0">L12+M12+N12</f>
        <v>7289186.5852251267</v>
      </c>
    </row>
    <row r="13" spans="1:40" ht="42" customHeight="1" x14ac:dyDescent="0.45">
      <c r="B13" s="1043" t="s">
        <v>1279</v>
      </c>
      <c r="C13" s="1045" t="s">
        <v>1183</v>
      </c>
      <c r="D13" s="1045" t="s">
        <v>1071</v>
      </c>
      <c r="E13" s="1045" t="s">
        <v>520</v>
      </c>
      <c r="F13" s="1098"/>
      <c r="G13" s="1098"/>
      <c r="H13" s="1048" t="s">
        <v>133</v>
      </c>
      <c r="I13" s="1048" t="s">
        <v>321</v>
      </c>
      <c r="J13" s="1048"/>
      <c r="K13" s="1184">
        <f>L202</f>
        <v>150155595.85644197</v>
      </c>
      <c r="L13" s="1184">
        <f>K13*EF_CO2_Coal_DCI*ConFact_0.001</f>
        <v>47237.448900478084</v>
      </c>
      <c r="M13" s="1185">
        <f>K13*EF_CH4_Coal_DCI*ConFact_0.001</f>
        <v>3851.4910337177366</v>
      </c>
      <c r="N13" s="1185">
        <f>K13*EF_N2O_Coal_DCI*ConFact_0.001</f>
        <v>657.68150985121588</v>
      </c>
      <c r="O13" s="1140"/>
      <c r="P13" s="2047">
        <f t="shared" si="0"/>
        <v>51746.621444047036</v>
      </c>
    </row>
    <row r="14" spans="1:40" ht="30.75" customHeight="1" x14ac:dyDescent="0.45">
      <c r="B14" s="1043" t="s">
        <v>1279</v>
      </c>
      <c r="C14" s="1045" t="s">
        <v>1183</v>
      </c>
      <c r="D14" s="1045" t="s">
        <v>1071</v>
      </c>
      <c r="E14" s="1045" t="s">
        <v>520</v>
      </c>
      <c r="F14" s="1098"/>
      <c r="G14" s="1098"/>
      <c r="H14" s="1048" t="s">
        <v>67</v>
      </c>
      <c r="I14" s="1048" t="s">
        <v>321</v>
      </c>
      <c r="J14" s="1048"/>
      <c r="K14" s="1184">
        <f>M202</f>
        <v>188498242.09191221</v>
      </c>
      <c r="L14" s="1184">
        <f>K14*EF_CO2_GasOil*ConFact_0.001</f>
        <v>47801.269212088009</v>
      </c>
      <c r="M14" s="1185">
        <f>K14*EF_CH4_GasOil*ConFact_0.001</f>
        <v>49.009542943897173</v>
      </c>
      <c r="N14" s="1185">
        <f>K14*EF_N2O_GasOil*ConFact_0.001</f>
        <v>539.10497238286905</v>
      </c>
      <c r="O14" s="1140"/>
      <c r="P14" s="2047">
        <f t="shared" si="0"/>
        <v>48389.383727414774</v>
      </c>
    </row>
    <row r="15" spans="1:40" ht="15" customHeight="1" x14ac:dyDescent="0.45">
      <c r="B15" s="1051" t="s">
        <v>1279</v>
      </c>
      <c r="C15" s="1053" t="s">
        <v>1183</v>
      </c>
      <c r="D15" s="1053" t="s">
        <v>1071</v>
      </c>
      <c r="E15" s="1053" t="s">
        <v>520</v>
      </c>
      <c r="F15" s="1098"/>
      <c r="G15" s="1098"/>
      <c r="H15" s="1056" t="s">
        <v>16</v>
      </c>
      <c r="I15" s="1056" t="s">
        <v>272</v>
      </c>
      <c r="J15" s="1056"/>
      <c r="K15" s="1186">
        <f>H160</f>
        <v>12553478736.920004</v>
      </c>
      <c r="L15" s="1179">
        <f>K15*EF_CO2_ElectGen_DCI*ConFact_0.001</f>
        <v>2900355.7273779977</v>
      </c>
      <c r="M15" s="1180">
        <f>K15*EF_CH4_ElectGen_DCI*ConFact_0.001</f>
        <v>9038.5046905824038</v>
      </c>
      <c r="N15" s="1180">
        <f>K15*EF_N2O_ElectGen_DCI*ConFact_0.001</f>
        <v>17323.800656949606</v>
      </c>
      <c r="O15" s="1140"/>
      <c r="P15" s="2048">
        <f t="shared" si="0"/>
        <v>2926718.0327255297</v>
      </c>
    </row>
    <row r="16" spans="1:40" ht="14.65" thickBot="1" x14ac:dyDescent="0.5">
      <c r="B16" s="1064" t="s">
        <v>1279</v>
      </c>
      <c r="C16" s="1066" t="s">
        <v>1183</v>
      </c>
      <c r="D16" s="1066" t="s">
        <v>1071</v>
      </c>
      <c r="E16" s="1066" t="s">
        <v>520</v>
      </c>
      <c r="F16" s="1100"/>
      <c r="G16" s="2094"/>
      <c r="H16" s="1069" t="s">
        <v>2372</v>
      </c>
      <c r="I16" s="1069" t="s">
        <v>272</v>
      </c>
      <c r="J16" s="1069"/>
      <c r="K16" s="1187">
        <f>H160</f>
        <v>12553478736.920004</v>
      </c>
      <c r="L16" s="1181">
        <f>K16*EF_CO2_ElectTDL_DCI*ConFact_0.001</f>
        <v>249437.62250260045</v>
      </c>
      <c r="M16" s="1182">
        <f>K16*EF_CH4_ElectTDL_DCI*ConFact_0.001</f>
        <v>753.20872421520028</v>
      </c>
      <c r="N16" s="1182">
        <f>K16*EF_N2O_ElectTDL_DCI*ConFact_0.001</f>
        <v>1506.4174484304006</v>
      </c>
      <c r="O16" s="1126"/>
      <c r="P16" s="2049">
        <f t="shared" si="0"/>
        <v>251697.24867524605</v>
      </c>
      <c r="Q16" s="1757"/>
      <c r="V16" s="1744"/>
      <c r="W16" s="1764"/>
      <c r="X16" s="888"/>
      <c r="Y16" s="888"/>
      <c r="Z16" s="888"/>
      <c r="AA16" s="1207"/>
      <c r="AB16" s="1207"/>
      <c r="AC16" s="1207"/>
    </row>
    <row r="17" spans="2:41" ht="14.25" x14ac:dyDescent="0.45">
      <c r="H17" s="888"/>
      <c r="I17" s="888"/>
      <c r="J17" s="888"/>
      <c r="K17" s="888"/>
      <c r="L17" s="888"/>
      <c r="M17" s="888"/>
      <c r="N17" s="888"/>
      <c r="O17" s="888"/>
      <c r="P17" s="1743"/>
      <c r="V17" s="1744"/>
      <c r="W17" s="888"/>
      <c r="X17" s="888"/>
      <c r="Y17" s="888"/>
      <c r="Z17" s="888"/>
      <c r="AA17" s="1207"/>
      <c r="AB17" s="1207"/>
      <c r="AC17" s="1207"/>
    </row>
    <row r="18" spans="2:41" ht="14.25" x14ac:dyDescent="0.45">
      <c r="C18" s="1745"/>
      <c r="D18" s="1746"/>
      <c r="E18" s="1746"/>
      <c r="F18" s="1746"/>
      <c r="G18" s="1746"/>
      <c r="H18" s="1740"/>
      <c r="I18" s="1740"/>
      <c r="J18" s="888"/>
      <c r="K18" s="888"/>
      <c r="L18" s="888"/>
      <c r="M18" s="888"/>
      <c r="N18" s="888"/>
      <c r="O18" s="1209"/>
      <c r="P18" s="1743"/>
      <c r="V18" s="888"/>
      <c r="W18" s="888"/>
      <c r="X18" s="888"/>
      <c r="Y18" s="888"/>
      <c r="Z18" s="888"/>
      <c r="AA18" s="1207"/>
      <c r="AB18" s="1207"/>
      <c r="AC18" s="1207"/>
    </row>
    <row r="19" spans="2:41" ht="14.25" x14ac:dyDescent="0.45">
      <c r="C19" s="1745"/>
      <c r="D19" s="1746"/>
      <c r="E19" s="1746"/>
      <c r="F19" s="1746"/>
      <c r="G19" s="1746"/>
      <c r="H19" s="1740"/>
      <c r="I19" s="1740"/>
      <c r="J19" s="888"/>
      <c r="K19" s="888"/>
      <c r="L19" s="888"/>
      <c r="M19" s="888"/>
      <c r="N19" s="888"/>
      <c r="O19" s="888"/>
      <c r="P19" s="888"/>
      <c r="AA19" s="1737"/>
      <c r="AB19" s="1207"/>
      <c r="AC19" s="1207"/>
    </row>
    <row r="20" spans="2:41" ht="13.5" thickBot="1" x14ac:dyDescent="0.45">
      <c r="B20" s="1741"/>
      <c r="C20" s="1745"/>
      <c r="E20" s="1746"/>
      <c r="F20" s="1746"/>
      <c r="G20" s="1746"/>
      <c r="H20" s="1742"/>
      <c r="I20" s="1742"/>
      <c r="K20" s="1747"/>
      <c r="P20" s="1748"/>
      <c r="V20" s="1737"/>
      <c r="W20" s="1737"/>
      <c r="X20" s="1737"/>
      <c r="Y20" s="1737"/>
      <c r="Z20" s="1737"/>
      <c r="AA20" s="1737"/>
      <c r="AB20" s="1737"/>
      <c r="AC20" s="1737"/>
      <c r="AD20" s="1737"/>
      <c r="AE20" s="1737"/>
      <c r="AF20" s="1737"/>
      <c r="AG20" s="1737"/>
      <c r="AH20" s="1737"/>
      <c r="AI20" s="1737"/>
      <c r="AJ20" s="1737"/>
      <c r="AK20" s="1737"/>
      <c r="AL20" s="1737"/>
      <c r="AM20" s="1737"/>
      <c r="AN20" s="1737"/>
      <c r="AO20" s="1737"/>
    </row>
    <row r="21" spans="2:41" ht="15" thickBot="1" x14ac:dyDescent="0.55000000000000004">
      <c r="B21" s="251" t="s">
        <v>1272</v>
      </c>
      <c r="C21" s="675"/>
      <c r="D21" s="263"/>
      <c r="E21" s="245"/>
      <c r="F21" s="245"/>
      <c r="G21" s="245"/>
      <c r="H21" s="245"/>
      <c r="I21" s="246"/>
      <c r="J21" s="258"/>
      <c r="K21" s="245"/>
      <c r="L21" s="252"/>
      <c r="M21" s="248" t="s">
        <v>881</v>
      </c>
      <c r="N21" s="252"/>
      <c r="O21" s="252"/>
      <c r="P21" s="253"/>
      <c r="V21" s="1737"/>
      <c r="W21" s="1737"/>
      <c r="X21" s="1760"/>
      <c r="Y21" s="1737"/>
      <c r="Z21" s="1737"/>
      <c r="AA21" s="1737"/>
      <c r="AB21" s="1737"/>
      <c r="AC21" s="1737"/>
      <c r="AD21" s="1737"/>
      <c r="AE21" s="1737"/>
      <c r="AF21" s="1737"/>
      <c r="AG21" s="1737"/>
      <c r="AH21" s="1737"/>
      <c r="AI21" s="1737"/>
      <c r="AJ21" s="1737"/>
      <c r="AK21" s="1737"/>
      <c r="AL21" s="1737"/>
      <c r="AM21" s="1737"/>
      <c r="AN21" s="1737"/>
      <c r="AO21" s="1737"/>
    </row>
    <row r="22" spans="2:41" ht="39.75" thickBot="1" x14ac:dyDescent="0.45">
      <c r="B22" s="678" t="s">
        <v>1271</v>
      </c>
      <c r="C22" s="617" t="s">
        <v>1270</v>
      </c>
      <c r="D22" s="269" t="s">
        <v>521</v>
      </c>
      <c r="E22" s="618" t="s">
        <v>522</v>
      </c>
      <c r="F22" s="618" t="s">
        <v>1280</v>
      </c>
      <c r="G22" s="618" t="s">
        <v>1278</v>
      </c>
      <c r="H22" s="618" t="s">
        <v>1268</v>
      </c>
      <c r="I22" s="268" t="s">
        <v>574</v>
      </c>
      <c r="J22" s="269" t="s">
        <v>584</v>
      </c>
      <c r="K22" s="268" t="s">
        <v>804</v>
      </c>
      <c r="L22" s="260" t="s">
        <v>798</v>
      </c>
      <c r="M22" s="260" t="s">
        <v>799</v>
      </c>
      <c r="N22" s="260" t="s">
        <v>800</v>
      </c>
      <c r="O22" s="260" t="s">
        <v>801</v>
      </c>
      <c r="P22" s="261" t="s">
        <v>802</v>
      </c>
      <c r="V22" s="1737"/>
      <c r="W22" s="1737"/>
      <c r="X22" s="1760"/>
      <c r="Y22" s="1737"/>
      <c r="Z22" s="1737"/>
      <c r="AA22" s="1737"/>
      <c r="AB22" s="1737"/>
      <c r="AC22" s="1737"/>
      <c r="AD22" s="1737"/>
      <c r="AE22" s="1737"/>
      <c r="AF22" s="1737"/>
      <c r="AG22" s="1737"/>
      <c r="AH22" s="1737"/>
      <c r="AI22" s="1737"/>
      <c r="AJ22" s="1737"/>
      <c r="AK22" s="1737"/>
      <c r="AL22" s="1737"/>
      <c r="AM22" s="1737"/>
      <c r="AN22" s="1737"/>
      <c r="AO22" s="1737"/>
    </row>
    <row r="23" spans="2:41" ht="39" x14ac:dyDescent="0.45">
      <c r="B23" s="1036" t="s">
        <v>1279</v>
      </c>
      <c r="C23" s="1038" t="s">
        <v>1184</v>
      </c>
      <c r="D23" s="1038" t="s">
        <v>1213</v>
      </c>
      <c r="E23" s="1038" t="s">
        <v>524</v>
      </c>
      <c r="F23" s="1038"/>
      <c r="G23" s="1038" t="s">
        <v>267</v>
      </c>
      <c r="H23" s="1218" t="s">
        <v>36</v>
      </c>
      <c r="I23" s="1041" t="s">
        <v>321</v>
      </c>
      <c r="J23" s="1042"/>
      <c r="K23" s="1219">
        <v>5702359714</v>
      </c>
      <c r="L23" s="1220">
        <f>K23*EF_CO2_NatGas_DCI*ConFact_0.001</f>
        <v>1046497.0547132799</v>
      </c>
      <c r="M23" s="1090">
        <f>K23*EF_CH4_NatGas_DCI*ConFact_0.001</f>
        <v>1425.5899285</v>
      </c>
      <c r="N23" s="2098">
        <f>K23*EF_N2O_NatGas_DCI*ConFact_0.001</f>
        <v>570.23597140000004</v>
      </c>
      <c r="O23" s="1124"/>
      <c r="P23" s="1239">
        <f t="shared" ref="P23:P33" si="1">SUM(L23:N23)</f>
        <v>1048492.88061318</v>
      </c>
      <c r="V23" s="1765"/>
      <c r="W23" s="1765"/>
      <c r="X23" s="1765"/>
      <c r="Y23" s="1765"/>
      <c r="Z23" s="1207"/>
      <c r="AA23" s="1207"/>
      <c r="AB23" s="1207"/>
      <c r="AC23" s="1737"/>
      <c r="AD23" s="1737"/>
      <c r="AE23" s="1737"/>
      <c r="AF23" s="1737"/>
      <c r="AG23" s="1737"/>
      <c r="AH23" s="1737"/>
      <c r="AI23" s="1737"/>
      <c r="AJ23" s="1737"/>
      <c r="AK23" s="1737"/>
      <c r="AL23" s="1737"/>
      <c r="AM23" s="1737"/>
      <c r="AN23" s="1737"/>
      <c r="AO23" s="1737"/>
    </row>
    <row r="24" spans="2:41" ht="39" x14ac:dyDescent="0.45">
      <c r="B24" s="1043" t="s">
        <v>1279</v>
      </c>
      <c r="C24" s="1045" t="s">
        <v>1184</v>
      </c>
      <c r="D24" s="1045" t="s">
        <v>1213</v>
      </c>
      <c r="E24" s="1045" t="s">
        <v>524</v>
      </c>
      <c r="F24" s="1045"/>
      <c r="G24" s="1045" t="s">
        <v>267</v>
      </c>
      <c r="H24" s="1221" t="s">
        <v>67</v>
      </c>
      <c r="I24" s="1048" t="s">
        <v>321</v>
      </c>
      <c r="J24" s="1049"/>
      <c r="K24" s="1348">
        <f>J246*ConvFact_ttoe_to_kWh</f>
        <v>121951943.39333828</v>
      </c>
      <c r="L24" s="1222">
        <f>K24*EF_CO2_GasOil*ConFact_0.001</f>
        <v>30925.793325116654</v>
      </c>
      <c r="M24" s="1223">
        <f>K24*EF_CH4_GasOil*ConFact_0.001</f>
        <v>31.707505282267949</v>
      </c>
      <c r="N24" s="1291">
        <f>K24*EF_N2O_GasOil*ConFact_0.001</f>
        <v>348.7825581049475</v>
      </c>
      <c r="O24" s="1140"/>
      <c r="P24" s="1240">
        <f t="shared" si="1"/>
        <v>31306.283388503871</v>
      </c>
      <c r="V24" s="1737"/>
      <c r="W24" s="1737"/>
      <c r="X24" s="1737"/>
      <c r="Y24" s="1737"/>
      <c r="Z24" s="1737"/>
      <c r="AA24" s="1737"/>
      <c r="AB24" s="1737"/>
      <c r="AC24" s="1737"/>
      <c r="AD24" s="1737"/>
      <c r="AE24" s="1737"/>
      <c r="AF24" s="1737"/>
      <c r="AG24" s="1737"/>
      <c r="AH24" s="1737"/>
      <c r="AI24" s="1737"/>
      <c r="AJ24" s="1737"/>
      <c r="AK24" s="1737"/>
      <c r="AL24" s="1737"/>
      <c r="AM24" s="1737"/>
      <c r="AN24" s="1737"/>
      <c r="AO24" s="1737"/>
    </row>
    <row r="25" spans="2:41" ht="39" x14ac:dyDescent="0.45">
      <c r="B25" s="1051" t="s">
        <v>1279</v>
      </c>
      <c r="C25" s="1053" t="s">
        <v>1184</v>
      </c>
      <c r="D25" s="1053" t="s">
        <v>1213</v>
      </c>
      <c r="E25" s="1053" t="s">
        <v>524</v>
      </c>
      <c r="F25" s="1053"/>
      <c r="G25" s="1053" t="s">
        <v>267</v>
      </c>
      <c r="H25" s="1215" t="s">
        <v>16</v>
      </c>
      <c r="I25" s="1056" t="s">
        <v>272</v>
      </c>
      <c r="J25" s="1057"/>
      <c r="K25" s="1216">
        <v>8660208681</v>
      </c>
      <c r="L25" s="1175">
        <f>K25*EF_CO2_ElectGen_DCI*ConFact_0.001</f>
        <v>2000854.6136582398</v>
      </c>
      <c r="M25" s="1176">
        <f>K25*EF_CH4_ElectGen_DCI*ConFact_0.001</f>
        <v>6235.3502503200007</v>
      </c>
      <c r="N25" s="2097">
        <f>K25*EF_N2O_ElectGen_DCI*ConFact_0.001</f>
        <v>11951.087979780001</v>
      </c>
      <c r="O25" s="1140"/>
      <c r="P25" s="1217">
        <f t="shared" si="1"/>
        <v>2019041.0518883399</v>
      </c>
      <c r="V25" s="1737"/>
      <c r="W25" s="1737"/>
      <c r="X25" s="1737"/>
      <c r="Y25" s="1737"/>
      <c r="Z25" s="1737"/>
      <c r="AA25" s="1737"/>
      <c r="AB25" s="1737"/>
      <c r="AC25" s="1737"/>
      <c r="AD25" s="1737"/>
      <c r="AE25" s="1737"/>
      <c r="AF25" s="1737"/>
      <c r="AG25" s="1737"/>
      <c r="AH25" s="1737"/>
      <c r="AI25" s="1737"/>
      <c r="AJ25" s="1737"/>
      <c r="AK25" s="1737"/>
      <c r="AL25" s="1737"/>
      <c r="AM25" s="1737"/>
      <c r="AN25" s="1737"/>
      <c r="AO25" s="1737"/>
    </row>
    <row r="26" spans="2:41" ht="39" x14ac:dyDescent="0.45">
      <c r="B26" s="1051" t="s">
        <v>1279</v>
      </c>
      <c r="C26" s="1053" t="s">
        <v>1184</v>
      </c>
      <c r="D26" s="1053" t="s">
        <v>1213</v>
      </c>
      <c r="E26" s="1053" t="s">
        <v>524</v>
      </c>
      <c r="F26" s="1053"/>
      <c r="G26" s="1053" t="s">
        <v>267</v>
      </c>
      <c r="H26" s="1215" t="s">
        <v>2372</v>
      </c>
      <c r="I26" s="1056" t="s">
        <v>272</v>
      </c>
      <c r="J26" s="1057"/>
      <c r="K26" s="1216">
        <v>8660208681</v>
      </c>
      <c r="L26" s="1175">
        <f>K26*EF_CO2_ElectTDL_DCI*ConFact_0.001</f>
        <v>172078.34649146997</v>
      </c>
      <c r="M26" s="1176">
        <f>K26*EF_CH4_ElectTDL_DCI*ConFact_0.001</f>
        <v>519.61252086000002</v>
      </c>
      <c r="N26" s="2097">
        <f>K26*EF_N2O_ElectTDL_DCI*ConFact_0.001</f>
        <v>1039.22504172</v>
      </c>
      <c r="O26" s="1140"/>
      <c r="P26" s="1217">
        <f t="shared" si="1"/>
        <v>173637.18405404998</v>
      </c>
      <c r="V26" s="1737"/>
      <c r="W26" s="1737"/>
      <c r="X26" s="1737"/>
      <c r="Y26" s="1737"/>
      <c r="Z26" s="1737"/>
      <c r="AA26" s="1737"/>
      <c r="AB26" s="1737"/>
      <c r="AC26" s="1737"/>
      <c r="AD26" s="1737"/>
      <c r="AE26" s="1737"/>
      <c r="AF26" s="1737"/>
      <c r="AG26" s="1737"/>
      <c r="AH26" s="1737"/>
      <c r="AI26" s="1737"/>
      <c r="AJ26" s="1737"/>
      <c r="AK26" s="1737"/>
      <c r="AL26" s="1737"/>
      <c r="AM26" s="1737"/>
      <c r="AN26" s="1737"/>
      <c r="AO26" s="1737"/>
    </row>
    <row r="27" spans="2:41" ht="39" customHeight="1" x14ac:dyDescent="0.45">
      <c r="B27" s="1043" t="s">
        <v>1279</v>
      </c>
      <c r="C27" s="1045" t="s">
        <v>1184</v>
      </c>
      <c r="D27" s="1045" t="s">
        <v>1213</v>
      </c>
      <c r="E27" s="1045" t="s">
        <v>524</v>
      </c>
      <c r="F27" s="1045"/>
      <c r="G27" s="1045" t="s">
        <v>221</v>
      </c>
      <c r="H27" s="1221" t="s">
        <v>36</v>
      </c>
      <c r="I27" s="1048" t="s">
        <v>321</v>
      </c>
      <c r="J27" s="1049"/>
      <c r="K27" s="1224">
        <v>410527371</v>
      </c>
      <c r="L27" s="1222">
        <f>K27*EF_CO2_NatGas_DCI*ConFact_0.001</f>
        <v>75339.98312592</v>
      </c>
      <c r="M27" s="1223">
        <f>K27*EF_CH4_NatGas_DCI*ConFact_0.001</f>
        <v>102.63184275</v>
      </c>
      <c r="N27" s="1291">
        <f>K27*EF_N2O_NatGas_DCI*ConFact_0.001</f>
        <v>41.052737100000002</v>
      </c>
      <c r="O27" s="1140"/>
      <c r="P27" s="1240">
        <f t="shared" si="1"/>
        <v>75483.66770577</v>
      </c>
      <c r="V27" s="1737"/>
      <c r="W27" s="1737"/>
      <c r="X27" s="1737"/>
      <c r="Y27" s="1737"/>
      <c r="Z27" s="1737"/>
      <c r="AA27" s="1737"/>
      <c r="AB27" s="1737"/>
      <c r="AC27" s="1737"/>
      <c r="AD27" s="1737"/>
      <c r="AE27" s="1737"/>
      <c r="AF27" s="1737"/>
      <c r="AG27" s="1737"/>
      <c r="AH27" s="1737"/>
      <c r="AI27" s="1737"/>
      <c r="AJ27" s="1737"/>
      <c r="AK27" s="1737"/>
      <c r="AL27" s="1737"/>
      <c r="AM27" s="1737"/>
      <c r="AN27" s="1737"/>
      <c r="AO27" s="1737"/>
    </row>
    <row r="28" spans="2:41" ht="39" x14ac:dyDescent="0.45">
      <c r="B28" s="1051" t="s">
        <v>1279</v>
      </c>
      <c r="C28" s="1053" t="s">
        <v>1184</v>
      </c>
      <c r="D28" s="1053" t="s">
        <v>1213</v>
      </c>
      <c r="E28" s="1053" t="s">
        <v>524</v>
      </c>
      <c r="F28" s="1053"/>
      <c r="G28" s="1053" t="s">
        <v>221</v>
      </c>
      <c r="H28" s="1215" t="s">
        <v>16</v>
      </c>
      <c r="I28" s="1056" t="s">
        <v>272</v>
      </c>
      <c r="J28" s="1057"/>
      <c r="K28" s="1216">
        <v>229975467</v>
      </c>
      <c r="L28" s="1175">
        <f>K28*EF_CO2_ElectGen_DCI*ConFact_0.001</f>
        <v>53133.531895679997</v>
      </c>
      <c r="M28" s="1176">
        <f>K28*EF_CH4_ElectGen_DCI*ConFact_0.001</f>
        <v>165.58233624000002</v>
      </c>
      <c r="N28" s="2097">
        <f>K28*EF_N2O_ElectGen_DCI*ConFact_0.001</f>
        <v>317.36614445999999</v>
      </c>
      <c r="O28" s="1140"/>
      <c r="P28" s="1217">
        <f t="shared" si="1"/>
        <v>53616.480376379994</v>
      </c>
      <c r="V28" s="1737"/>
      <c r="W28" s="1737"/>
      <c r="X28" s="1737"/>
      <c r="Y28" s="1737"/>
      <c r="Z28" s="1737"/>
      <c r="AA28" s="1737"/>
      <c r="AB28" s="1737"/>
      <c r="AC28" s="1737"/>
      <c r="AD28" s="1737"/>
      <c r="AE28" s="1737"/>
      <c r="AF28" s="1737"/>
      <c r="AG28" s="1737"/>
      <c r="AH28" s="1737"/>
      <c r="AI28" s="1737"/>
      <c r="AJ28" s="1737"/>
      <c r="AK28" s="1737"/>
      <c r="AL28" s="1737"/>
      <c r="AM28" s="1737"/>
      <c r="AN28" s="1737"/>
      <c r="AO28" s="1737"/>
    </row>
    <row r="29" spans="2:41" ht="39" x14ac:dyDescent="0.45">
      <c r="B29" s="1051" t="s">
        <v>1279</v>
      </c>
      <c r="C29" s="1053" t="s">
        <v>1184</v>
      </c>
      <c r="D29" s="1053" t="s">
        <v>1213</v>
      </c>
      <c r="E29" s="1053" t="s">
        <v>524</v>
      </c>
      <c r="F29" s="1053"/>
      <c r="G29" s="1053" t="s">
        <v>221</v>
      </c>
      <c r="H29" s="1215" t="s">
        <v>2372</v>
      </c>
      <c r="I29" s="1056" t="s">
        <v>272</v>
      </c>
      <c r="J29" s="1057"/>
      <c r="K29" s="1216">
        <v>229975467</v>
      </c>
      <c r="L29" s="1175">
        <f>K29*EF_CO2_ElectTDL_DCI*ConFact_0.001</f>
        <v>4569.6125292899997</v>
      </c>
      <c r="M29" s="1176">
        <f>K29*EF_CH4_ElectTDL_DCI*ConFact_0.001</f>
        <v>13.798528020000001</v>
      </c>
      <c r="N29" s="2097">
        <f>K29*EF_N2O_ElectTDL_DCI*ConFact_0.001</f>
        <v>27.597056040000002</v>
      </c>
      <c r="O29" s="1140"/>
      <c r="P29" s="1217">
        <f t="shared" si="1"/>
        <v>4611.0081133499998</v>
      </c>
      <c r="V29" s="1737"/>
      <c r="W29" s="1737"/>
      <c r="X29" s="1737"/>
      <c r="Y29" s="1737"/>
      <c r="Z29" s="1737"/>
      <c r="AA29" s="1737"/>
      <c r="AB29" s="1737"/>
      <c r="AC29" s="1737"/>
      <c r="AD29" s="1737"/>
      <c r="AE29" s="1737"/>
      <c r="AF29" s="1737"/>
      <c r="AG29" s="1737"/>
      <c r="AH29" s="1737"/>
      <c r="AI29" s="1737"/>
      <c r="AJ29" s="1737"/>
      <c r="AK29" s="1737"/>
      <c r="AL29" s="1737"/>
      <c r="AM29" s="1737"/>
      <c r="AN29" s="1737"/>
      <c r="AO29" s="1737"/>
    </row>
    <row r="30" spans="2:41" ht="39" x14ac:dyDescent="0.45">
      <c r="B30" s="1043" t="s">
        <v>1279</v>
      </c>
      <c r="C30" s="1045" t="s">
        <v>1184</v>
      </c>
      <c r="D30" s="1045" t="s">
        <v>1213</v>
      </c>
      <c r="E30" s="1045" t="s">
        <v>524</v>
      </c>
      <c r="F30" s="1045"/>
      <c r="G30" s="1045" t="s">
        <v>784</v>
      </c>
      <c r="H30" s="1221" t="s">
        <v>36</v>
      </c>
      <c r="I30" s="1048" t="s">
        <v>321</v>
      </c>
      <c r="J30" s="1049"/>
      <c r="K30" s="1224">
        <v>2006250097</v>
      </c>
      <c r="L30" s="1222">
        <f>K30*EF_CO2_NatGas_DCI*ConFact_0.001</f>
        <v>368187.01780144003</v>
      </c>
      <c r="M30" s="1223">
        <f>K30*EF_CH4_NatGas_DCI*ConFact_0.001</f>
        <v>501.56252425000002</v>
      </c>
      <c r="N30" s="1291">
        <f>K30*EF_N2O_NatGas_DCI*ConFact_0.001</f>
        <v>200.62500969999999</v>
      </c>
      <c r="O30" s="1140"/>
      <c r="P30" s="1240">
        <f t="shared" si="1"/>
        <v>368889.20533539006</v>
      </c>
      <c r="V30" s="1737"/>
      <c r="W30" s="1737"/>
      <c r="X30" s="1737"/>
      <c r="Y30" s="1737"/>
      <c r="Z30" s="1737"/>
      <c r="AA30" s="1737"/>
      <c r="AB30" s="1737"/>
      <c r="AC30" s="1737"/>
      <c r="AD30" s="1737"/>
      <c r="AE30" s="1737"/>
      <c r="AF30" s="1737"/>
      <c r="AG30" s="1737"/>
      <c r="AH30" s="1737"/>
      <c r="AI30" s="1737"/>
      <c r="AJ30" s="1737"/>
      <c r="AK30" s="1737"/>
      <c r="AL30" s="1737"/>
      <c r="AM30" s="1737"/>
      <c r="AN30" s="1737"/>
      <c r="AO30" s="1737"/>
    </row>
    <row r="31" spans="2:41" ht="39" x14ac:dyDescent="0.45">
      <c r="B31" s="1043" t="s">
        <v>1279</v>
      </c>
      <c r="C31" s="1045" t="s">
        <v>1184</v>
      </c>
      <c r="D31" s="1045" t="s">
        <v>1213</v>
      </c>
      <c r="E31" s="1045" t="s">
        <v>524</v>
      </c>
      <c r="F31" s="1045"/>
      <c r="G31" s="1045" t="s">
        <v>784</v>
      </c>
      <c r="H31" s="1221" t="s">
        <v>67</v>
      </c>
      <c r="I31" s="1048" t="s">
        <v>321</v>
      </c>
      <c r="J31" s="1049"/>
      <c r="K31" s="1348">
        <f>I246*ConvFact_ttoe_to_kWh</f>
        <v>25902697.392145604</v>
      </c>
      <c r="L31" s="1222">
        <f>K31*EF_CO2_GasOil*ConFact_0.001</f>
        <v>6568.6650316742034</v>
      </c>
      <c r="M31" s="1223">
        <f>K31*EF_CH4_GasOil*ConFact_0.001</f>
        <v>6.7347013219578571</v>
      </c>
      <c r="N31" s="1291">
        <f>K31*EF_N2O_GasOil*ConFact_0.001</f>
        <v>74.081714541536442</v>
      </c>
      <c r="O31" s="1140"/>
      <c r="P31" s="1240">
        <f t="shared" si="1"/>
        <v>6649.4814475376979</v>
      </c>
      <c r="V31" s="1737"/>
      <c r="W31" s="1737"/>
      <c r="X31" s="1737"/>
      <c r="Y31" s="1737"/>
      <c r="Z31" s="1737"/>
      <c r="AA31" s="1737"/>
      <c r="AB31" s="1737"/>
      <c r="AC31" s="1737"/>
      <c r="AD31" s="1737"/>
      <c r="AE31" s="1737"/>
      <c r="AF31" s="1737"/>
      <c r="AG31" s="1737"/>
      <c r="AH31" s="1737"/>
      <c r="AI31" s="1737"/>
      <c r="AJ31" s="1737"/>
      <c r="AK31" s="1737"/>
      <c r="AL31" s="1737"/>
      <c r="AM31" s="1737"/>
      <c r="AN31" s="1737"/>
      <c r="AO31" s="1737"/>
    </row>
    <row r="32" spans="2:41" ht="14.25" x14ac:dyDescent="0.45">
      <c r="B32" s="1051" t="s">
        <v>1279</v>
      </c>
      <c r="C32" s="1053"/>
      <c r="D32" s="1053"/>
      <c r="E32" s="1053"/>
      <c r="F32" s="1053"/>
      <c r="G32" s="1053" t="s">
        <v>784</v>
      </c>
      <c r="H32" s="1215" t="s">
        <v>16</v>
      </c>
      <c r="I32" s="1056" t="s">
        <v>272</v>
      </c>
      <c r="J32" s="1057"/>
      <c r="K32" s="2095">
        <v>1122790180</v>
      </c>
      <c r="L32" s="1175">
        <f>K32*EF_CO2_ElectGen_DCI*ConFact_0.001</f>
        <v>259409.4431872</v>
      </c>
      <c r="M32" s="1176">
        <f>K32*EF_CH4_ElectGen_DCI*ConFact_0.001</f>
        <v>808.40892960000008</v>
      </c>
      <c r="N32" s="2097">
        <f>K32*EF_N2O_ElectGen_DCI*ConFact_0.001</f>
        <v>1549.4504483999999</v>
      </c>
      <c r="O32" s="2096"/>
      <c r="P32" s="1217">
        <f>SUM(L32:N32)</f>
        <v>261767.30256519999</v>
      </c>
      <c r="V32" s="1737"/>
      <c r="W32" s="1737"/>
      <c r="X32" s="1737"/>
      <c r="Y32" s="1737"/>
      <c r="Z32" s="1737"/>
      <c r="AA32" s="1737"/>
      <c r="AB32" s="1737"/>
      <c r="AC32" s="1737"/>
      <c r="AD32" s="1737"/>
      <c r="AE32" s="1737"/>
      <c r="AF32" s="1737"/>
      <c r="AG32" s="1737"/>
      <c r="AH32" s="1737"/>
      <c r="AI32" s="1737"/>
      <c r="AJ32" s="1737"/>
      <c r="AK32" s="1737"/>
      <c r="AL32" s="1737"/>
      <c r="AM32" s="1737"/>
      <c r="AN32" s="1737"/>
      <c r="AO32" s="1737"/>
    </row>
    <row r="33" spans="2:41" ht="39.4" thickBot="1" x14ac:dyDescent="0.5">
      <c r="B33" s="1064" t="s">
        <v>1279</v>
      </c>
      <c r="C33" s="1066" t="s">
        <v>1184</v>
      </c>
      <c r="D33" s="1066" t="s">
        <v>1213</v>
      </c>
      <c r="E33" s="1066" t="s">
        <v>524</v>
      </c>
      <c r="F33" s="1066"/>
      <c r="G33" s="1066" t="s">
        <v>784</v>
      </c>
      <c r="H33" s="1225" t="s">
        <v>2372</v>
      </c>
      <c r="I33" s="1069" t="s">
        <v>272</v>
      </c>
      <c r="J33" s="1070"/>
      <c r="K33" s="1256">
        <v>1122790180</v>
      </c>
      <c r="L33" s="1233">
        <f>K33*EF_CO2_ElectTDL_DCI*ConFact_0.001</f>
        <v>22309.840876599999</v>
      </c>
      <c r="M33" s="1234">
        <f>K33*EF_CH4_ElectTDL_DCI*ConFact_0.001</f>
        <v>67.367410800000002</v>
      </c>
      <c r="N33" s="2099">
        <f>K33*EF_N2O_ElectTDL_DCI*ConFact_0.001</f>
        <v>134.7348216</v>
      </c>
      <c r="O33" s="1126"/>
      <c r="P33" s="1241">
        <f t="shared" si="1"/>
        <v>22511.943109</v>
      </c>
      <c r="Q33" s="1748"/>
      <c r="V33" s="1751"/>
      <c r="W33" s="1737"/>
      <c r="X33" s="1737"/>
      <c r="Y33" s="1737"/>
      <c r="Z33" s="1737"/>
      <c r="AA33" s="1737"/>
      <c r="AB33" s="1737"/>
      <c r="AC33" s="1737"/>
      <c r="AD33" s="1737"/>
      <c r="AE33" s="1737"/>
      <c r="AF33" s="1737"/>
      <c r="AG33" s="1737"/>
      <c r="AH33" s="1737"/>
      <c r="AI33" s="1737"/>
      <c r="AJ33" s="1737"/>
      <c r="AK33" s="1737"/>
      <c r="AL33" s="1737"/>
      <c r="AM33" s="1737"/>
      <c r="AN33" s="1737"/>
      <c r="AO33" s="1737"/>
    </row>
    <row r="34" spans="2:41" ht="13.15" x14ac:dyDescent="0.4">
      <c r="C34" s="1742"/>
      <c r="J34" s="1749"/>
      <c r="N34" s="1737"/>
      <c r="O34" s="1750"/>
      <c r="P34" s="1751"/>
      <c r="V34" s="1751"/>
      <c r="W34" s="1737"/>
      <c r="X34" s="1737"/>
      <c r="Y34" s="1737"/>
      <c r="Z34" s="1737"/>
      <c r="AA34" s="1737"/>
      <c r="AB34" s="1737"/>
      <c r="AC34" s="1737"/>
      <c r="AD34" s="1737"/>
      <c r="AE34" s="1737"/>
      <c r="AF34" s="1737"/>
      <c r="AG34" s="1737"/>
      <c r="AH34" s="1737"/>
      <c r="AI34" s="1737"/>
      <c r="AJ34" s="1737"/>
      <c r="AK34" s="1737"/>
      <c r="AL34" s="1737"/>
      <c r="AM34" s="1737"/>
      <c r="AN34" s="1737"/>
      <c r="AO34" s="1737"/>
    </row>
    <row r="35" spans="2:41" ht="13.15" x14ac:dyDescent="0.4">
      <c r="C35" s="1742"/>
      <c r="J35" s="1749"/>
      <c r="K35" s="1747"/>
      <c r="N35" s="1737"/>
      <c r="O35" s="1750"/>
      <c r="P35" s="1737"/>
      <c r="V35" s="1737"/>
      <c r="W35" s="1737"/>
      <c r="X35" s="1737"/>
      <c r="Y35" s="1737"/>
      <c r="Z35" s="1737"/>
      <c r="AA35" s="1737"/>
      <c r="AB35" s="1737"/>
      <c r="AC35" s="1737"/>
      <c r="AD35" s="1737"/>
      <c r="AE35" s="1737"/>
      <c r="AF35" s="1737"/>
      <c r="AG35" s="1737"/>
      <c r="AH35" s="1737"/>
      <c r="AI35" s="1737"/>
      <c r="AJ35" s="1737"/>
      <c r="AK35" s="1737"/>
      <c r="AL35" s="1737"/>
      <c r="AM35" s="1737"/>
      <c r="AN35" s="1737"/>
      <c r="AO35" s="1737"/>
    </row>
    <row r="36" spans="2:41" ht="13.15" x14ac:dyDescent="0.4">
      <c r="C36" s="1742"/>
      <c r="J36" s="1749"/>
      <c r="N36" s="1737"/>
      <c r="O36" s="1750"/>
      <c r="P36" s="1751"/>
      <c r="V36" s="1737"/>
      <c r="W36" s="1737"/>
      <c r="X36" s="1737"/>
      <c r="Y36" s="1737"/>
      <c r="Z36" s="1737"/>
      <c r="AA36" s="1737"/>
      <c r="AB36" s="1737"/>
      <c r="AC36" s="1737"/>
      <c r="AD36" s="1737"/>
      <c r="AE36" s="1737"/>
      <c r="AF36" s="1737"/>
      <c r="AG36" s="1737"/>
      <c r="AH36" s="1737"/>
      <c r="AI36" s="1737"/>
      <c r="AJ36" s="1737"/>
      <c r="AK36" s="1737"/>
      <c r="AL36" s="1737"/>
      <c r="AM36" s="1737"/>
      <c r="AN36" s="1737"/>
      <c r="AO36" s="1737"/>
    </row>
    <row r="37" spans="2:41" ht="13.15" x14ac:dyDescent="0.4">
      <c r="C37" s="1742"/>
      <c r="J37" s="1749"/>
      <c r="N37" s="1737"/>
      <c r="O37" s="1750"/>
      <c r="P37" s="1737"/>
      <c r="V37" s="1737"/>
      <c r="W37" s="1737"/>
      <c r="X37" s="1737"/>
      <c r="Y37" s="1737"/>
      <c r="Z37" s="1737"/>
      <c r="AA37" s="1737"/>
      <c r="AB37" s="1737"/>
      <c r="AC37" s="1737"/>
      <c r="AD37" s="1737"/>
      <c r="AE37" s="1737"/>
      <c r="AF37" s="1737"/>
      <c r="AG37" s="1737"/>
      <c r="AH37" s="1737"/>
      <c r="AI37" s="1737"/>
      <c r="AJ37" s="1737"/>
      <c r="AK37" s="1737"/>
      <c r="AL37" s="1737"/>
      <c r="AM37" s="1737"/>
      <c r="AN37" s="1737"/>
      <c r="AO37" s="1737"/>
    </row>
    <row r="38" spans="2:41" ht="13.15" x14ac:dyDescent="0.4">
      <c r="C38" s="1742"/>
      <c r="J38" s="1749"/>
      <c r="N38" s="1737"/>
      <c r="O38" s="1750"/>
      <c r="P38" s="1751"/>
      <c r="V38" s="1737"/>
      <c r="W38" s="1737"/>
      <c r="X38" s="1737"/>
      <c r="Y38" s="1737"/>
      <c r="Z38" s="1737"/>
      <c r="AA38" s="1737"/>
      <c r="AB38" s="1737"/>
      <c r="AC38" s="1737"/>
      <c r="AD38" s="1737"/>
      <c r="AE38" s="1737"/>
      <c r="AF38" s="1737"/>
      <c r="AG38" s="1737"/>
      <c r="AH38" s="1737"/>
      <c r="AI38" s="1737"/>
      <c r="AJ38" s="1737"/>
      <c r="AK38" s="1737"/>
      <c r="AL38" s="1737"/>
      <c r="AM38" s="1737"/>
      <c r="AN38" s="1737"/>
      <c r="AO38" s="1737"/>
    </row>
    <row r="39" spans="2:41" ht="13.15" x14ac:dyDescent="0.4">
      <c r="J39" s="1749"/>
      <c r="N39" s="1737"/>
      <c r="O39" s="1750"/>
      <c r="P39" s="1737"/>
      <c r="V39" s="1737"/>
      <c r="W39" s="1737"/>
      <c r="X39" s="1737"/>
      <c r="Y39" s="1737"/>
      <c r="Z39" s="1737"/>
      <c r="AA39" s="1737"/>
      <c r="AB39" s="1737"/>
      <c r="AC39" s="1737"/>
      <c r="AD39" s="1737"/>
      <c r="AE39" s="1737"/>
      <c r="AF39" s="1737"/>
      <c r="AG39" s="1737"/>
      <c r="AH39" s="1737"/>
      <c r="AI39" s="1737"/>
      <c r="AJ39" s="1737"/>
      <c r="AK39" s="1737"/>
      <c r="AL39" s="1737"/>
      <c r="AM39" s="1737"/>
      <c r="AN39" s="1737"/>
      <c r="AO39" s="1737"/>
    </row>
    <row r="40" spans="2:41" ht="13.5" thickBot="1" x14ac:dyDescent="0.45">
      <c r="B40" s="1741"/>
      <c r="D40" s="1746"/>
      <c r="E40" s="1746"/>
      <c r="F40" s="1746"/>
      <c r="G40" s="1746"/>
      <c r="H40" s="1746"/>
      <c r="I40" s="1746"/>
      <c r="J40" s="1752"/>
      <c r="K40" s="1746"/>
      <c r="N40" s="1737"/>
      <c r="O40" s="1750"/>
      <c r="P40" s="1737"/>
      <c r="V40" s="1737"/>
      <c r="W40" s="1737"/>
      <c r="X40" s="1737"/>
      <c r="Y40" s="1737"/>
      <c r="Z40" s="1737"/>
      <c r="AA40" s="1737"/>
      <c r="AB40" s="1737"/>
      <c r="AC40" s="1737"/>
      <c r="AD40" s="1737"/>
      <c r="AE40" s="1737"/>
      <c r="AF40" s="1737"/>
      <c r="AG40" s="1737"/>
      <c r="AH40" s="1737"/>
      <c r="AI40" s="1737"/>
      <c r="AJ40" s="1737"/>
      <c r="AK40" s="1737"/>
      <c r="AL40" s="1737"/>
      <c r="AM40" s="1737"/>
      <c r="AN40" s="1737"/>
      <c r="AO40" s="1737"/>
    </row>
    <row r="41" spans="2:41" ht="15" thickBot="1" x14ac:dyDescent="0.55000000000000004">
      <c r="B41" s="251" t="s">
        <v>1273</v>
      </c>
      <c r="C41" s="677"/>
      <c r="D41" s="263"/>
      <c r="E41" s="245"/>
      <c r="F41" s="245"/>
      <c r="G41" s="245"/>
      <c r="H41" s="245"/>
      <c r="I41" s="246"/>
      <c r="J41" s="258"/>
      <c r="K41" s="245"/>
      <c r="L41" s="252"/>
      <c r="M41" s="248" t="s">
        <v>881</v>
      </c>
      <c r="N41" s="252"/>
      <c r="O41" s="252"/>
      <c r="P41" s="253"/>
      <c r="V41" s="1737"/>
      <c r="W41" s="1737"/>
      <c r="X41" s="1737"/>
      <c r="Y41" s="1737"/>
      <c r="Z41" s="1737"/>
      <c r="AA41" s="1737"/>
      <c r="AB41" s="1737"/>
      <c r="AC41" s="1737"/>
      <c r="AD41" s="1737"/>
      <c r="AE41" s="1737"/>
      <c r="AF41" s="1737"/>
      <c r="AG41" s="1737"/>
      <c r="AH41" s="1737"/>
      <c r="AI41" s="1737"/>
      <c r="AJ41" s="1737"/>
      <c r="AK41" s="1737"/>
      <c r="AL41" s="1737"/>
      <c r="AM41" s="1737"/>
      <c r="AN41" s="1737"/>
      <c r="AO41" s="1737"/>
    </row>
    <row r="42" spans="2:41" ht="39.75" thickBot="1" x14ac:dyDescent="0.45">
      <c r="B42" s="678" t="s">
        <v>1271</v>
      </c>
      <c r="C42" s="269" t="s">
        <v>1270</v>
      </c>
      <c r="D42" s="617" t="s">
        <v>521</v>
      </c>
      <c r="E42" s="618" t="s">
        <v>522</v>
      </c>
      <c r="F42" s="618" t="s">
        <v>1280</v>
      </c>
      <c r="G42" s="618" t="s">
        <v>1278</v>
      </c>
      <c r="H42" s="618" t="s">
        <v>803</v>
      </c>
      <c r="I42" s="268" t="s">
        <v>574</v>
      </c>
      <c r="J42" s="269" t="s">
        <v>584</v>
      </c>
      <c r="K42" s="269" t="s">
        <v>804</v>
      </c>
      <c r="L42" s="260" t="s">
        <v>798</v>
      </c>
      <c r="M42" s="260" t="s">
        <v>799</v>
      </c>
      <c r="N42" s="260" t="s">
        <v>800</v>
      </c>
      <c r="O42" s="260" t="s">
        <v>801</v>
      </c>
      <c r="P42" s="261" t="s">
        <v>802</v>
      </c>
      <c r="V42" s="1737"/>
      <c r="W42" s="1737"/>
      <c r="X42" s="1737"/>
      <c r="Y42" s="1737"/>
      <c r="Z42" s="1737"/>
      <c r="AA42" s="1737"/>
      <c r="AB42" s="1737"/>
      <c r="AC42" s="1737"/>
      <c r="AD42" s="1737"/>
      <c r="AE42" s="1737"/>
      <c r="AF42" s="1737"/>
      <c r="AG42" s="1737"/>
      <c r="AH42" s="1737"/>
      <c r="AI42" s="1737"/>
      <c r="AJ42" s="1737"/>
      <c r="AK42" s="1737"/>
      <c r="AL42" s="1737"/>
      <c r="AM42" s="1737"/>
      <c r="AN42" s="1737"/>
      <c r="AO42" s="1737"/>
    </row>
    <row r="43" spans="2:41" ht="39" x14ac:dyDescent="0.45">
      <c r="B43" s="1043" t="s">
        <v>1279</v>
      </c>
      <c r="C43" s="1045" t="s">
        <v>1185</v>
      </c>
      <c r="D43" s="1045" t="s">
        <v>525</v>
      </c>
      <c r="E43" s="1045" t="s">
        <v>525</v>
      </c>
      <c r="F43" s="1045" t="s">
        <v>1294</v>
      </c>
      <c r="G43" s="1077" t="s">
        <v>1293</v>
      </c>
      <c r="H43" s="1098"/>
      <c r="I43" s="1048" t="s">
        <v>321</v>
      </c>
      <c r="J43" s="1049"/>
      <c r="K43" s="1124"/>
      <c r="L43" s="1223">
        <v>197639.803024019</v>
      </c>
      <c r="M43" s="1223">
        <f>3.504613413*GWP_CH4</f>
        <v>87.615335325000004</v>
      </c>
      <c r="N43" s="1223">
        <f>0.3519769736*GWP_N2O</f>
        <v>104.8891381328</v>
      </c>
      <c r="O43" s="1134"/>
      <c r="P43" s="1239">
        <f>SUM(L43:N43)</f>
        <v>197832.30749747681</v>
      </c>
      <c r="Q43" s="43"/>
      <c r="V43" s="1737"/>
      <c r="W43" s="1737"/>
      <c r="X43" s="1737"/>
      <c r="Y43" s="1737"/>
      <c r="Z43" s="1737"/>
      <c r="AA43" s="1737"/>
      <c r="AB43" s="1737"/>
      <c r="AC43" s="1737"/>
      <c r="AD43" s="1737"/>
      <c r="AE43" s="1737"/>
      <c r="AF43" s="1737"/>
      <c r="AG43" s="1737"/>
      <c r="AH43" s="1737"/>
      <c r="AI43" s="1737"/>
      <c r="AJ43" s="1737"/>
      <c r="AK43" s="1737"/>
      <c r="AL43" s="1737"/>
      <c r="AM43" s="1737"/>
      <c r="AN43" s="1737"/>
      <c r="AO43" s="1737"/>
    </row>
    <row r="44" spans="2:41" ht="39" x14ac:dyDescent="0.45">
      <c r="B44" s="1043" t="s">
        <v>1279</v>
      </c>
      <c r="C44" s="1045" t="s">
        <v>1185</v>
      </c>
      <c r="D44" s="1045" t="s">
        <v>525</v>
      </c>
      <c r="E44" s="1045" t="s">
        <v>525</v>
      </c>
      <c r="F44" s="1045" t="s">
        <v>1306</v>
      </c>
      <c r="G44" s="1077" t="s">
        <v>1305</v>
      </c>
      <c r="H44" s="1098"/>
      <c r="I44" s="1048" t="s">
        <v>321</v>
      </c>
      <c r="J44" s="1049"/>
      <c r="K44" s="1140"/>
      <c r="L44" s="1223">
        <v>90.10500000333333</v>
      </c>
      <c r="M44" s="1223">
        <f>0.009964298*GWP_CH4</f>
        <v>0.24910745000000001</v>
      </c>
      <c r="N44" s="1223">
        <f>0.000434501*GWP_N2O</f>
        <v>0.12948129799999999</v>
      </c>
      <c r="O44" s="1136"/>
      <c r="P44" s="1240">
        <f>SUM(L44:N44)</f>
        <v>90.483588751333329</v>
      </c>
      <c r="V44" s="1737"/>
      <c r="W44" s="1737"/>
      <c r="X44" s="1737"/>
      <c r="Y44" s="1737"/>
      <c r="Z44" s="1737"/>
      <c r="AA44" s="1737"/>
      <c r="AB44" s="1737"/>
      <c r="AC44" s="1737"/>
      <c r="AD44" s="1737"/>
      <c r="AE44" s="1737"/>
      <c r="AF44" s="1737"/>
      <c r="AG44" s="1737"/>
      <c r="AH44" s="1737"/>
      <c r="AI44" s="1737"/>
      <c r="AJ44" s="1737"/>
      <c r="AK44" s="1737"/>
      <c r="AL44" s="1737"/>
      <c r="AM44" s="1737"/>
      <c r="AN44" s="1737"/>
      <c r="AO44" s="1737"/>
    </row>
    <row r="45" spans="2:41" ht="39" x14ac:dyDescent="0.45">
      <c r="B45" s="1043" t="s">
        <v>1279</v>
      </c>
      <c r="C45" s="1045" t="s">
        <v>2311</v>
      </c>
      <c r="D45" s="1045" t="s">
        <v>525</v>
      </c>
      <c r="E45" s="1045" t="s">
        <v>525</v>
      </c>
      <c r="F45" s="1045" t="s">
        <v>1310</v>
      </c>
      <c r="G45" s="1077" t="s">
        <v>1309</v>
      </c>
      <c r="H45" s="1098"/>
      <c r="I45" s="1048" t="s">
        <v>321</v>
      </c>
      <c r="J45" s="1049"/>
      <c r="K45" s="1140"/>
      <c r="L45" s="1223">
        <v>33795.029757866701</v>
      </c>
      <c r="M45" s="1223">
        <f>0.803160361*GWP_CH4</f>
        <v>20.079009025000001</v>
      </c>
      <c r="N45" s="1223">
        <f>0.117737062*GWP_N2O</f>
        <v>35.085644475999999</v>
      </c>
      <c r="O45" s="1136"/>
      <c r="P45" s="1240">
        <f>SUM(L45:N45)</f>
        <v>33850.194411367702</v>
      </c>
      <c r="V45" s="1737"/>
      <c r="W45" s="1737"/>
      <c r="X45" s="1737"/>
      <c r="Y45" s="1737"/>
      <c r="Z45" s="1737"/>
      <c r="AA45" s="1737"/>
      <c r="AB45" s="1737"/>
      <c r="AC45" s="1737"/>
      <c r="AD45" s="1737"/>
      <c r="AE45" s="1737"/>
      <c r="AF45" s="1737"/>
      <c r="AG45" s="1737"/>
      <c r="AH45" s="1737"/>
      <c r="AI45" s="1737"/>
      <c r="AJ45" s="1737"/>
      <c r="AK45" s="1737"/>
      <c r="AL45" s="1737"/>
      <c r="AM45" s="1737"/>
      <c r="AN45" s="1737"/>
      <c r="AO45" s="1737"/>
    </row>
    <row r="46" spans="2:41" ht="39" x14ac:dyDescent="0.45">
      <c r="B46" s="1051" t="s">
        <v>1279</v>
      </c>
      <c r="C46" s="1053" t="s">
        <v>1185</v>
      </c>
      <c r="D46" s="1053" t="s">
        <v>525</v>
      </c>
      <c r="E46" s="1053" t="s">
        <v>525</v>
      </c>
      <c r="F46" s="1053" t="s">
        <v>1285</v>
      </c>
      <c r="G46" s="1072" t="s">
        <v>1284</v>
      </c>
      <c r="H46" s="1056" t="s">
        <v>16</v>
      </c>
      <c r="I46" s="1056" t="s">
        <v>272</v>
      </c>
      <c r="J46" s="1057"/>
      <c r="K46" s="2093">
        <v>548982730</v>
      </c>
      <c r="L46" s="1176">
        <f>K46*EF_CO2_ElectGen_DCI*ConFact_0.001</f>
        <v>126836.9699392</v>
      </c>
      <c r="M46" s="1176">
        <f>K46*EF_CH4_ElectGen_DCI*ConFact_0.001</f>
        <v>395.26756560000001</v>
      </c>
      <c r="N46" s="1176">
        <f>K46*EF_N2O_ElectGen_DCI*ConFact_0.001</f>
        <v>757.5961673999999</v>
      </c>
      <c r="O46" s="1136"/>
      <c r="P46" s="1217">
        <f>SUM(L46:N46)</f>
        <v>127989.83367220001</v>
      </c>
      <c r="V46" s="1737"/>
      <c r="W46" s="1737"/>
      <c r="X46" s="1737"/>
      <c r="Y46" s="1737"/>
      <c r="Z46" s="1737"/>
      <c r="AA46" s="1737"/>
      <c r="AB46" s="1737"/>
      <c r="AC46" s="1737"/>
      <c r="AD46" s="1737"/>
      <c r="AE46" s="1737"/>
      <c r="AF46" s="1737"/>
      <c r="AG46" s="1737"/>
      <c r="AH46" s="1737"/>
      <c r="AI46" s="1737"/>
      <c r="AJ46" s="1737"/>
      <c r="AK46" s="1737"/>
      <c r="AL46" s="1737"/>
      <c r="AM46" s="1737"/>
      <c r="AN46" s="1737"/>
      <c r="AO46" s="1737"/>
    </row>
    <row r="47" spans="2:41" ht="48" customHeight="1" thickBot="1" x14ac:dyDescent="0.5">
      <c r="B47" s="1064" t="s">
        <v>1279</v>
      </c>
      <c r="C47" s="1066" t="s">
        <v>1185</v>
      </c>
      <c r="D47" s="1066" t="s">
        <v>525</v>
      </c>
      <c r="E47" s="1066" t="s">
        <v>525</v>
      </c>
      <c r="F47" s="1066" t="s">
        <v>1285</v>
      </c>
      <c r="G47" s="1168" t="s">
        <v>1284</v>
      </c>
      <c r="H47" s="1066" t="s">
        <v>2372</v>
      </c>
      <c r="I47" s="1069" t="s">
        <v>272</v>
      </c>
      <c r="J47" s="1070"/>
      <c r="K47" s="2051">
        <v>548982730</v>
      </c>
      <c r="L47" s="1234">
        <f>K47*EF_CO2_ElectTDL_DCI*ConFact_0.001</f>
        <v>10908.286845099999</v>
      </c>
      <c r="M47" s="1234">
        <f>K47*EF_CH4_ElectTDL_DCI*ConFact_0.001</f>
        <v>32.938963799999996</v>
      </c>
      <c r="N47" s="1234">
        <f>K47*EF_N2O_ElectTDL_DCI*ConFact_0.001</f>
        <v>65.877927599999992</v>
      </c>
      <c r="O47" s="2042"/>
      <c r="P47" s="1241">
        <f>SUM(L47:N47)</f>
        <v>11007.103736499999</v>
      </c>
      <c r="Q47" s="1748"/>
      <c r="V47" s="1737"/>
      <c r="W47" s="1737"/>
      <c r="X47" s="1737"/>
      <c r="Y47" s="1737"/>
      <c r="Z47" s="1737"/>
      <c r="AA47" s="1737"/>
      <c r="AB47" s="1737"/>
      <c r="AC47" s="1737"/>
      <c r="AD47" s="1737"/>
      <c r="AE47" s="1737"/>
      <c r="AF47" s="1737"/>
      <c r="AG47" s="1737"/>
      <c r="AH47" s="1737"/>
      <c r="AI47" s="1737"/>
      <c r="AJ47" s="1737"/>
      <c r="AK47" s="1737"/>
      <c r="AL47" s="1737"/>
      <c r="AM47" s="1737"/>
      <c r="AN47" s="1737"/>
      <c r="AO47" s="1737"/>
    </row>
    <row r="48" spans="2:41" ht="13.15" x14ac:dyDescent="0.4">
      <c r="J48" s="1749"/>
      <c r="N48" s="1737"/>
      <c r="O48" s="1750"/>
      <c r="P48" s="1737"/>
      <c r="V48" s="1737"/>
      <c r="W48" s="1737"/>
      <c r="X48" s="1737"/>
      <c r="Y48" s="1737"/>
      <c r="Z48" s="1737"/>
      <c r="AA48" s="1737"/>
      <c r="AB48" s="1737"/>
      <c r="AC48" s="1737"/>
      <c r="AD48" s="1737"/>
      <c r="AE48" s="1737"/>
      <c r="AF48" s="1737"/>
      <c r="AG48" s="1737"/>
      <c r="AH48" s="1737"/>
      <c r="AI48" s="1737"/>
      <c r="AJ48" s="1737"/>
      <c r="AK48" s="1737"/>
      <c r="AL48" s="1737"/>
      <c r="AM48" s="1737"/>
      <c r="AN48" s="1737"/>
      <c r="AO48" s="1737"/>
    </row>
    <row r="49" spans="2:41" ht="13.15" x14ac:dyDescent="0.4">
      <c r="D49" s="1746"/>
      <c r="E49" s="1746"/>
      <c r="F49" s="1746"/>
      <c r="G49" s="1746"/>
      <c r="H49" s="1746"/>
      <c r="I49" s="1746"/>
      <c r="J49" s="1752"/>
      <c r="K49" s="1746"/>
      <c r="N49" s="1737"/>
      <c r="O49" s="1750"/>
      <c r="P49" s="1737"/>
      <c r="V49" s="1737"/>
      <c r="W49" s="1737"/>
      <c r="X49" s="1737"/>
      <c r="Y49" s="1737"/>
      <c r="Z49" s="1737"/>
      <c r="AA49" s="1737"/>
      <c r="AB49" s="1737"/>
      <c r="AC49" s="1737"/>
      <c r="AD49" s="1737"/>
      <c r="AE49" s="1737"/>
      <c r="AF49" s="1737"/>
      <c r="AG49" s="1737"/>
      <c r="AH49" s="1737"/>
      <c r="AI49" s="1737"/>
      <c r="AJ49" s="1737"/>
      <c r="AK49" s="1737"/>
      <c r="AL49" s="1737"/>
      <c r="AM49" s="1737"/>
      <c r="AN49" s="1737"/>
      <c r="AO49" s="1737"/>
    </row>
    <row r="50" spans="2:41" ht="13.15" x14ac:dyDescent="0.4">
      <c r="J50" s="1749"/>
      <c r="N50" s="1737"/>
      <c r="O50" s="1750"/>
      <c r="P50" s="1737"/>
      <c r="V50" s="1737"/>
      <c r="W50" s="1737"/>
      <c r="X50" s="1737"/>
      <c r="Y50" s="1737"/>
      <c r="Z50" s="1737"/>
      <c r="AA50" s="1737"/>
      <c r="AB50" s="1737"/>
      <c r="AC50" s="1737"/>
      <c r="AD50" s="1737"/>
      <c r="AE50" s="1737"/>
      <c r="AF50" s="1737"/>
      <c r="AG50" s="1737"/>
      <c r="AH50" s="1737"/>
      <c r="AI50" s="1737"/>
      <c r="AJ50" s="1737"/>
      <c r="AK50" s="1737"/>
      <c r="AL50" s="1737"/>
      <c r="AM50" s="1737"/>
      <c r="AN50" s="1737"/>
      <c r="AO50" s="1737"/>
    </row>
    <row r="51" spans="2:41" ht="13.5" thickBot="1" x14ac:dyDescent="0.45">
      <c r="B51" s="1741"/>
      <c r="J51" s="1749"/>
      <c r="N51" s="1737"/>
      <c r="O51" s="1750"/>
      <c r="P51" s="1737"/>
      <c r="V51" s="1737"/>
      <c r="W51" s="1737"/>
      <c r="X51" s="1737"/>
      <c r="Y51" s="1737"/>
      <c r="Z51" s="1737"/>
      <c r="AA51" s="1737"/>
      <c r="AB51" s="1737"/>
      <c r="AC51" s="1737"/>
      <c r="AD51" s="1737"/>
      <c r="AE51" s="1737"/>
      <c r="AF51" s="1737"/>
      <c r="AG51" s="1737"/>
      <c r="AH51" s="1737"/>
      <c r="AI51" s="1737"/>
      <c r="AJ51" s="1737"/>
      <c r="AK51" s="1737"/>
      <c r="AL51" s="1737"/>
      <c r="AM51" s="1737"/>
      <c r="AN51" s="1737"/>
      <c r="AO51" s="1737"/>
    </row>
    <row r="52" spans="2:41" ht="15" thickBot="1" x14ac:dyDescent="0.55000000000000004">
      <c r="B52" s="251" t="s">
        <v>1274</v>
      </c>
      <c r="C52" s="677"/>
      <c r="D52" s="263"/>
      <c r="E52" s="245"/>
      <c r="F52" s="245"/>
      <c r="G52" s="245"/>
      <c r="H52" s="245"/>
      <c r="I52" s="246"/>
      <c r="J52" s="258"/>
      <c r="K52" s="245"/>
      <c r="L52" s="252"/>
      <c r="M52" s="248" t="s">
        <v>881</v>
      </c>
      <c r="N52" s="252"/>
      <c r="O52" s="252"/>
      <c r="P52" s="253"/>
      <c r="R52" s="1737"/>
      <c r="V52" s="1737"/>
      <c r="W52" s="1737"/>
      <c r="X52" s="1737"/>
      <c r="Y52" s="1737"/>
      <c r="Z52" s="1737"/>
      <c r="AA52" s="1737"/>
      <c r="AB52" s="1737"/>
      <c r="AC52" s="1737"/>
      <c r="AD52" s="1737"/>
      <c r="AE52" s="1737"/>
      <c r="AF52" s="1737"/>
      <c r="AG52" s="1737"/>
      <c r="AH52" s="1737"/>
      <c r="AI52" s="1737"/>
      <c r="AJ52" s="1737"/>
      <c r="AK52" s="1737"/>
      <c r="AL52" s="1737"/>
      <c r="AM52" s="1737"/>
      <c r="AN52" s="1737"/>
      <c r="AO52" s="1737"/>
    </row>
    <row r="53" spans="2:41" ht="39.75" thickBot="1" x14ac:dyDescent="0.45">
      <c r="B53" s="678" t="s">
        <v>1271</v>
      </c>
      <c r="C53" s="269" t="s">
        <v>1270</v>
      </c>
      <c r="D53" s="617" t="s">
        <v>521</v>
      </c>
      <c r="E53" s="618" t="s">
        <v>522</v>
      </c>
      <c r="F53" s="618" t="s">
        <v>1280</v>
      </c>
      <c r="G53" s="618" t="s">
        <v>1278</v>
      </c>
      <c r="H53" s="618" t="s">
        <v>803</v>
      </c>
      <c r="I53" s="268" t="s">
        <v>574</v>
      </c>
      <c r="J53" s="269" t="s">
        <v>584</v>
      </c>
      <c r="K53" s="268" t="s">
        <v>1079</v>
      </c>
      <c r="L53" s="260" t="s">
        <v>798</v>
      </c>
      <c r="M53" s="260" t="s">
        <v>799</v>
      </c>
      <c r="N53" s="260" t="s">
        <v>800</v>
      </c>
      <c r="O53" s="260" t="s">
        <v>801</v>
      </c>
      <c r="P53" s="261" t="s">
        <v>802</v>
      </c>
      <c r="R53" s="2184"/>
      <c r="S53" s="1747"/>
      <c r="V53" s="1737"/>
      <c r="W53" s="1737"/>
      <c r="X53" s="1737"/>
      <c r="Y53" s="1737"/>
      <c r="Z53" s="1737"/>
      <c r="AA53" s="1737"/>
      <c r="AB53" s="1737"/>
      <c r="AC53" s="1737"/>
      <c r="AD53" s="1737"/>
      <c r="AE53" s="1737"/>
      <c r="AF53" s="1737"/>
      <c r="AG53" s="1737"/>
      <c r="AH53" s="1737"/>
      <c r="AI53" s="1737"/>
      <c r="AJ53" s="1737"/>
      <c r="AK53" s="1737"/>
      <c r="AL53" s="1737"/>
      <c r="AM53" s="1737"/>
      <c r="AN53" s="1737"/>
      <c r="AO53" s="1737"/>
    </row>
    <row r="54" spans="2:41" ht="14.25" x14ac:dyDescent="0.45">
      <c r="B54" s="1036" t="s">
        <v>1279</v>
      </c>
      <c r="C54" s="1038" t="s">
        <v>1186</v>
      </c>
      <c r="D54" s="1038" t="s">
        <v>1214</v>
      </c>
      <c r="E54" s="1038" t="s">
        <v>563</v>
      </c>
      <c r="F54" s="1038" t="s">
        <v>352</v>
      </c>
      <c r="G54" s="1038" t="s">
        <v>1311</v>
      </c>
      <c r="H54" s="1098"/>
      <c r="I54" s="1038" t="s">
        <v>321</v>
      </c>
      <c r="J54" s="1248"/>
      <c r="K54" s="1124"/>
      <c r="L54" s="1220">
        <v>437790.31583466701</v>
      </c>
      <c r="M54" s="1090">
        <f>8.017544346*GWP_CH4</f>
        <v>200.43860864999999</v>
      </c>
      <c r="N54" s="1090">
        <f>0.834674188*GWP_N2O</f>
        <v>248.73290802400001</v>
      </c>
      <c r="O54" s="1134"/>
      <c r="P54" s="1239">
        <f>SUM(L54:N54)</f>
        <v>438239.487351341</v>
      </c>
      <c r="R54" s="1737"/>
      <c r="V54" s="1737"/>
      <c r="W54" s="1737"/>
      <c r="X54" s="1737"/>
      <c r="Y54" s="1737"/>
      <c r="Z54" s="1737"/>
      <c r="AA54" s="1737"/>
      <c r="AB54" s="1737"/>
      <c r="AC54" s="1737"/>
      <c r="AD54" s="1737"/>
      <c r="AE54" s="1737"/>
      <c r="AF54" s="1737"/>
      <c r="AG54" s="1737"/>
      <c r="AH54" s="1737"/>
      <c r="AI54" s="1737"/>
      <c r="AJ54" s="1737"/>
      <c r="AK54" s="1737"/>
      <c r="AL54" s="1737"/>
      <c r="AM54" s="1737"/>
      <c r="AN54" s="1737"/>
      <c r="AO54" s="1737"/>
    </row>
    <row r="55" spans="2:41" ht="14.25" x14ac:dyDescent="0.45">
      <c r="B55" s="1043" t="s">
        <v>1279</v>
      </c>
      <c r="C55" s="1045" t="s">
        <v>1186</v>
      </c>
      <c r="D55" s="1045" t="s">
        <v>1214</v>
      </c>
      <c r="E55" s="1045" t="s">
        <v>563</v>
      </c>
      <c r="F55" s="1045" t="s">
        <v>352</v>
      </c>
      <c r="G55" s="1045" t="s">
        <v>1311</v>
      </c>
      <c r="H55" s="1098"/>
      <c r="I55" s="1045" t="s">
        <v>321</v>
      </c>
      <c r="J55" s="1250"/>
      <c r="K55" s="1140"/>
      <c r="L55" s="1222">
        <v>24930.025607006701</v>
      </c>
      <c r="M55" s="1223">
        <f>0.974370862*GWP_CH4</f>
        <v>24.359271549999999</v>
      </c>
      <c r="N55" s="1223">
        <f>0.047873637*GWP_N2O</f>
        <v>14.266343825999998</v>
      </c>
      <c r="O55" s="1136"/>
      <c r="P55" s="1240">
        <f>SUM(L55:N55)</f>
        <v>24968.651222382701</v>
      </c>
      <c r="R55" s="1737"/>
      <c r="V55" s="1737"/>
      <c r="W55" s="1737"/>
      <c r="X55" s="1737"/>
      <c r="Y55" s="1737"/>
      <c r="Z55" s="1737"/>
      <c r="AA55" s="1737"/>
      <c r="AB55" s="1737"/>
      <c r="AC55" s="1737"/>
      <c r="AD55" s="1737"/>
      <c r="AE55" s="1737"/>
      <c r="AF55" s="1737"/>
      <c r="AG55" s="1737"/>
      <c r="AH55" s="1737"/>
      <c r="AI55" s="1737"/>
      <c r="AJ55" s="1737"/>
      <c r="AK55" s="1737"/>
      <c r="AL55" s="1737"/>
      <c r="AM55" s="1737"/>
      <c r="AN55" s="1737"/>
      <c r="AO55" s="1737"/>
    </row>
    <row r="56" spans="2:41" ht="26.25" x14ac:dyDescent="0.45">
      <c r="B56" s="1043" t="s">
        <v>1279</v>
      </c>
      <c r="C56" s="1045" t="s">
        <v>1186</v>
      </c>
      <c r="D56" s="1045" t="s">
        <v>1214</v>
      </c>
      <c r="E56" s="1045" t="s">
        <v>563</v>
      </c>
      <c r="F56" s="1045" t="s">
        <v>352</v>
      </c>
      <c r="G56" s="1045" t="s">
        <v>1311</v>
      </c>
      <c r="H56" s="1063" t="s">
        <v>1672</v>
      </c>
      <c r="I56" s="1045" t="s">
        <v>321</v>
      </c>
      <c r="J56" s="1250"/>
      <c r="K56" s="1140"/>
      <c r="L56" s="2122">
        <v>8404.909091333333</v>
      </c>
      <c r="M56" s="2122">
        <f>10.108006912*GWP_CH4</f>
        <v>252.70017280000002</v>
      </c>
      <c r="N56" s="2122">
        <f>8.976288248*GWP_N2O</f>
        <v>2674.9338979039999</v>
      </c>
      <c r="O56" s="1136"/>
      <c r="P56" s="1240">
        <f t="shared" ref="P56:P58" si="2">SUM(L56:N56)</f>
        <v>11332.543162037333</v>
      </c>
      <c r="Q56" s="2059"/>
      <c r="R56" s="1737"/>
      <c r="V56" s="1737"/>
      <c r="W56" s="1737"/>
      <c r="X56" s="1737"/>
      <c r="Y56" s="1737"/>
      <c r="Z56" s="1737"/>
      <c r="AA56" s="1737"/>
      <c r="AB56" s="1737"/>
      <c r="AC56" s="1737"/>
      <c r="AD56" s="1737"/>
      <c r="AE56" s="1737"/>
      <c r="AF56" s="1737"/>
      <c r="AG56" s="1737"/>
      <c r="AH56" s="1737"/>
      <c r="AI56" s="1737"/>
      <c r="AJ56" s="1737"/>
      <c r="AK56" s="1737"/>
      <c r="AL56" s="1737"/>
      <c r="AM56" s="1737"/>
      <c r="AN56" s="1737"/>
      <c r="AO56" s="1737"/>
    </row>
    <row r="57" spans="2:41" ht="25.5" x14ac:dyDescent="0.35">
      <c r="B57" s="1043" t="s">
        <v>1279</v>
      </c>
      <c r="C57" s="1045" t="s">
        <v>1186</v>
      </c>
      <c r="D57" s="1045" t="s">
        <v>1214</v>
      </c>
      <c r="E57" s="1045" t="s">
        <v>563</v>
      </c>
      <c r="F57" s="1045" t="s">
        <v>352</v>
      </c>
      <c r="G57" s="1045" t="s">
        <v>1311</v>
      </c>
      <c r="H57" s="1063" t="s">
        <v>44</v>
      </c>
      <c r="I57" s="1045" t="s">
        <v>321</v>
      </c>
      <c r="J57" s="1250"/>
      <c r="K57" s="1050">
        <v>1821218.75</v>
      </c>
      <c r="L57" s="1222">
        <v>578334.36396145739</v>
      </c>
      <c r="M57" s="1223">
        <f>K57*EF_CH4_Incinaration*ConFact_g_to_tonnes*GWP_CH4</f>
        <v>10790.72109375</v>
      </c>
      <c r="N57" s="1223">
        <f>K57*EF_N2O_Incineration*ConFact_g_to_tonnes*GWP_N2O</f>
        <v>32563.391249999997</v>
      </c>
      <c r="O57" s="1291">
        <v>1174072.6113574791</v>
      </c>
      <c r="P57" s="1240">
        <f t="shared" si="2"/>
        <v>621688.47630520735</v>
      </c>
      <c r="V57" s="1737"/>
      <c r="W57" s="1737"/>
      <c r="X57" s="1737"/>
      <c r="Y57" s="1737"/>
      <c r="Z57" s="1737"/>
      <c r="AA57" s="1737"/>
      <c r="AB57" s="1737"/>
      <c r="AC57" s="1737"/>
      <c r="AD57" s="1737"/>
      <c r="AE57" s="1737"/>
      <c r="AF57" s="1737"/>
      <c r="AG57" s="1737"/>
      <c r="AH57" s="1737"/>
      <c r="AI57" s="1737"/>
      <c r="AJ57" s="1737"/>
      <c r="AK57" s="1737"/>
      <c r="AL57" s="1737"/>
      <c r="AM57" s="1737"/>
      <c r="AN57" s="1737"/>
      <c r="AO57" s="1737"/>
    </row>
    <row r="58" spans="2:41" ht="25.5" hidden="1" x14ac:dyDescent="0.35">
      <c r="B58" s="1282" t="s">
        <v>1279</v>
      </c>
      <c r="C58" s="1283" t="s">
        <v>1186</v>
      </c>
      <c r="D58" s="1283" t="s">
        <v>1214</v>
      </c>
      <c r="E58" s="1283" t="s">
        <v>563</v>
      </c>
      <c r="F58" s="1283" t="s">
        <v>352</v>
      </c>
      <c r="G58" s="1283" t="s">
        <v>1311</v>
      </c>
      <c r="H58" s="1284" t="s">
        <v>44</v>
      </c>
      <c r="I58" s="1283" t="s">
        <v>226</v>
      </c>
      <c r="J58" s="1285"/>
      <c r="K58" s="1286">
        <v>898535.42200000002</v>
      </c>
      <c r="L58" s="1287">
        <v>285333.05610828445</v>
      </c>
      <c r="M58" s="1288">
        <f>K58*EF_CH4_Incinaration*ConFact_g_to_tonnes*GWP_CH4</f>
        <v>5323.8223753499997</v>
      </c>
      <c r="N58" s="1288">
        <f>K58*EF_N2O_Incineration*ConFact_g_to_tonnes*GWP_N2O</f>
        <v>16065.81334536</v>
      </c>
      <c r="O58" s="1289">
        <v>579252.67313700484</v>
      </c>
      <c r="P58" s="1290">
        <f t="shared" si="2"/>
        <v>306722.69182899443</v>
      </c>
      <c r="V58" s="1737"/>
      <c r="W58" s="1737"/>
      <c r="X58" s="1737"/>
      <c r="Y58" s="1737"/>
      <c r="Z58" s="1737"/>
      <c r="AA58" s="1737"/>
      <c r="AB58" s="1737"/>
      <c r="AC58" s="1737"/>
      <c r="AD58" s="1737"/>
      <c r="AE58" s="1737"/>
      <c r="AF58" s="1737"/>
      <c r="AG58" s="1737"/>
      <c r="AH58" s="1737"/>
      <c r="AI58" s="1737"/>
      <c r="AJ58" s="1737"/>
      <c r="AK58" s="1737"/>
      <c r="AL58" s="1737"/>
      <c r="AM58" s="1737"/>
      <c r="AN58" s="1737"/>
      <c r="AO58" s="1737"/>
    </row>
    <row r="59" spans="2:41" ht="14.65" thickBot="1" x14ac:dyDescent="0.5">
      <c r="B59" s="1079" t="s">
        <v>1279</v>
      </c>
      <c r="C59" s="1081" t="s">
        <v>1186</v>
      </c>
      <c r="D59" s="1081" t="s">
        <v>1214</v>
      </c>
      <c r="E59" s="1081" t="s">
        <v>563</v>
      </c>
      <c r="F59" s="1081" t="s">
        <v>352</v>
      </c>
      <c r="G59" s="1081" t="s">
        <v>1311</v>
      </c>
      <c r="H59" s="1253" t="s">
        <v>24</v>
      </c>
      <c r="I59" s="1081" t="s">
        <v>321</v>
      </c>
      <c r="J59" s="1255"/>
      <c r="K59" s="1126"/>
      <c r="L59" s="1292">
        <v>43258.64</v>
      </c>
      <c r="M59" s="1100"/>
      <c r="N59" s="1092">
        <f>67.68*GWP_N2O</f>
        <v>20168.640000000003</v>
      </c>
      <c r="O59" s="1138"/>
      <c r="P59" s="1293">
        <f>SUM(L59:N59)</f>
        <v>63427.28</v>
      </c>
      <c r="V59" s="1737"/>
      <c r="W59" s="1737"/>
      <c r="X59" s="1737"/>
      <c r="Y59" s="1737"/>
      <c r="Z59" s="1737"/>
      <c r="AA59" s="1737"/>
      <c r="AB59" s="1737"/>
      <c r="AC59" s="1737"/>
      <c r="AD59" s="1737"/>
      <c r="AE59" s="1737"/>
      <c r="AF59" s="1737"/>
      <c r="AG59" s="1737"/>
      <c r="AH59" s="1737"/>
      <c r="AI59" s="1737"/>
      <c r="AJ59" s="1737"/>
      <c r="AK59" s="1737"/>
      <c r="AL59" s="1737"/>
      <c r="AM59" s="1737"/>
      <c r="AN59" s="1737"/>
      <c r="AO59" s="1737"/>
    </row>
    <row r="60" spans="2:41" ht="13.15" x14ac:dyDescent="0.4">
      <c r="D60" s="1746"/>
      <c r="E60" s="1746"/>
      <c r="F60" s="1746"/>
      <c r="G60" s="1746"/>
      <c r="H60" s="1746"/>
      <c r="I60" s="1746"/>
      <c r="J60" s="1752"/>
      <c r="K60" s="1746"/>
      <c r="N60" s="1737"/>
      <c r="O60" s="1750"/>
      <c r="P60" s="1737"/>
      <c r="V60" s="1737"/>
      <c r="W60" s="1737"/>
      <c r="X60" s="1737"/>
      <c r="Y60" s="1737"/>
      <c r="Z60" s="1737"/>
      <c r="AA60" s="1737"/>
      <c r="AB60" s="1737"/>
      <c r="AC60" s="1737"/>
      <c r="AD60" s="1737"/>
      <c r="AE60" s="1737"/>
      <c r="AF60" s="1737"/>
      <c r="AG60" s="1737"/>
      <c r="AH60" s="1737"/>
      <c r="AI60" s="1737"/>
      <c r="AJ60" s="1737"/>
      <c r="AK60" s="1737"/>
      <c r="AL60" s="1737"/>
      <c r="AM60" s="1737"/>
      <c r="AN60" s="1737"/>
      <c r="AO60" s="1737"/>
    </row>
    <row r="61" spans="2:41" ht="13.15" x14ac:dyDescent="0.4">
      <c r="J61" s="1749"/>
      <c r="N61" s="1737"/>
      <c r="O61" s="1750"/>
      <c r="P61" s="1751"/>
      <c r="V61" s="1737"/>
      <c r="W61" s="1737"/>
      <c r="X61" s="1737"/>
      <c r="Y61" s="1737"/>
      <c r="Z61" s="1737"/>
      <c r="AA61" s="1737"/>
      <c r="AB61" s="1737"/>
      <c r="AC61" s="1737"/>
      <c r="AD61" s="1737"/>
      <c r="AE61" s="1737"/>
      <c r="AF61" s="1737"/>
      <c r="AG61" s="1737"/>
      <c r="AH61" s="1737"/>
      <c r="AI61" s="1737"/>
      <c r="AJ61" s="1737"/>
      <c r="AK61" s="1737"/>
      <c r="AL61" s="1737"/>
      <c r="AM61" s="1737"/>
      <c r="AN61" s="1737"/>
      <c r="AO61" s="1737"/>
    </row>
    <row r="62" spans="2:41" ht="13.15" x14ac:dyDescent="0.4">
      <c r="J62" s="1749"/>
      <c r="N62" s="1737"/>
      <c r="O62" s="1750"/>
      <c r="P62" s="1737"/>
      <c r="V62" s="1737"/>
      <c r="W62" s="1737"/>
      <c r="X62" s="1737"/>
      <c r="Y62" s="1737"/>
      <c r="Z62" s="1737"/>
      <c r="AA62" s="1737"/>
      <c r="AB62" s="1737"/>
      <c r="AC62" s="1737"/>
      <c r="AD62" s="1737"/>
      <c r="AE62" s="1737"/>
      <c r="AF62" s="1737"/>
      <c r="AG62" s="1737"/>
      <c r="AH62" s="1737"/>
      <c r="AI62" s="1737"/>
      <c r="AJ62" s="1737"/>
      <c r="AK62" s="1737"/>
      <c r="AL62" s="1737"/>
      <c r="AM62" s="1737"/>
      <c r="AN62" s="1737"/>
      <c r="AO62" s="1737"/>
    </row>
    <row r="63" spans="2:41" ht="13.5" thickBot="1" x14ac:dyDescent="0.45">
      <c r="B63" s="1741"/>
      <c r="J63" s="1749"/>
      <c r="N63" s="1737"/>
      <c r="O63" s="1750"/>
      <c r="P63" s="1737"/>
      <c r="V63" s="1737"/>
      <c r="W63" s="1737"/>
      <c r="X63" s="1737"/>
      <c r="Y63" s="1737"/>
      <c r="Z63" s="1737"/>
      <c r="AA63" s="1737"/>
      <c r="AB63" s="1737"/>
      <c r="AC63" s="1737"/>
      <c r="AD63" s="1737"/>
      <c r="AE63" s="1737"/>
      <c r="AF63" s="1737"/>
      <c r="AG63" s="1737"/>
      <c r="AH63" s="1737"/>
      <c r="AI63" s="1737"/>
      <c r="AJ63" s="1737"/>
      <c r="AK63" s="1737"/>
      <c r="AL63" s="1737"/>
      <c r="AM63" s="1737"/>
      <c r="AN63" s="1737"/>
      <c r="AO63" s="1737"/>
    </row>
    <row r="64" spans="2:41" ht="15" thickBot="1" x14ac:dyDescent="0.55000000000000004">
      <c r="B64" s="251" t="s">
        <v>1275</v>
      </c>
      <c r="C64" s="677"/>
      <c r="D64" s="263"/>
      <c r="E64" s="245"/>
      <c r="F64" s="245"/>
      <c r="G64" s="245"/>
      <c r="H64" s="245"/>
      <c r="I64" s="246"/>
      <c r="J64" s="258"/>
      <c r="K64" s="245"/>
      <c r="L64" s="252"/>
      <c r="M64" s="248" t="s">
        <v>881</v>
      </c>
      <c r="N64" s="252"/>
      <c r="O64" s="252"/>
      <c r="P64" s="253"/>
      <c r="V64" s="1737"/>
      <c r="W64" s="1737"/>
      <c r="X64" s="1737"/>
      <c r="Y64" s="1737"/>
      <c r="Z64" s="1737"/>
      <c r="AA64" s="1737"/>
      <c r="AB64" s="1737"/>
      <c r="AC64" s="1737"/>
      <c r="AD64" s="1737"/>
      <c r="AE64" s="1737"/>
      <c r="AF64" s="1737"/>
      <c r="AG64" s="1737"/>
      <c r="AH64" s="1737"/>
      <c r="AI64" s="1737"/>
      <c r="AJ64" s="1737"/>
      <c r="AK64" s="1737"/>
      <c r="AL64" s="1737"/>
      <c r="AM64" s="1737"/>
      <c r="AN64" s="1737"/>
      <c r="AO64" s="1737"/>
    </row>
    <row r="65" spans="2:41" ht="39.75" thickBot="1" x14ac:dyDescent="0.45">
      <c r="B65" s="678" t="s">
        <v>1271</v>
      </c>
      <c r="C65" s="269" t="s">
        <v>1270</v>
      </c>
      <c r="D65" s="617" t="s">
        <v>521</v>
      </c>
      <c r="E65" s="618" t="s">
        <v>522</v>
      </c>
      <c r="F65" s="618" t="s">
        <v>1280</v>
      </c>
      <c r="G65" s="618" t="s">
        <v>1278</v>
      </c>
      <c r="H65" s="618" t="s">
        <v>803</v>
      </c>
      <c r="I65" s="268" t="s">
        <v>574</v>
      </c>
      <c r="J65" s="269" t="s">
        <v>584</v>
      </c>
      <c r="K65" s="268" t="s">
        <v>804</v>
      </c>
      <c r="L65" s="260" t="s">
        <v>798</v>
      </c>
      <c r="M65" s="260" t="s">
        <v>799</v>
      </c>
      <c r="N65" s="260" t="s">
        <v>800</v>
      </c>
      <c r="O65" s="260" t="s">
        <v>801</v>
      </c>
      <c r="P65" s="261" t="s">
        <v>802</v>
      </c>
      <c r="V65" s="1737"/>
      <c r="W65" s="1737"/>
      <c r="X65" s="1737"/>
      <c r="Y65" s="1737"/>
      <c r="Z65" s="1737"/>
      <c r="AA65" s="1737"/>
      <c r="AB65" s="1737"/>
      <c r="AC65" s="1737"/>
      <c r="AD65" s="1737"/>
      <c r="AE65" s="1737"/>
      <c r="AF65" s="1737"/>
      <c r="AG65" s="1737"/>
      <c r="AH65" s="1737"/>
      <c r="AI65" s="1737"/>
      <c r="AJ65" s="1737"/>
      <c r="AK65" s="1737"/>
      <c r="AL65" s="1737"/>
      <c r="AM65" s="1737"/>
      <c r="AN65" s="1737"/>
      <c r="AO65" s="1737"/>
    </row>
    <row r="66" spans="2:41" ht="26.25" x14ac:dyDescent="0.45">
      <c r="B66" s="1036" t="s">
        <v>1279</v>
      </c>
      <c r="C66" s="1038" t="s">
        <v>1187</v>
      </c>
      <c r="D66" s="1038" t="s">
        <v>1215</v>
      </c>
      <c r="E66" s="1038" t="s">
        <v>564</v>
      </c>
      <c r="F66" s="1038" t="s">
        <v>1321</v>
      </c>
      <c r="G66" s="1038" t="s">
        <v>1898</v>
      </c>
      <c r="H66" s="1235" t="s">
        <v>67</v>
      </c>
      <c r="I66" s="1036" t="s">
        <v>321</v>
      </c>
      <c r="J66" s="1157"/>
      <c r="K66" s="1236">
        <f>K246*ConvFact_ttoe_to_kWh</f>
        <v>35787128.766634196</v>
      </c>
      <c r="L66" s="1220">
        <f>K66*EF_CO2_GasOil*ConFact_0.001</f>
        <v>9075.2579839307655</v>
      </c>
      <c r="M66" s="1090">
        <f>K66*EF_CH4_GasOil*ConFact_0.001</f>
        <v>9.304653479324891</v>
      </c>
      <c r="N66" s="1090">
        <f>K66*EF_N2O_GasOil*ConFact_0.001</f>
        <v>102.35118827257381</v>
      </c>
      <c r="O66" s="1134"/>
      <c r="P66" s="1239">
        <f>SUM(L66:N66)</f>
        <v>9186.9138256826645</v>
      </c>
      <c r="V66" s="1737"/>
      <c r="W66" s="1737"/>
      <c r="X66" s="1737"/>
      <c r="Y66" s="1737"/>
      <c r="Z66" s="1737"/>
      <c r="AA66" s="1737"/>
      <c r="AB66" s="1737"/>
      <c r="AC66" s="1737"/>
      <c r="AD66" s="1737"/>
      <c r="AE66" s="1737"/>
      <c r="AF66" s="1737"/>
      <c r="AG66" s="1737"/>
      <c r="AH66" s="1737"/>
      <c r="AI66" s="1737"/>
      <c r="AJ66" s="1737"/>
      <c r="AK66" s="1737"/>
      <c r="AL66" s="1737"/>
      <c r="AM66" s="1737"/>
      <c r="AN66" s="1737"/>
      <c r="AO66" s="1737"/>
    </row>
    <row r="67" spans="2:41" ht="26.25" x14ac:dyDescent="0.45">
      <c r="B67" s="1043" t="s">
        <v>1279</v>
      </c>
      <c r="C67" s="1045" t="s">
        <v>1187</v>
      </c>
      <c r="D67" s="1045" t="s">
        <v>1215</v>
      </c>
      <c r="E67" s="1045" t="s">
        <v>564</v>
      </c>
      <c r="F67" s="1045" t="s">
        <v>1321</v>
      </c>
      <c r="G67" s="1045" t="s">
        <v>1898</v>
      </c>
      <c r="H67" s="1237" t="s">
        <v>36</v>
      </c>
      <c r="I67" s="1043" t="s">
        <v>321</v>
      </c>
      <c r="J67" s="1158"/>
      <c r="K67" s="1238">
        <v>33955243.549999997</v>
      </c>
      <c r="L67" s="1222">
        <f>K67*EF_CO2_NatGas_DCI*ConFact_0.001</f>
        <v>6231.4662962959992</v>
      </c>
      <c r="M67" s="1223">
        <f>K67*EF_CH4_NatGas_DCI*ConFact_0.001</f>
        <v>8.4888108874999997</v>
      </c>
      <c r="N67" s="1223">
        <f>K67*EF_N2O_NatGas_DCI*ConFact_0.001</f>
        <v>3.395524355</v>
      </c>
      <c r="O67" s="1136"/>
      <c r="P67" s="1240">
        <f t="shared" ref="P67:P72" si="3">SUM(L67:N67)</f>
        <v>6243.3506315384993</v>
      </c>
      <c r="V67" s="1737"/>
      <c r="W67" s="1737"/>
      <c r="X67" s="1737"/>
      <c r="Y67" s="1737"/>
      <c r="Z67" s="1737"/>
      <c r="AA67" s="1737"/>
      <c r="AB67" s="1737"/>
      <c r="AC67" s="1737"/>
      <c r="AD67" s="1737"/>
      <c r="AE67" s="1737"/>
      <c r="AF67" s="1737"/>
      <c r="AG67" s="1737"/>
      <c r="AH67" s="1737"/>
      <c r="AI67" s="1737"/>
      <c r="AJ67" s="1737"/>
      <c r="AK67" s="1737"/>
      <c r="AL67" s="1737"/>
      <c r="AM67" s="1737"/>
      <c r="AN67" s="1737"/>
      <c r="AO67" s="1737"/>
    </row>
    <row r="68" spans="2:41" ht="26.25" x14ac:dyDescent="0.45">
      <c r="B68" s="1051" t="s">
        <v>1279</v>
      </c>
      <c r="C68" s="1053" t="s">
        <v>1187</v>
      </c>
      <c r="D68" s="1053" t="s">
        <v>1215</v>
      </c>
      <c r="E68" s="1053" t="s">
        <v>564</v>
      </c>
      <c r="F68" s="1053" t="s">
        <v>1321</v>
      </c>
      <c r="G68" s="1053" t="s">
        <v>1898</v>
      </c>
      <c r="H68" s="1226" t="s">
        <v>16</v>
      </c>
      <c r="I68" s="1051" t="s">
        <v>272</v>
      </c>
      <c r="J68" s="1228"/>
      <c r="K68" s="1231">
        <v>50310230.899999999</v>
      </c>
      <c r="L68" s="1175">
        <f>K68*EF_CO2_ElectGen_DCI*ConFact_0.001</f>
        <v>11623.675747136</v>
      </c>
      <c r="M68" s="1176">
        <f>K68*EF_CH4_ElectGen_DCI*ConFact_0.001</f>
        <v>36.223366247999998</v>
      </c>
      <c r="N68" s="1176">
        <f>K68*EF_N2O_ElectGen_DCI*ConFact_0.001</f>
        <v>69.428118642000001</v>
      </c>
      <c r="O68" s="1136"/>
      <c r="P68" s="1217">
        <f t="shared" si="3"/>
        <v>11729.327232025998</v>
      </c>
      <c r="V68" s="1737"/>
      <c r="W68" s="1737"/>
      <c r="X68" s="1737"/>
      <c r="Y68" s="1737"/>
      <c r="Z68" s="1737"/>
      <c r="AA68" s="1737"/>
      <c r="AB68" s="1737"/>
      <c r="AC68" s="1737"/>
      <c r="AD68" s="1737"/>
      <c r="AE68" s="1737"/>
      <c r="AF68" s="1737"/>
      <c r="AG68" s="1737"/>
      <c r="AH68" s="1737"/>
      <c r="AI68" s="1737"/>
      <c r="AJ68" s="1737"/>
      <c r="AK68" s="1737"/>
      <c r="AL68" s="1737"/>
      <c r="AM68" s="1737"/>
      <c r="AN68" s="1737"/>
      <c r="AO68" s="1737"/>
    </row>
    <row r="69" spans="2:41" ht="26.25" x14ac:dyDescent="0.45">
      <c r="B69" s="1051" t="s">
        <v>1279</v>
      </c>
      <c r="C69" s="1053" t="s">
        <v>1187</v>
      </c>
      <c r="D69" s="1053" t="s">
        <v>1215</v>
      </c>
      <c r="E69" s="1053" t="s">
        <v>564</v>
      </c>
      <c r="F69" s="1053" t="s">
        <v>1321</v>
      </c>
      <c r="G69" s="1053" t="s">
        <v>1898</v>
      </c>
      <c r="H69" s="1226" t="s">
        <v>2372</v>
      </c>
      <c r="I69" s="1051" t="s">
        <v>272</v>
      </c>
      <c r="J69" s="1228"/>
      <c r="K69" s="1231">
        <v>50310230.899999999</v>
      </c>
      <c r="L69" s="1175">
        <f>K69*EF_CO2_ElectTDL_DCI*ConFact_0.001</f>
        <v>999.66428798299989</v>
      </c>
      <c r="M69" s="1176">
        <f>K69*EF_CH4_ElectTDL_DCI*ConFact_0.001</f>
        <v>3.0186138540000003</v>
      </c>
      <c r="N69" s="1176">
        <f>K69*EF_N2O_ElectTDL_DCI*ConFact_0.001</f>
        <v>6.0372277080000005</v>
      </c>
      <c r="O69" s="1136"/>
      <c r="P69" s="1217">
        <f t="shared" si="3"/>
        <v>1008.720129545</v>
      </c>
      <c r="V69" s="1737"/>
      <c r="W69" s="1737"/>
      <c r="X69" s="1737"/>
      <c r="Y69" s="1737"/>
      <c r="Z69" s="1737"/>
      <c r="AA69" s="1737"/>
      <c r="AB69" s="1737"/>
      <c r="AC69" s="1737"/>
      <c r="AD69" s="1737"/>
      <c r="AE69" s="1737"/>
      <c r="AF69" s="1737"/>
      <c r="AG69" s="1737"/>
      <c r="AH69" s="1737"/>
      <c r="AI69" s="1737"/>
      <c r="AJ69" s="1737"/>
      <c r="AK69" s="1737"/>
      <c r="AL69" s="1737"/>
      <c r="AM69" s="1737"/>
      <c r="AN69" s="1737"/>
      <c r="AO69" s="1737"/>
    </row>
    <row r="70" spans="2:41" ht="26.25" x14ac:dyDescent="0.45">
      <c r="B70" s="1043" t="s">
        <v>1279</v>
      </c>
      <c r="C70" s="1045" t="s">
        <v>1187</v>
      </c>
      <c r="D70" s="1045" t="s">
        <v>1215</v>
      </c>
      <c r="E70" s="1045" t="s">
        <v>564</v>
      </c>
      <c r="F70" s="1045" t="s">
        <v>1899</v>
      </c>
      <c r="G70" s="1045" t="s">
        <v>1900</v>
      </c>
      <c r="H70" s="1237" t="s">
        <v>36</v>
      </c>
      <c r="I70" s="1043" t="s">
        <v>321</v>
      </c>
      <c r="J70" s="1158"/>
      <c r="K70" s="1238">
        <v>864982.88</v>
      </c>
      <c r="L70" s="1222">
        <f>K70*EF_CO2_NatGas_DCI*ConFact_0.001</f>
        <v>158.74165813760001</v>
      </c>
      <c r="M70" s="1223">
        <f>K70*EF_CH4_NatGas_DCI*ConFact_0.001</f>
        <v>0.21624572</v>
      </c>
      <c r="N70" s="1223">
        <f>K70*EF_N2O_NatGas_DCI*ConFact_0.001</f>
        <v>8.6498288000000007E-2</v>
      </c>
      <c r="O70" s="1136"/>
      <c r="P70" s="1240">
        <f t="shared" si="3"/>
        <v>159.0444021456</v>
      </c>
      <c r="V70" s="1737"/>
      <c r="W70" s="1737"/>
      <c r="X70" s="1737"/>
      <c r="Y70" s="1737"/>
      <c r="Z70" s="1737"/>
      <c r="AA70" s="1737"/>
      <c r="AB70" s="1737"/>
      <c r="AC70" s="1737"/>
      <c r="AD70" s="1737"/>
      <c r="AE70" s="1737"/>
      <c r="AF70" s="1737"/>
      <c r="AG70" s="1737"/>
      <c r="AH70" s="1737"/>
      <c r="AI70" s="1737"/>
      <c r="AJ70" s="1737"/>
      <c r="AK70" s="1737"/>
      <c r="AL70" s="1737"/>
      <c r="AM70" s="1737"/>
      <c r="AN70" s="1737"/>
      <c r="AO70" s="1737"/>
    </row>
    <row r="71" spans="2:41" ht="26.25" x14ac:dyDescent="0.45">
      <c r="B71" s="1051" t="s">
        <v>1279</v>
      </c>
      <c r="C71" s="1053" t="s">
        <v>1187</v>
      </c>
      <c r="D71" s="1053" t="s">
        <v>1215</v>
      </c>
      <c r="E71" s="1053" t="s">
        <v>564</v>
      </c>
      <c r="F71" s="1053" t="s">
        <v>1899</v>
      </c>
      <c r="G71" s="1053" t="s">
        <v>1900</v>
      </c>
      <c r="H71" s="1226" t="s">
        <v>16</v>
      </c>
      <c r="I71" s="1051" t="s">
        <v>272</v>
      </c>
      <c r="J71" s="1228"/>
      <c r="K71" s="1231">
        <v>82113.7</v>
      </c>
      <c r="L71" s="1175">
        <f>K71*EF_CO2_ElectGen_DCI*ConFact_0.001</f>
        <v>18.971549247999999</v>
      </c>
      <c r="M71" s="1176">
        <f>K71*EF_CH4_ElectGen_DCI*ConFact_0.001</f>
        <v>5.9121864000000003E-2</v>
      </c>
      <c r="N71" s="1176">
        <f>K71*EF_N2O_ElectGen_DCI*ConFact_0.001</f>
        <v>0.113316906</v>
      </c>
      <c r="O71" s="2100"/>
      <c r="P71" s="1217">
        <f>SUM(L71:N71)</f>
        <v>19.143988018000002</v>
      </c>
      <c r="V71" s="1737"/>
      <c r="W71" s="1737"/>
      <c r="X71" s="1737"/>
      <c r="Y71" s="1737"/>
      <c r="Z71" s="1737"/>
      <c r="AA71" s="1737"/>
      <c r="AB71" s="1737"/>
      <c r="AC71" s="1737"/>
      <c r="AD71" s="1737"/>
      <c r="AE71" s="1737"/>
      <c r="AF71" s="1737"/>
      <c r="AG71" s="1737"/>
      <c r="AH71" s="1737"/>
      <c r="AI71" s="1737"/>
      <c r="AJ71" s="1737"/>
      <c r="AK71" s="1737"/>
      <c r="AL71" s="1737"/>
      <c r="AM71" s="1737"/>
      <c r="AN71" s="1737"/>
      <c r="AO71" s="1737"/>
    </row>
    <row r="72" spans="2:41" ht="26.65" thickBot="1" x14ac:dyDescent="0.5">
      <c r="B72" s="1064" t="s">
        <v>1279</v>
      </c>
      <c r="C72" s="1066" t="s">
        <v>1187</v>
      </c>
      <c r="D72" s="1066" t="s">
        <v>1215</v>
      </c>
      <c r="E72" s="1066" t="s">
        <v>564</v>
      </c>
      <c r="F72" s="1066" t="s">
        <v>1899</v>
      </c>
      <c r="G72" s="1066" t="s">
        <v>1900</v>
      </c>
      <c r="H72" s="1227" t="s">
        <v>2372</v>
      </c>
      <c r="I72" s="1064" t="s">
        <v>272</v>
      </c>
      <c r="J72" s="1229"/>
      <c r="K72" s="1232">
        <v>82113.7</v>
      </c>
      <c r="L72" s="1233">
        <f>K72*EF_CO2_ElectTDL_DCI*ConFact_0.001</f>
        <v>1.6315992189999999</v>
      </c>
      <c r="M72" s="1234">
        <f>K72*EF_CH4_ElectTDL_DCI*ConFact_0.001</f>
        <v>4.926822E-3</v>
      </c>
      <c r="N72" s="1234">
        <f>K72*EF_N2O_ElectTDL_DCI*ConFact_0.001</f>
        <v>9.8536439999999999E-3</v>
      </c>
      <c r="O72" s="1138"/>
      <c r="P72" s="1241">
        <f t="shared" si="3"/>
        <v>1.6463796850000001</v>
      </c>
      <c r="V72" s="1737"/>
      <c r="W72" s="1737"/>
      <c r="X72" s="1737"/>
      <c r="Y72" s="1737"/>
      <c r="Z72" s="1737"/>
      <c r="AA72" s="1737"/>
      <c r="AB72" s="1737"/>
      <c r="AC72" s="1737"/>
      <c r="AD72" s="1737"/>
      <c r="AE72" s="1737"/>
      <c r="AF72" s="1737"/>
      <c r="AG72" s="1737"/>
      <c r="AH72" s="1737"/>
      <c r="AI72" s="1737"/>
      <c r="AJ72" s="1737"/>
      <c r="AK72" s="1737"/>
      <c r="AL72" s="1737"/>
      <c r="AM72" s="1737"/>
      <c r="AN72" s="1737"/>
      <c r="AO72" s="1737"/>
    </row>
    <row r="73" spans="2:41" ht="13.15" x14ac:dyDescent="0.4">
      <c r="D73" s="1753"/>
      <c r="E73" s="1753"/>
      <c r="F73" s="1753"/>
      <c r="G73" s="1753"/>
      <c r="H73" s="1753"/>
      <c r="I73" s="1753"/>
      <c r="J73" s="1754"/>
      <c r="K73" s="1753"/>
      <c r="L73" s="1737"/>
      <c r="N73" s="1737"/>
      <c r="O73" s="1750"/>
      <c r="P73" s="1751"/>
      <c r="V73" s="1737"/>
      <c r="W73" s="1737"/>
      <c r="X73" s="1737"/>
      <c r="Y73" s="1737"/>
      <c r="Z73" s="1737"/>
      <c r="AA73" s="1737"/>
      <c r="AB73" s="1737"/>
      <c r="AC73" s="1737"/>
      <c r="AD73" s="1737"/>
      <c r="AE73" s="1737"/>
      <c r="AF73" s="1737"/>
      <c r="AG73" s="1737"/>
      <c r="AH73" s="1737"/>
      <c r="AI73" s="1737"/>
      <c r="AJ73" s="1737"/>
      <c r="AK73" s="1737"/>
      <c r="AL73" s="1737"/>
      <c r="AM73" s="1737"/>
      <c r="AN73" s="1737"/>
      <c r="AO73" s="1737"/>
    </row>
    <row r="74" spans="2:41" ht="13.15" x14ac:dyDescent="0.4">
      <c r="D74" s="1737"/>
      <c r="E74" s="1737"/>
      <c r="F74" s="1737"/>
      <c r="G74" s="1737"/>
      <c r="H74" s="1737"/>
      <c r="I74" s="1737"/>
      <c r="J74" s="1755"/>
      <c r="K74" s="1791"/>
      <c r="L74" s="1737"/>
      <c r="N74" s="1737"/>
      <c r="O74" s="1750"/>
      <c r="P74" s="1737"/>
      <c r="V74" s="1737"/>
      <c r="W74" s="1737"/>
      <c r="X74" s="1737"/>
      <c r="Y74" s="1737"/>
      <c r="Z74" s="1737"/>
      <c r="AA74" s="1737"/>
      <c r="AB74" s="1737"/>
      <c r="AC74" s="1737"/>
      <c r="AD74" s="1737"/>
      <c r="AE74" s="1737"/>
      <c r="AF74" s="1737"/>
      <c r="AG74" s="1737"/>
      <c r="AH74" s="1737"/>
      <c r="AI74" s="1737"/>
      <c r="AJ74" s="1737"/>
      <c r="AK74" s="1737"/>
      <c r="AL74" s="1737"/>
      <c r="AM74" s="1737"/>
      <c r="AN74" s="1737"/>
      <c r="AO74" s="1737"/>
    </row>
    <row r="75" spans="2:41" ht="13.15" x14ac:dyDescent="0.4">
      <c r="D75" s="1737"/>
      <c r="E75" s="1737"/>
      <c r="F75" s="1737"/>
      <c r="G75" s="1737"/>
      <c r="H75" s="1737"/>
      <c r="I75" s="1737"/>
      <c r="J75" s="1755"/>
      <c r="K75" s="1737"/>
      <c r="L75" s="1737"/>
      <c r="N75" s="1737"/>
      <c r="O75" s="1750"/>
      <c r="P75" s="1737"/>
      <c r="V75" s="1737"/>
      <c r="W75" s="1737"/>
      <c r="X75" s="1737"/>
      <c r="Y75" s="1737"/>
      <c r="Z75" s="1737"/>
      <c r="AA75" s="1737"/>
      <c r="AB75" s="1737"/>
      <c r="AC75" s="1737"/>
      <c r="AD75" s="1737"/>
      <c r="AE75" s="1737"/>
      <c r="AF75" s="1737"/>
      <c r="AG75" s="1737"/>
      <c r="AH75" s="1737"/>
      <c r="AI75" s="1737"/>
      <c r="AJ75" s="1737"/>
      <c r="AK75" s="1737"/>
      <c r="AL75" s="1737"/>
      <c r="AM75" s="1737"/>
      <c r="AN75" s="1737"/>
      <c r="AO75" s="1737"/>
    </row>
    <row r="76" spans="2:41" ht="13.5" thickBot="1" x14ac:dyDescent="0.45">
      <c r="B76" s="1741"/>
      <c r="D76" s="1737"/>
      <c r="E76" s="1737"/>
      <c r="F76" s="1737"/>
      <c r="G76" s="1737"/>
      <c r="H76" s="1737"/>
      <c r="I76" s="1737"/>
      <c r="J76" s="1755"/>
      <c r="K76" s="1737"/>
      <c r="L76" s="1737"/>
      <c r="N76" s="1737"/>
      <c r="O76" s="1750"/>
      <c r="P76" s="1737"/>
    </row>
    <row r="77" spans="2:41" ht="15" thickBot="1" x14ac:dyDescent="0.55000000000000004">
      <c r="B77" s="251" t="s">
        <v>1276</v>
      </c>
      <c r="C77" s="675"/>
      <c r="D77" s="263"/>
      <c r="E77" s="245"/>
      <c r="F77" s="245"/>
      <c r="G77" s="245"/>
      <c r="H77" s="245"/>
      <c r="I77" s="246"/>
      <c r="J77" s="258"/>
      <c r="K77" s="245"/>
      <c r="L77" s="252"/>
      <c r="M77" s="2055" t="s">
        <v>881</v>
      </c>
      <c r="N77" s="2056"/>
      <c r="O77" s="252"/>
      <c r="P77" s="253"/>
    </row>
    <row r="78" spans="2:41" ht="39.75" thickBot="1" x14ac:dyDescent="0.45">
      <c r="B78" s="678" t="s">
        <v>1271</v>
      </c>
      <c r="C78" s="617" t="s">
        <v>1270</v>
      </c>
      <c r="D78" s="617" t="s">
        <v>521</v>
      </c>
      <c r="E78" s="618" t="s">
        <v>522</v>
      </c>
      <c r="F78" s="618" t="s">
        <v>1280</v>
      </c>
      <c r="G78" s="618" t="s">
        <v>1278</v>
      </c>
      <c r="H78" s="618" t="s">
        <v>803</v>
      </c>
      <c r="I78" s="268" t="s">
        <v>574</v>
      </c>
      <c r="J78" s="269" t="s">
        <v>584</v>
      </c>
      <c r="K78" s="268" t="s">
        <v>804</v>
      </c>
      <c r="L78" s="260" t="s">
        <v>798</v>
      </c>
      <c r="M78" s="2057" t="s">
        <v>799</v>
      </c>
      <c r="N78" s="2058" t="s">
        <v>800</v>
      </c>
      <c r="O78" s="260" t="s">
        <v>801</v>
      </c>
      <c r="P78" s="261" t="s">
        <v>802</v>
      </c>
    </row>
    <row r="79" spans="2:41" ht="14.25" x14ac:dyDescent="0.45">
      <c r="B79" s="1036" t="s">
        <v>1279</v>
      </c>
      <c r="C79" s="1038" t="s">
        <v>1188</v>
      </c>
      <c r="D79" s="1038" t="s">
        <v>526</v>
      </c>
      <c r="E79" s="1038" t="s">
        <v>565</v>
      </c>
      <c r="F79" s="1038" t="s">
        <v>1326</v>
      </c>
      <c r="G79" s="1074" t="s">
        <v>1320</v>
      </c>
      <c r="H79" s="1242"/>
      <c r="I79" s="1036" t="s">
        <v>321</v>
      </c>
      <c r="J79" s="1157"/>
      <c r="K79" s="1124"/>
      <c r="L79" s="1220">
        <v>22791.791000000001</v>
      </c>
      <c r="M79" s="1223">
        <f>7.294859173*GWP_CH4</f>
        <v>182.371479325</v>
      </c>
      <c r="N79" s="1223">
        <f>0.744224011*GWP_N2O</f>
        <v>221.77875527800001</v>
      </c>
      <c r="O79" s="1097"/>
      <c r="P79" s="1239">
        <f t="shared" ref="P79:P85" si="4">SUM(L79:N79)</f>
        <v>23195.941234603</v>
      </c>
      <c r="Q79" s="2060"/>
    </row>
    <row r="80" spans="2:41" ht="14.25" x14ac:dyDescent="0.45">
      <c r="B80" s="1043" t="s">
        <v>1279</v>
      </c>
      <c r="C80" s="1045" t="s">
        <v>1188</v>
      </c>
      <c r="D80" s="1045" t="s">
        <v>526</v>
      </c>
      <c r="E80" s="1045" t="s">
        <v>565</v>
      </c>
      <c r="F80" s="1045" t="s">
        <v>1901</v>
      </c>
      <c r="G80" s="1077" t="s">
        <v>1228</v>
      </c>
      <c r="H80" s="1059" t="s">
        <v>36</v>
      </c>
      <c r="I80" s="1043" t="s">
        <v>321</v>
      </c>
      <c r="J80" s="1158"/>
      <c r="K80" s="1050">
        <v>3157613006.5300002</v>
      </c>
      <c r="L80" s="1222">
        <f>K80*EF_CO2_NatGas_DCI*ConFact_0.001</f>
        <v>579485.13895838556</v>
      </c>
      <c r="M80" s="1223">
        <f>K80*EF_CH4_NatGas_DCI*ConFact_0.001</f>
        <v>789.40325163250009</v>
      </c>
      <c r="N80" s="1223">
        <f>K80*EF_N2O_NatGas_DCI*ConFact_0.001</f>
        <v>315.76130065300003</v>
      </c>
      <c r="O80" s="1098"/>
      <c r="P80" s="1240">
        <f t="shared" si="4"/>
        <v>580590.30351067102</v>
      </c>
    </row>
    <row r="81" spans="2:21" ht="14.25" x14ac:dyDescent="0.45">
      <c r="B81" s="1051" t="s">
        <v>1279</v>
      </c>
      <c r="C81" s="1053" t="s">
        <v>1188</v>
      </c>
      <c r="D81" s="1053" t="s">
        <v>526</v>
      </c>
      <c r="E81" s="1053" t="s">
        <v>565</v>
      </c>
      <c r="F81" s="1053" t="s">
        <v>1901</v>
      </c>
      <c r="G81" s="1072" t="s">
        <v>1228</v>
      </c>
      <c r="H81" s="1243" t="s">
        <v>16</v>
      </c>
      <c r="I81" s="1051" t="s">
        <v>272</v>
      </c>
      <c r="J81" s="1228"/>
      <c r="K81" s="1058">
        <v>4677955482.3100014</v>
      </c>
      <c r="L81" s="1175">
        <f>K81*EF_CO2_ElectGen_DCI*ConFact_0.001</f>
        <v>1080794.8346329026</v>
      </c>
      <c r="M81" s="1176">
        <f>K81*EF_CH4_ElectGen_DCI*ConFact_0.001</f>
        <v>3368.1279472632013</v>
      </c>
      <c r="N81" s="1176">
        <f>K81*EF_N2O_ElectGen_DCI*ConFact_0.001</f>
        <v>6455.5785655878017</v>
      </c>
      <c r="O81" s="1098"/>
      <c r="P81" s="1217">
        <f t="shared" si="4"/>
        <v>1090618.5411457536</v>
      </c>
    </row>
    <row r="82" spans="2:21" ht="14.25" x14ac:dyDescent="0.45">
      <c r="B82" s="1051" t="s">
        <v>1279</v>
      </c>
      <c r="C82" s="1053" t="s">
        <v>1188</v>
      </c>
      <c r="D82" s="1053" t="s">
        <v>526</v>
      </c>
      <c r="E82" s="1053" t="s">
        <v>565</v>
      </c>
      <c r="F82" s="1053" t="s">
        <v>1901</v>
      </c>
      <c r="G82" s="1072" t="s">
        <v>1228</v>
      </c>
      <c r="H82" s="1243" t="s">
        <v>2372</v>
      </c>
      <c r="I82" s="1051" t="s">
        <v>272</v>
      </c>
      <c r="J82" s="1228"/>
      <c r="K82" s="1058">
        <v>4677955482.3100014</v>
      </c>
      <c r="L82" s="1175">
        <f>K82*EF_CO2_ElectTDL_DCI*ConFact_0.001</f>
        <v>92950.975433499727</v>
      </c>
      <c r="M82" s="1176">
        <f>K82*EF_CH4_ElectTDL_DCI*ConFact_0.001</f>
        <v>280.67732893860011</v>
      </c>
      <c r="N82" s="1176">
        <f>K82*EF_N2O_ElectTDL_DCI*ConFact_0.001</f>
        <v>561.35465787720022</v>
      </c>
      <c r="O82" s="1098"/>
      <c r="P82" s="1217">
        <f t="shared" si="4"/>
        <v>93793.007420315524</v>
      </c>
    </row>
    <row r="83" spans="2:21" ht="14.25" x14ac:dyDescent="0.45">
      <c r="B83" s="1043" t="s">
        <v>1279</v>
      </c>
      <c r="C83" s="1045" t="s">
        <v>1188</v>
      </c>
      <c r="D83" s="1045" t="s">
        <v>526</v>
      </c>
      <c r="E83" s="1045" t="s">
        <v>565</v>
      </c>
      <c r="F83" s="1045" t="s">
        <v>1902</v>
      </c>
      <c r="G83" s="1077" t="s">
        <v>1903</v>
      </c>
      <c r="H83" s="1059" t="s">
        <v>36</v>
      </c>
      <c r="I83" s="1043" t="s">
        <v>321</v>
      </c>
      <c r="J83" s="1158"/>
      <c r="K83" s="1050">
        <v>9044551300</v>
      </c>
      <c r="L83" s="1222">
        <f>K83*EF_CO2_NatGas_DCI*ConFact_0.001</f>
        <v>1659856.054576</v>
      </c>
      <c r="M83" s="1223">
        <f>K83*EF_CH4_NatGas_DCI*ConFact_0.001</f>
        <v>2261.1378250000002</v>
      </c>
      <c r="N83" s="1223">
        <f>K83*EF_N2O_NatGas_DCI*ConFact_0.001</f>
        <v>904.45513000000005</v>
      </c>
      <c r="O83" s="1098"/>
      <c r="P83" s="1240">
        <f t="shared" si="4"/>
        <v>1663021.647531</v>
      </c>
    </row>
    <row r="84" spans="2:21" ht="14.25" x14ac:dyDescent="0.45">
      <c r="B84" s="1051" t="s">
        <v>1279</v>
      </c>
      <c r="C84" s="1053" t="s">
        <v>1188</v>
      </c>
      <c r="D84" s="1053" t="s">
        <v>526</v>
      </c>
      <c r="E84" s="1053" t="s">
        <v>565</v>
      </c>
      <c r="F84" s="1053" t="s">
        <v>1902</v>
      </c>
      <c r="G84" s="1072" t="s">
        <v>1903</v>
      </c>
      <c r="H84" s="1243" t="s">
        <v>16</v>
      </c>
      <c r="I84" s="1051" t="s">
        <v>272</v>
      </c>
      <c r="J84" s="1228"/>
      <c r="K84" s="1058">
        <v>9775655264</v>
      </c>
      <c r="L84" s="1175">
        <f>K84*EF_CO2_ElectGen_DCI*ConFact_0.001</f>
        <v>2258567.3921945603</v>
      </c>
      <c r="M84" s="1176">
        <f>K84*EF_CH4_ElectGen_DCI*ConFact_0.001</f>
        <v>7038.4717900800006</v>
      </c>
      <c r="N84" s="1176">
        <f>K84*EF_N2O_ElectGen_DCI*ConFact_0.001</f>
        <v>13490.404264319999</v>
      </c>
      <c r="O84" s="2092"/>
      <c r="P84" s="1217">
        <f t="shared" si="4"/>
        <v>2279096.2682489604</v>
      </c>
    </row>
    <row r="85" spans="2:21" ht="14.65" thickBot="1" x14ac:dyDescent="0.5">
      <c r="B85" s="1064" t="s">
        <v>1279</v>
      </c>
      <c r="C85" s="1066" t="s">
        <v>1188</v>
      </c>
      <c r="D85" s="1066" t="s">
        <v>526</v>
      </c>
      <c r="E85" s="1066" t="s">
        <v>565</v>
      </c>
      <c r="F85" s="1066" t="s">
        <v>1902</v>
      </c>
      <c r="G85" s="1168" t="s">
        <v>1903</v>
      </c>
      <c r="H85" s="1244" t="s">
        <v>2372</v>
      </c>
      <c r="I85" s="1064" t="s">
        <v>272</v>
      </c>
      <c r="J85" s="1229"/>
      <c r="K85" s="1230">
        <v>9775655264</v>
      </c>
      <c r="L85" s="1233">
        <f>K85*EF_CO2_ElectTDL_DCI*ConFact_0.001</f>
        <v>194242.27009568</v>
      </c>
      <c r="M85" s="1234">
        <f>K85*EF_CH4_ElectTDL_DCI*ConFact_0.001</f>
        <v>586.53931584000009</v>
      </c>
      <c r="N85" s="1234">
        <f>K85*EF_N2O_ElectTDL_DCI*ConFact_0.001</f>
        <v>1173.0786316800002</v>
      </c>
      <c r="O85" s="1100"/>
      <c r="P85" s="1241">
        <f t="shared" si="4"/>
        <v>196001.88804319999</v>
      </c>
    </row>
    <row r="86" spans="2:21" x14ac:dyDescent="0.35">
      <c r="J86" s="1749"/>
      <c r="K86" s="1747"/>
      <c r="P86" s="1748"/>
    </row>
    <row r="87" spans="2:21" x14ac:dyDescent="0.35">
      <c r="J87" s="1749"/>
      <c r="K87" s="1748"/>
      <c r="L87" s="1747"/>
      <c r="O87" s="1748"/>
      <c r="P87" s="1757"/>
    </row>
    <row r="88" spans="2:21" x14ac:dyDescent="0.35">
      <c r="J88" s="1749"/>
      <c r="P88" s="1757"/>
    </row>
    <row r="89" spans="2:21" x14ac:dyDescent="0.35">
      <c r="D89" s="1737"/>
      <c r="E89" s="1737"/>
      <c r="F89" s="1737"/>
      <c r="G89" s="1737"/>
      <c r="H89" s="1737"/>
      <c r="I89" s="1737"/>
      <c r="J89" s="1737"/>
    </row>
    <row r="90" spans="2:21" ht="13.5" thickBot="1" x14ac:dyDescent="0.45">
      <c r="B90" s="1741"/>
      <c r="C90" s="1742"/>
      <c r="D90" s="1737"/>
      <c r="E90" s="1737"/>
      <c r="F90" s="1737"/>
      <c r="G90" s="1737"/>
      <c r="H90" s="1737"/>
      <c r="I90" s="1737"/>
      <c r="J90" s="1737"/>
    </row>
    <row r="91" spans="2:21" ht="15" thickBot="1" x14ac:dyDescent="0.55000000000000004">
      <c r="B91" s="251" t="s">
        <v>1355</v>
      </c>
      <c r="C91" s="677"/>
      <c r="D91" s="263"/>
      <c r="E91" s="245"/>
      <c r="F91" s="245"/>
      <c r="G91" s="245"/>
      <c r="H91" s="245"/>
      <c r="I91" s="246"/>
      <c r="J91" s="258"/>
      <c r="K91" s="245"/>
      <c r="L91" s="252"/>
      <c r="M91" s="248" t="s">
        <v>881</v>
      </c>
      <c r="N91" s="252"/>
      <c r="O91" s="252"/>
      <c r="P91" s="253"/>
    </row>
    <row r="92" spans="2:21" ht="39.75" thickBot="1" x14ac:dyDescent="0.45">
      <c r="B92" s="676" t="s">
        <v>1271</v>
      </c>
      <c r="C92" s="257" t="s">
        <v>1270</v>
      </c>
      <c r="D92" s="617" t="s">
        <v>521</v>
      </c>
      <c r="E92" s="618" t="s">
        <v>522</v>
      </c>
      <c r="F92" s="618" t="s">
        <v>1280</v>
      </c>
      <c r="G92" s="618" t="s">
        <v>1278</v>
      </c>
      <c r="H92" s="618" t="s">
        <v>1268</v>
      </c>
      <c r="I92" s="268" t="s">
        <v>574</v>
      </c>
      <c r="J92" s="269" t="s">
        <v>584</v>
      </c>
      <c r="K92" s="268" t="s">
        <v>2281</v>
      </c>
      <c r="L92" s="260" t="s">
        <v>798</v>
      </c>
      <c r="M92" s="260" t="s">
        <v>799</v>
      </c>
      <c r="N92" s="260" t="s">
        <v>800</v>
      </c>
      <c r="O92" s="260" t="s">
        <v>801</v>
      </c>
      <c r="P92" s="261" t="s">
        <v>802</v>
      </c>
    </row>
    <row r="93" spans="2:21" ht="51.75" x14ac:dyDescent="0.45">
      <c r="B93" s="1245" t="s">
        <v>1279</v>
      </c>
      <c r="C93" s="1246" t="s">
        <v>1189</v>
      </c>
      <c r="D93" s="1038" t="s">
        <v>527</v>
      </c>
      <c r="E93" s="1247" t="s">
        <v>566</v>
      </c>
      <c r="F93" s="1039" t="s">
        <v>351</v>
      </c>
      <c r="G93" s="1248" t="s">
        <v>1336</v>
      </c>
      <c r="H93" s="1124"/>
      <c r="I93" s="1041" t="s">
        <v>321</v>
      </c>
      <c r="J93" s="1042" t="s">
        <v>363</v>
      </c>
      <c r="K93" s="1124"/>
      <c r="L93" s="1127"/>
      <c r="M93" s="1097"/>
      <c r="N93" s="1097"/>
      <c r="O93" s="1134"/>
      <c r="P93" s="1124"/>
    </row>
    <row r="94" spans="2:21" ht="51.75" x14ac:dyDescent="0.45">
      <c r="B94" s="1249" t="s">
        <v>1279</v>
      </c>
      <c r="C94" s="1060" t="s">
        <v>1190</v>
      </c>
      <c r="D94" s="1045" t="s">
        <v>1216</v>
      </c>
      <c r="E94" s="1063" t="s">
        <v>567</v>
      </c>
      <c r="F94" s="1046" t="s">
        <v>349</v>
      </c>
      <c r="G94" s="1250" t="s">
        <v>350</v>
      </c>
      <c r="H94" s="1140"/>
      <c r="I94" s="1048" t="s">
        <v>321</v>
      </c>
      <c r="J94" s="1049" t="s">
        <v>363</v>
      </c>
      <c r="K94" s="1140"/>
      <c r="L94" s="1135"/>
      <c r="M94" s="1098"/>
      <c r="N94" s="1098"/>
      <c r="O94" s="1136"/>
      <c r="P94" s="1140"/>
    </row>
    <row r="95" spans="2:21" s="1737" customFormat="1" ht="52.15" thickBot="1" x14ac:dyDescent="0.5">
      <c r="B95" s="1251" t="s">
        <v>1279</v>
      </c>
      <c r="C95" s="1252" t="s">
        <v>1190</v>
      </c>
      <c r="D95" s="1081" t="s">
        <v>1216</v>
      </c>
      <c r="E95" s="1253" t="s">
        <v>567</v>
      </c>
      <c r="F95" s="1254" t="s">
        <v>299</v>
      </c>
      <c r="G95" s="1255" t="s">
        <v>300</v>
      </c>
      <c r="H95" s="1570" t="s">
        <v>36</v>
      </c>
      <c r="I95" s="1144" t="s">
        <v>321</v>
      </c>
      <c r="J95" s="1084"/>
      <c r="K95" s="1571">
        <f>((SUM(L160:M160)/('Emission &amp; Conversion Factors'!U95*'Emission &amp; Conversion Factors'!W135*1000))/'Emission &amp; Conversion Factors'!W95)*1000</f>
        <v>6039918128.4109173</v>
      </c>
      <c r="L95" s="1626">
        <f>K95*EF_CO2_NG_Fugitive*ConFact_0.001*GWP_CO2</f>
        <v>308.03582454895678</v>
      </c>
      <c r="M95" s="1627">
        <f>K95*EF_CH4_NG_Fugitive*ConFact_0.001*GWP_CH4</f>
        <v>166097.74853130023</v>
      </c>
      <c r="N95" s="1100"/>
      <c r="O95" s="1138"/>
      <c r="P95" s="1293">
        <f>SUM(L95:N95)</f>
        <v>166405.78435584917</v>
      </c>
      <c r="Q95" s="1736"/>
      <c r="R95" s="1736"/>
      <c r="S95" s="1736"/>
      <c r="T95" s="1736"/>
      <c r="U95" s="1736"/>
    </row>
    <row r="96" spans="2:21" ht="13.15" x14ac:dyDescent="0.4">
      <c r="D96" s="1746"/>
      <c r="E96" s="1746"/>
      <c r="F96" s="1746"/>
      <c r="G96" s="1746"/>
      <c r="H96" s="1746"/>
      <c r="I96" s="1746"/>
      <c r="J96" s="1752"/>
      <c r="K96" s="1746"/>
    </row>
    <row r="97" spans="3:16" x14ac:dyDescent="0.35">
      <c r="J97" s="1749"/>
    </row>
    <row r="98" spans="3:16" x14ac:dyDescent="0.35">
      <c r="C98" s="1756"/>
      <c r="D98" s="1757"/>
      <c r="F98" s="1757"/>
      <c r="J98" s="1749"/>
    </row>
    <row r="99" spans="3:16" x14ac:dyDescent="0.35">
      <c r="J99" s="1749"/>
    </row>
    <row r="100" spans="3:16" ht="13.15" x14ac:dyDescent="0.4">
      <c r="C100" s="1758"/>
      <c r="D100" s="1759"/>
      <c r="E100" s="1760"/>
      <c r="F100" s="1760"/>
      <c r="G100" s="1737"/>
      <c r="H100" s="1737"/>
      <c r="I100" s="1737"/>
      <c r="J100" s="1737"/>
      <c r="K100" s="1737"/>
      <c r="L100" s="1737"/>
      <c r="M100" s="1737"/>
      <c r="N100" s="1737"/>
      <c r="O100" s="1737"/>
      <c r="P100" s="1737"/>
    </row>
    <row r="101" spans="3:16" x14ac:dyDescent="0.35">
      <c r="C101" s="1747"/>
      <c r="D101" s="1747"/>
      <c r="E101" s="1747"/>
    </row>
    <row r="102" spans="3:16" x14ac:dyDescent="0.35">
      <c r="C102" s="1747"/>
      <c r="D102" s="1747"/>
      <c r="J102" s="1749"/>
    </row>
    <row r="103" spans="3:16" ht="13.15" x14ac:dyDescent="0.4">
      <c r="C103" s="1747"/>
      <c r="D103" s="1761"/>
      <c r="E103" s="1761"/>
      <c r="F103" s="1746"/>
      <c r="G103" s="1746"/>
      <c r="H103" s="1746"/>
      <c r="I103" s="1746"/>
      <c r="J103" s="1752"/>
      <c r="K103" s="1746"/>
    </row>
    <row r="104" spans="3:16" x14ac:dyDescent="0.35">
      <c r="C104" s="1747"/>
      <c r="D104" s="1747"/>
      <c r="E104" s="1747"/>
      <c r="J104" s="1749"/>
    </row>
    <row r="105" spans="3:16" x14ac:dyDescent="0.35">
      <c r="C105" s="1757"/>
      <c r="D105" s="1757"/>
      <c r="J105" s="1749"/>
    </row>
    <row r="106" spans="3:16" x14ac:dyDescent="0.35">
      <c r="C106" s="1747"/>
      <c r="D106" s="1747"/>
      <c r="J106" s="1749"/>
    </row>
    <row r="107" spans="3:16" x14ac:dyDescent="0.35">
      <c r="C107" s="1747"/>
      <c r="D107" s="1747"/>
    </row>
    <row r="110" spans="3:16" x14ac:dyDescent="0.35">
      <c r="C110" s="1748"/>
      <c r="D110" s="1748"/>
    </row>
    <row r="121" spans="3:14" ht="21" x14ac:dyDescent="0.4">
      <c r="C121" s="1762" t="s">
        <v>759</v>
      </c>
      <c r="D121" s="1762" t="s">
        <v>760</v>
      </c>
      <c r="E121" s="1763"/>
      <c r="F121" s="1763"/>
      <c r="G121" s="1763"/>
      <c r="H121" s="1763"/>
      <c r="I121" s="1763"/>
      <c r="J121" s="1763"/>
      <c r="K121" s="1763"/>
      <c r="L121" s="1763"/>
      <c r="M121" s="1763"/>
      <c r="N121" s="1747"/>
    </row>
    <row r="122" spans="3:14" ht="13.15" x14ac:dyDescent="0.4">
      <c r="C122" s="1763"/>
      <c r="D122" s="1763"/>
      <c r="E122" s="1763"/>
      <c r="F122" s="1763"/>
      <c r="G122" s="1763"/>
      <c r="H122" s="1763"/>
      <c r="I122" s="1763"/>
      <c r="J122" s="1763"/>
      <c r="K122" s="1763"/>
      <c r="L122" s="1763"/>
      <c r="M122" s="1763"/>
      <c r="N122" s="1747"/>
    </row>
    <row r="123" spans="3:14" ht="13.15" x14ac:dyDescent="0.35">
      <c r="C123" s="2286" t="s">
        <v>618</v>
      </c>
      <c r="D123" s="2286" t="s">
        <v>619</v>
      </c>
      <c r="E123" s="2286" t="s">
        <v>620</v>
      </c>
      <c r="F123" s="2293" t="s">
        <v>16</v>
      </c>
      <c r="G123" s="2295"/>
      <c r="H123" s="2295"/>
      <c r="I123" s="2295"/>
      <c r="J123" s="2293" t="s">
        <v>592</v>
      </c>
      <c r="K123" s="2295"/>
      <c r="L123" s="2295"/>
      <c r="M123" s="2294"/>
      <c r="N123" s="1747"/>
    </row>
    <row r="124" spans="3:14" ht="13.15" x14ac:dyDescent="0.35">
      <c r="C124" s="2286"/>
      <c r="D124" s="2286"/>
      <c r="E124" s="2286"/>
      <c r="F124" s="2299" t="s">
        <v>591</v>
      </c>
      <c r="G124" s="2299"/>
      <c r="H124" s="2299"/>
      <c r="I124" s="2300" t="s">
        <v>761</v>
      </c>
      <c r="J124" s="2301" t="s">
        <v>762</v>
      </c>
      <c r="K124" s="2302"/>
      <c r="L124" s="2301" t="s">
        <v>576</v>
      </c>
      <c r="M124" s="2302"/>
      <c r="N124" s="1747"/>
    </row>
    <row r="125" spans="3:14" ht="13.15" x14ac:dyDescent="0.35">
      <c r="C125" s="2286"/>
      <c r="D125" s="2286"/>
      <c r="E125" s="2286"/>
      <c r="F125" s="187" t="s">
        <v>763</v>
      </c>
      <c r="G125" s="187" t="s">
        <v>764</v>
      </c>
      <c r="H125" s="187" t="s">
        <v>667</v>
      </c>
      <c r="I125" s="2283"/>
      <c r="J125" s="188" t="s">
        <v>591</v>
      </c>
      <c r="K125" s="188" t="s">
        <v>765</v>
      </c>
      <c r="L125" s="188" t="s">
        <v>591</v>
      </c>
      <c r="M125" s="188" t="s">
        <v>765</v>
      </c>
      <c r="N125" s="1747"/>
    </row>
    <row r="126" spans="3:14" ht="13.15" x14ac:dyDescent="0.4">
      <c r="C126" s="189" t="s">
        <v>766</v>
      </c>
      <c r="D126" s="190" t="s">
        <v>630</v>
      </c>
      <c r="E126" s="191"/>
      <c r="F126" s="1349">
        <v>51061146.891000003</v>
      </c>
      <c r="G126" s="1350">
        <v>202195120.78</v>
      </c>
      <c r="H126" s="1350">
        <v>253256267.66999999</v>
      </c>
      <c r="I126" s="1351">
        <v>381559211.42000002</v>
      </c>
      <c r="J126" s="1349">
        <v>769220957.24000001</v>
      </c>
      <c r="K126" s="1351">
        <v>208515476.88</v>
      </c>
      <c r="L126" s="1349">
        <v>744624564.95000005</v>
      </c>
      <c r="M126" s="1351">
        <v>204378609.99000001</v>
      </c>
      <c r="N126" s="1747"/>
    </row>
    <row r="127" spans="3:14" ht="13.15" x14ac:dyDescent="0.4">
      <c r="C127" s="192" t="s">
        <v>529</v>
      </c>
      <c r="D127" s="193" t="s">
        <v>631</v>
      </c>
      <c r="E127" s="194"/>
      <c r="F127" s="1352">
        <v>184029534.72</v>
      </c>
      <c r="G127" s="200">
        <v>423657606.30000001</v>
      </c>
      <c r="H127" s="200">
        <v>607687141.01999998</v>
      </c>
      <c r="I127" s="1353">
        <v>499468691.77000004</v>
      </c>
      <c r="J127" s="1352">
        <v>2209657653.7999997</v>
      </c>
      <c r="K127" s="1353">
        <v>577529278.37</v>
      </c>
      <c r="L127" s="1352">
        <v>2143961137.2</v>
      </c>
      <c r="M127" s="1353">
        <v>561389979.99000001</v>
      </c>
      <c r="N127" s="1747"/>
    </row>
    <row r="128" spans="3:14" ht="13.15" x14ac:dyDescent="0.4">
      <c r="C128" s="192" t="s">
        <v>530</v>
      </c>
      <c r="D128" s="193" t="s">
        <v>632</v>
      </c>
      <c r="E128" s="194"/>
      <c r="F128" s="1352">
        <v>47207926.776999995</v>
      </c>
      <c r="G128" s="200">
        <v>317396247.02999997</v>
      </c>
      <c r="H128" s="200">
        <v>364604173.80000001</v>
      </c>
      <c r="I128" s="1353">
        <v>416902724.95999998</v>
      </c>
      <c r="J128" s="1352">
        <v>1246092540.8999999</v>
      </c>
      <c r="K128" s="1353">
        <v>710994521.11999989</v>
      </c>
      <c r="L128" s="1352">
        <v>1209415518.6999998</v>
      </c>
      <c r="M128" s="1353">
        <v>703019963.26000011</v>
      </c>
      <c r="N128" s="1747"/>
    </row>
    <row r="129" spans="3:14" ht="13.15" x14ac:dyDescent="0.4">
      <c r="C129" s="192" t="s">
        <v>531</v>
      </c>
      <c r="D129" s="193" t="s">
        <v>633</v>
      </c>
      <c r="E129" s="194"/>
      <c r="F129" s="1352">
        <v>82793543.267999992</v>
      </c>
      <c r="G129" s="200">
        <v>334097715.13999999</v>
      </c>
      <c r="H129" s="200">
        <v>416891258.40000004</v>
      </c>
      <c r="I129" s="1353">
        <v>774259743.38</v>
      </c>
      <c r="J129" s="1352">
        <v>1548176846.5</v>
      </c>
      <c r="K129" s="1353">
        <v>588784052.69999993</v>
      </c>
      <c r="L129" s="1352">
        <v>1498862445.5</v>
      </c>
      <c r="M129" s="1353">
        <v>578192228.08999991</v>
      </c>
      <c r="N129" s="1747"/>
    </row>
    <row r="130" spans="3:14" ht="13.15" x14ac:dyDescent="0.4">
      <c r="C130" s="192" t="s">
        <v>532</v>
      </c>
      <c r="D130" s="193" t="s">
        <v>634</v>
      </c>
      <c r="E130" s="194"/>
      <c r="F130" s="1352">
        <v>79924581</v>
      </c>
      <c r="G130" s="200">
        <v>453089148.86999995</v>
      </c>
      <c r="H130" s="200">
        <v>533013729.87</v>
      </c>
      <c r="I130" s="1353">
        <v>410876467.5</v>
      </c>
      <c r="J130" s="1352">
        <v>2066762318.6000001</v>
      </c>
      <c r="K130" s="1353">
        <v>377951968.02999997</v>
      </c>
      <c r="L130" s="1352">
        <v>2007875742</v>
      </c>
      <c r="M130" s="1353">
        <v>368246664.29000002</v>
      </c>
      <c r="N130" s="1747"/>
    </row>
    <row r="131" spans="3:14" ht="13.15" x14ac:dyDescent="0.4">
      <c r="C131" s="192" t="s">
        <v>533</v>
      </c>
      <c r="D131" s="193" t="s">
        <v>635</v>
      </c>
      <c r="E131" s="194"/>
      <c r="F131" s="1352">
        <v>32588044.886</v>
      </c>
      <c r="G131" s="200">
        <v>308902019.16000003</v>
      </c>
      <c r="H131" s="200">
        <v>341490064.05000001</v>
      </c>
      <c r="I131" s="1353">
        <v>1338510426.6999998</v>
      </c>
      <c r="J131" s="1352">
        <v>964246996.80000007</v>
      </c>
      <c r="K131" s="1353">
        <v>1597649679</v>
      </c>
      <c r="L131" s="1352">
        <v>936452225.57000005</v>
      </c>
      <c r="M131" s="1353">
        <v>1569470485.6999998</v>
      </c>
      <c r="N131" s="1747"/>
    </row>
    <row r="132" spans="3:14" ht="13.15" x14ac:dyDescent="0.4">
      <c r="C132" s="192" t="s">
        <v>534</v>
      </c>
      <c r="D132" s="193" t="s">
        <v>636</v>
      </c>
      <c r="E132" s="194"/>
      <c r="F132" s="1352">
        <v>5013276.2912000008</v>
      </c>
      <c r="G132" s="200">
        <v>23131068.829</v>
      </c>
      <c r="H132" s="200">
        <v>28144345.120000001</v>
      </c>
      <c r="I132" s="1353">
        <v>2060054907.1999998</v>
      </c>
      <c r="J132" s="1352">
        <v>28275554.976999998</v>
      </c>
      <c r="K132" s="1353">
        <v>838218639.48000002</v>
      </c>
      <c r="L132" s="1352">
        <v>27724351.337000001</v>
      </c>
      <c r="M132" s="1353">
        <v>823732153.61000001</v>
      </c>
      <c r="N132" s="1747"/>
    </row>
    <row r="133" spans="3:14" ht="13.15" x14ac:dyDescent="0.4">
      <c r="C133" s="192" t="s">
        <v>535</v>
      </c>
      <c r="D133" s="193" t="s">
        <v>637</v>
      </c>
      <c r="E133" s="194"/>
      <c r="F133" s="1352">
        <v>118908706.73999999</v>
      </c>
      <c r="G133" s="200">
        <v>441688953.27000004</v>
      </c>
      <c r="H133" s="200">
        <v>560597660.01999998</v>
      </c>
      <c r="I133" s="1353">
        <v>648447220</v>
      </c>
      <c r="J133" s="1352">
        <v>2082986726.7</v>
      </c>
      <c r="K133" s="1353">
        <v>483154808.89000005</v>
      </c>
      <c r="L133" s="1352">
        <v>2023829207.1000001</v>
      </c>
      <c r="M133" s="1353">
        <v>472379290.28999996</v>
      </c>
      <c r="N133" s="1747"/>
    </row>
    <row r="134" spans="3:14" ht="13.15" x14ac:dyDescent="0.4">
      <c r="C134" s="192" t="s">
        <v>536</v>
      </c>
      <c r="D134" s="193" t="s">
        <v>638</v>
      </c>
      <c r="E134" s="194"/>
      <c r="F134" s="1352">
        <v>54385866.675999999</v>
      </c>
      <c r="G134" s="200">
        <v>412878826.96000004</v>
      </c>
      <c r="H134" s="200">
        <v>467264693.64000005</v>
      </c>
      <c r="I134" s="1353">
        <v>884321537.80999994</v>
      </c>
      <c r="J134" s="1352">
        <v>1694677077.3</v>
      </c>
      <c r="K134" s="1353">
        <v>730872896.68000007</v>
      </c>
      <c r="L134" s="1352">
        <v>1642187757.5</v>
      </c>
      <c r="M134" s="1353">
        <v>718430170.21000004</v>
      </c>
      <c r="N134" s="1747"/>
    </row>
    <row r="135" spans="3:14" ht="13.15" x14ac:dyDescent="0.4">
      <c r="C135" s="192" t="s">
        <v>767</v>
      </c>
      <c r="D135" s="193" t="s">
        <v>639</v>
      </c>
      <c r="E135" s="194"/>
      <c r="F135" s="1352">
        <v>152226637.54000002</v>
      </c>
      <c r="G135" s="200">
        <v>323105464.23000002</v>
      </c>
      <c r="H135" s="200">
        <v>475332101.76999998</v>
      </c>
      <c r="I135" s="1353">
        <v>544249649.08000004</v>
      </c>
      <c r="J135" s="1352">
        <v>1584945033.7</v>
      </c>
      <c r="K135" s="1353">
        <v>529781325.02999997</v>
      </c>
      <c r="L135" s="1352">
        <v>1537792979</v>
      </c>
      <c r="M135" s="1353">
        <v>517946804.75999999</v>
      </c>
      <c r="N135" s="1747"/>
    </row>
    <row r="136" spans="3:14" ht="13.15" x14ac:dyDescent="0.4">
      <c r="C136" s="192" t="s">
        <v>538</v>
      </c>
      <c r="D136" s="193" t="s">
        <v>640</v>
      </c>
      <c r="E136" s="194"/>
      <c r="F136" s="1352">
        <v>35373512.144000001</v>
      </c>
      <c r="G136" s="200">
        <v>331147501.78000003</v>
      </c>
      <c r="H136" s="200">
        <v>366521013.93000001</v>
      </c>
      <c r="I136" s="1353">
        <v>465011431.66999996</v>
      </c>
      <c r="J136" s="1352">
        <v>1154557453.5999999</v>
      </c>
      <c r="K136" s="1353">
        <v>532764277.36000007</v>
      </c>
      <c r="L136" s="1352">
        <v>1121069421.7</v>
      </c>
      <c r="M136" s="1353">
        <v>523950953.74000007</v>
      </c>
      <c r="N136" s="1747"/>
    </row>
    <row r="137" spans="3:14" ht="13.15" x14ac:dyDescent="0.4">
      <c r="C137" s="192" t="s">
        <v>539</v>
      </c>
      <c r="D137" s="193" t="s">
        <v>641</v>
      </c>
      <c r="E137" s="194"/>
      <c r="F137" s="1352">
        <v>36886694.714000002</v>
      </c>
      <c r="G137" s="200">
        <v>302347844.52000004</v>
      </c>
      <c r="H137" s="200">
        <v>339234539.23000002</v>
      </c>
      <c r="I137" s="1353">
        <v>563955766.28000009</v>
      </c>
      <c r="J137" s="1352">
        <v>991869299.65999997</v>
      </c>
      <c r="K137" s="1353">
        <v>389719762.66000003</v>
      </c>
      <c r="L137" s="1352">
        <v>960771880.51999998</v>
      </c>
      <c r="M137" s="1353">
        <v>381272543.67000002</v>
      </c>
      <c r="N137" s="1747"/>
    </row>
    <row r="138" spans="3:14" ht="13.15" x14ac:dyDescent="0.4">
      <c r="C138" s="192" t="s">
        <v>540</v>
      </c>
      <c r="D138" s="193" t="s">
        <v>642</v>
      </c>
      <c r="E138" s="194"/>
      <c r="F138" s="1352">
        <v>31199522.710000001</v>
      </c>
      <c r="G138" s="200">
        <v>251767843.47</v>
      </c>
      <c r="H138" s="200">
        <v>282967366.18000001</v>
      </c>
      <c r="I138" s="1353">
        <v>687592086.42999995</v>
      </c>
      <c r="J138" s="1352">
        <v>895336039</v>
      </c>
      <c r="K138" s="1353">
        <v>579707887.06999993</v>
      </c>
      <c r="L138" s="1352">
        <v>867589302.99000001</v>
      </c>
      <c r="M138" s="1353">
        <v>568478549.61000001</v>
      </c>
      <c r="N138" s="1747"/>
    </row>
    <row r="139" spans="3:14" ht="13.15" x14ac:dyDescent="0.4">
      <c r="C139" s="192" t="s">
        <v>541</v>
      </c>
      <c r="D139" s="193" t="s">
        <v>643</v>
      </c>
      <c r="E139" s="194"/>
      <c r="F139" s="1352">
        <v>88724544.246999994</v>
      </c>
      <c r="G139" s="200">
        <v>262866351.44000003</v>
      </c>
      <c r="H139" s="200">
        <v>351590895.69</v>
      </c>
      <c r="I139" s="1353">
        <v>415803259.68000001</v>
      </c>
      <c r="J139" s="1352">
        <v>1280048563.6000001</v>
      </c>
      <c r="K139" s="1353">
        <v>368355625.05000001</v>
      </c>
      <c r="L139" s="1352">
        <v>1242104329.6000001</v>
      </c>
      <c r="M139" s="1353">
        <v>358401660.97999996</v>
      </c>
      <c r="N139" s="1747"/>
    </row>
    <row r="140" spans="3:14" ht="13.15" x14ac:dyDescent="0.4">
      <c r="C140" s="192" t="s">
        <v>542</v>
      </c>
      <c r="D140" s="193" t="s">
        <v>644</v>
      </c>
      <c r="E140" s="194"/>
      <c r="F140" s="1352">
        <v>93880683.454000011</v>
      </c>
      <c r="G140" s="200">
        <v>247036607.98000002</v>
      </c>
      <c r="H140" s="200">
        <v>340917291.43000001</v>
      </c>
      <c r="I140" s="1353">
        <v>218107384.5</v>
      </c>
      <c r="J140" s="1352">
        <v>1440778309</v>
      </c>
      <c r="K140" s="1353">
        <v>248579035.88999999</v>
      </c>
      <c r="L140" s="1352">
        <v>1395065397.9000001</v>
      </c>
      <c r="M140" s="1353">
        <v>242851174.39000002</v>
      </c>
      <c r="N140" s="1747"/>
    </row>
    <row r="141" spans="3:14" ht="13.15" x14ac:dyDescent="0.4">
      <c r="C141" s="192" t="s">
        <v>543</v>
      </c>
      <c r="D141" s="193" t="s">
        <v>645</v>
      </c>
      <c r="E141" s="194"/>
      <c r="F141" s="1352">
        <v>84741849.826999992</v>
      </c>
      <c r="G141" s="200">
        <v>304313921.67000002</v>
      </c>
      <c r="H141" s="200">
        <v>389055771.5</v>
      </c>
      <c r="I141" s="1353">
        <v>395128075.14999998</v>
      </c>
      <c r="J141" s="1352">
        <v>1373565711.5999999</v>
      </c>
      <c r="K141" s="1353">
        <v>256400673.22999999</v>
      </c>
      <c r="L141" s="1352">
        <v>1329487394.9000001</v>
      </c>
      <c r="M141" s="1353">
        <v>251463077.62</v>
      </c>
      <c r="N141" s="1747"/>
    </row>
    <row r="142" spans="3:14" ht="13.15" x14ac:dyDescent="0.4">
      <c r="C142" s="192" t="s">
        <v>544</v>
      </c>
      <c r="D142" s="193" t="s">
        <v>646</v>
      </c>
      <c r="E142" s="194"/>
      <c r="F142" s="1352">
        <v>73066532.070999995</v>
      </c>
      <c r="G142" s="200">
        <v>344401281.81999999</v>
      </c>
      <c r="H142" s="200">
        <v>417467813.88999999</v>
      </c>
      <c r="I142" s="1353">
        <v>945045354.56999993</v>
      </c>
      <c r="J142" s="1352">
        <v>1463398150.9000001</v>
      </c>
      <c r="K142" s="1353">
        <v>692562538.57000005</v>
      </c>
      <c r="L142" s="1352">
        <v>1416884778.8</v>
      </c>
      <c r="M142" s="1353">
        <v>686159293.30999994</v>
      </c>
      <c r="N142" s="1747"/>
    </row>
    <row r="143" spans="3:14" ht="13.15" x14ac:dyDescent="0.4">
      <c r="C143" s="192" t="s">
        <v>545</v>
      </c>
      <c r="D143" s="193" t="s">
        <v>647</v>
      </c>
      <c r="E143" s="194"/>
      <c r="F143" s="1352">
        <v>51623381.713999994</v>
      </c>
      <c r="G143" s="200">
        <v>326335130.13</v>
      </c>
      <c r="H143" s="200">
        <v>377958511.84999996</v>
      </c>
      <c r="I143" s="1353">
        <v>924272608.61000001</v>
      </c>
      <c r="J143" s="1352">
        <v>1190439091.5999999</v>
      </c>
      <c r="K143" s="1353">
        <v>582879899.29000008</v>
      </c>
      <c r="L143" s="1352">
        <v>1152227406.1999998</v>
      </c>
      <c r="M143" s="1353">
        <v>572198430.84000003</v>
      </c>
      <c r="N143" s="1747"/>
    </row>
    <row r="144" spans="3:14" ht="13.15" x14ac:dyDescent="0.4">
      <c r="C144" s="192" t="s">
        <v>768</v>
      </c>
      <c r="D144" s="193" t="s">
        <v>648</v>
      </c>
      <c r="E144" s="194"/>
      <c r="F144" s="1352">
        <v>35879738.75</v>
      </c>
      <c r="G144" s="200">
        <v>272177536.97000003</v>
      </c>
      <c r="H144" s="200">
        <v>308057275.72000003</v>
      </c>
      <c r="I144" s="1353">
        <v>801396543.98000002</v>
      </c>
      <c r="J144" s="1352">
        <v>913439505.49000001</v>
      </c>
      <c r="K144" s="1353">
        <v>672823271.32000005</v>
      </c>
      <c r="L144" s="1352">
        <v>885040854.64999998</v>
      </c>
      <c r="M144" s="1353">
        <v>660618228.64999998</v>
      </c>
      <c r="N144" s="1747"/>
    </row>
    <row r="145" spans="3:16" ht="13.15" x14ac:dyDescent="0.4">
      <c r="C145" s="192" t="s">
        <v>547</v>
      </c>
      <c r="D145" s="193" t="s">
        <v>649</v>
      </c>
      <c r="E145" s="194"/>
      <c r="F145" s="1352">
        <v>35887074.222999997</v>
      </c>
      <c r="G145" s="200">
        <v>326865918.52999997</v>
      </c>
      <c r="H145" s="200">
        <v>362752992.75999999</v>
      </c>
      <c r="I145" s="1353">
        <v>897194116.46000004</v>
      </c>
      <c r="J145" s="1352">
        <v>886491615.64999998</v>
      </c>
      <c r="K145" s="1353">
        <v>903049493.55999994</v>
      </c>
      <c r="L145" s="1352">
        <v>860758132.46999991</v>
      </c>
      <c r="M145" s="1353">
        <v>885146225.30999994</v>
      </c>
      <c r="N145" s="1747"/>
    </row>
    <row r="146" spans="3:16" ht="13.15" x14ac:dyDescent="0.4">
      <c r="C146" s="192" t="s">
        <v>650</v>
      </c>
      <c r="D146" s="193" t="s">
        <v>651</v>
      </c>
      <c r="E146" s="194"/>
      <c r="F146" s="1352">
        <v>48988595.547000006</v>
      </c>
      <c r="G146" s="200">
        <v>204981362.66</v>
      </c>
      <c r="H146" s="200">
        <v>253969958.20000002</v>
      </c>
      <c r="I146" s="1353">
        <v>347820309.99000001</v>
      </c>
      <c r="J146" s="1352">
        <v>905948642.55000007</v>
      </c>
      <c r="K146" s="1353">
        <v>242689388.29999998</v>
      </c>
      <c r="L146" s="1352">
        <v>879557872.55999994</v>
      </c>
      <c r="M146" s="1353">
        <v>237781622.98999998</v>
      </c>
      <c r="N146" s="1747"/>
    </row>
    <row r="147" spans="3:16" ht="13.15" x14ac:dyDescent="0.4">
      <c r="C147" s="192" t="s">
        <v>549</v>
      </c>
      <c r="D147" s="193" t="s">
        <v>652</v>
      </c>
      <c r="E147" s="194"/>
      <c r="F147" s="1352">
        <v>47448084.630999997</v>
      </c>
      <c r="G147" s="200">
        <v>380934029.23000002</v>
      </c>
      <c r="H147" s="200">
        <v>428382113.87</v>
      </c>
      <c r="I147" s="1353">
        <v>633502970.57000005</v>
      </c>
      <c r="J147" s="1352">
        <v>1408337096.5</v>
      </c>
      <c r="K147" s="1353">
        <v>747359180.57000005</v>
      </c>
      <c r="L147" s="1352">
        <v>1367583201.5</v>
      </c>
      <c r="M147" s="1353">
        <v>734476724.37</v>
      </c>
      <c r="N147" s="1747"/>
    </row>
    <row r="148" spans="3:16" ht="13.15" x14ac:dyDescent="0.4">
      <c r="C148" s="192" t="s">
        <v>550</v>
      </c>
      <c r="D148" s="193" t="s">
        <v>653</v>
      </c>
      <c r="E148" s="194"/>
      <c r="F148" s="1352">
        <v>50260682.398000002</v>
      </c>
      <c r="G148" s="200">
        <v>351750632.36000001</v>
      </c>
      <c r="H148" s="200">
        <v>402011314.75999999</v>
      </c>
      <c r="I148" s="1353">
        <v>292677337.32999998</v>
      </c>
      <c r="J148" s="1352">
        <v>1347038472</v>
      </c>
      <c r="K148" s="1353">
        <v>361136816.15000004</v>
      </c>
      <c r="L148" s="1352">
        <v>1308121950</v>
      </c>
      <c r="M148" s="1353">
        <v>354802684.94</v>
      </c>
      <c r="N148" s="1747"/>
    </row>
    <row r="149" spans="3:16" ht="13.15" x14ac:dyDescent="0.4">
      <c r="C149" s="192" t="s">
        <v>551</v>
      </c>
      <c r="D149" s="193" t="s">
        <v>654</v>
      </c>
      <c r="E149" s="194"/>
      <c r="F149" s="1352">
        <v>33578956.813000001</v>
      </c>
      <c r="G149" s="200">
        <v>271700248.76999998</v>
      </c>
      <c r="H149" s="200">
        <v>305279205.59000003</v>
      </c>
      <c r="I149" s="1353">
        <v>496038275.36000001</v>
      </c>
      <c r="J149" s="1352">
        <v>1083570943.5999999</v>
      </c>
      <c r="K149" s="1353">
        <v>305939834.25999999</v>
      </c>
      <c r="L149" s="1352">
        <v>1052657439.8000001</v>
      </c>
      <c r="M149" s="1353">
        <v>299667278.96999997</v>
      </c>
      <c r="N149" s="1747"/>
    </row>
    <row r="150" spans="3:16" ht="13.15" x14ac:dyDescent="0.4">
      <c r="C150" s="192" t="s">
        <v>552</v>
      </c>
      <c r="D150" s="193" t="s">
        <v>655</v>
      </c>
      <c r="E150" s="194"/>
      <c r="F150" s="1352">
        <v>45039144.763000004</v>
      </c>
      <c r="G150" s="200">
        <v>330109126.89999998</v>
      </c>
      <c r="H150" s="200">
        <v>375148271.66999996</v>
      </c>
      <c r="I150" s="1353">
        <v>1000824611</v>
      </c>
      <c r="J150" s="1352">
        <v>1107240271.5</v>
      </c>
      <c r="K150" s="1353">
        <v>943725790.93000007</v>
      </c>
      <c r="L150" s="1352">
        <v>1072017343.9</v>
      </c>
      <c r="M150" s="1353">
        <v>931675537.90999997</v>
      </c>
      <c r="N150" s="1747"/>
    </row>
    <row r="151" spans="3:16" ht="13.15" x14ac:dyDescent="0.4">
      <c r="C151" s="192" t="s">
        <v>553</v>
      </c>
      <c r="D151" s="193" t="s">
        <v>656</v>
      </c>
      <c r="E151" s="194"/>
      <c r="F151" s="1352">
        <v>44179217.295000002</v>
      </c>
      <c r="G151" s="200">
        <v>343364307.25</v>
      </c>
      <c r="H151" s="200">
        <v>387543524.54000002</v>
      </c>
      <c r="I151" s="1353">
        <v>260726782.52999997</v>
      </c>
      <c r="J151" s="1352">
        <v>1468595084.8</v>
      </c>
      <c r="K151" s="1353">
        <v>253104433.68000001</v>
      </c>
      <c r="L151" s="1352">
        <v>1421693247.7</v>
      </c>
      <c r="M151" s="1353">
        <v>247047361.05000001</v>
      </c>
      <c r="N151" s="1747"/>
    </row>
    <row r="152" spans="3:16" ht="13.15" x14ac:dyDescent="0.4">
      <c r="C152" s="195" t="s">
        <v>769</v>
      </c>
      <c r="D152" s="193" t="s">
        <v>657</v>
      </c>
      <c r="E152" s="194"/>
      <c r="F152" s="1352">
        <v>50402997.504000001</v>
      </c>
      <c r="G152" s="200">
        <v>279369856.13</v>
      </c>
      <c r="H152" s="200">
        <v>329772853.63999999</v>
      </c>
      <c r="I152" s="1353">
        <v>311526000.06999999</v>
      </c>
      <c r="J152" s="1352">
        <v>1207251114.8999999</v>
      </c>
      <c r="K152" s="1353">
        <v>305173142.00999999</v>
      </c>
      <c r="L152" s="1352">
        <v>1170901803.9000001</v>
      </c>
      <c r="M152" s="1353">
        <v>297364249.62</v>
      </c>
      <c r="N152" s="1747"/>
    </row>
    <row r="153" spans="3:16" ht="13.15" x14ac:dyDescent="0.4">
      <c r="C153" s="192" t="s">
        <v>555</v>
      </c>
      <c r="D153" s="193" t="s">
        <v>658</v>
      </c>
      <c r="E153" s="194"/>
      <c r="F153" s="1352">
        <v>77556669.678000003</v>
      </c>
      <c r="G153" s="200">
        <v>363942931.91999996</v>
      </c>
      <c r="H153" s="200">
        <v>441499601.60000002</v>
      </c>
      <c r="I153" s="1353">
        <v>1190680191</v>
      </c>
      <c r="J153" s="1352">
        <v>1051929718.8000001</v>
      </c>
      <c r="K153" s="1353">
        <v>968276654.47000003</v>
      </c>
      <c r="L153" s="1352">
        <v>1021573185.2</v>
      </c>
      <c r="M153" s="1353">
        <v>953339439.3900001</v>
      </c>
      <c r="N153" s="1747"/>
    </row>
    <row r="154" spans="3:16" ht="13.15" x14ac:dyDescent="0.4">
      <c r="C154" s="192" t="s">
        <v>556</v>
      </c>
      <c r="D154" s="193" t="s">
        <v>659</v>
      </c>
      <c r="E154" s="194"/>
      <c r="F154" s="1352">
        <v>75509283.953999996</v>
      </c>
      <c r="G154" s="200">
        <v>236354961.75</v>
      </c>
      <c r="H154" s="200">
        <v>311864245.70000005</v>
      </c>
      <c r="I154" s="1353">
        <v>359940891.88999999</v>
      </c>
      <c r="J154" s="1352">
        <v>1055026996.5</v>
      </c>
      <c r="K154" s="1353">
        <v>271155035.02000004</v>
      </c>
      <c r="L154" s="1352">
        <v>1024555865.1999999</v>
      </c>
      <c r="M154" s="1353">
        <v>265741997.06</v>
      </c>
    </row>
    <row r="155" spans="3:16" ht="13.15" x14ac:dyDescent="0.4">
      <c r="C155" s="192" t="s">
        <v>557</v>
      </c>
      <c r="D155" s="193" t="s">
        <v>660</v>
      </c>
      <c r="E155" s="194"/>
      <c r="F155" s="1352">
        <v>91029953.742999986</v>
      </c>
      <c r="G155" s="200">
        <v>324697138.77999997</v>
      </c>
      <c r="H155" s="200">
        <v>415727092.51999998</v>
      </c>
      <c r="I155" s="1353">
        <v>2125727437.8000002</v>
      </c>
      <c r="J155" s="1352">
        <v>712746531.27999997</v>
      </c>
      <c r="K155" s="1353">
        <v>850993527.68999994</v>
      </c>
      <c r="L155" s="1352">
        <v>690231012.28999996</v>
      </c>
      <c r="M155" s="1353">
        <v>843945566.63</v>
      </c>
    </row>
    <row r="156" spans="3:16" ht="13.15" x14ac:dyDescent="0.4">
      <c r="C156" s="192" t="s">
        <v>558</v>
      </c>
      <c r="D156" s="193" t="s">
        <v>661</v>
      </c>
      <c r="E156" s="194"/>
      <c r="F156" s="1352">
        <v>51354446.434</v>
      </c>
      <c r="G156" s="200">
        <v>288185346.77999997</v>
      </c>
      <c r="H156" s="200">
        <v>339539793.21000004</v>
      </c>
      <c r="I156" s="1353">
        <v>333838878.00999999</v>
      </c>
      <c r="J156" s="1352">
        <v>1217661453.8</v>
      </c>
      <c r="K156" s="1353">
        <v>313877446.79000002</v>
      </c>
      <c r="L156" s="1352">
        <v>1178810608.3</v>
      </c>
      <c r="M156" s="1353">
        <v>308114693.63999999</v>
      </c>
    </row>
    <row r="157" spans="3:16" ht="13.15" x14ac:dyDescent="0.4">
      <c r="C157" s="192" t="s">
        <v>559</v>
      </c>
      <c r="D157" s="193" t="s">
        <v>662</v>
      </c>
      <c r="E157" s="194"/>
      <c r="F157" s="1352">
        <v>60052449.134000003</v>
      </c>
      <c r="G157" s="200">
        <v>431817122.61000001</v>
      </c>
      <c r="H157" s="200">
        <v>491869571.75</v>
      </c>
      <c r="I157" s="1353">
        <v>490203767.31</v>
      </c>
      <c r="J157" s="1352">
        <v>1545880772.9000001</v>
      </c>
      <c r="K157" s="1353">
        <v>625571537.02999997</v>
      </c>
      <c r="L157" s="1352">
        <v>1502406765.8</v>
      </c>
      <c r="M157" s="1353">
        <v>612326111.17999995</v>
      </c>
    </row>
    <row r="158" spans="3:16" ht="13.15" x14ac:dyDescent="0.4">
      <c r="C158" s="192" t="s">
        <v>560</v>
      </c>
      <c r="D158" s="193" t="s">
        <v>663</v>
      </c>
      <c r="E158" s="194"/>
      <c r="F158" s="1352">
        <v>62296691.82</v>
      </c>
      <c r="G158" s="200">
        <v>423769590.50999999</v>
      </c>
      <c r="H158" s="200">
        <v>486066282.32999998</v>
      </c>
      <c r="I158" s="1353">
        <v>3130847392.9000001</v>
      </c>
      <c r="J158" s="1352">
        <v>977359436.4000001</v>
      </c>
      <c r="K158" s="1353">
        <v>2612879540.4000001</v>
      </c>
      <c r="L158" s="1352">
        <v>949318109.75</v>
      </c>
      <c r="M158" s="1353">
        <v>2567364069.8999996</v>
      </c>
    </row>
    <row r="159" spans="3:16" ht="13.15" x14ac:dyDescent="0.4">
      <c r="C159" s="192" t="s">
        <v>770</v>
      </c>
      <c r="D159" s="196"/>
      <c r="E159" s="197"/>
      <c r="F159" s="201"/>
      <c r="G159" s="202"/>
      <c r="H159" s="202"/>
      <c r="I159" s="203"/>
      <c r="J159" s="201"/>
      <c r="K159" s="203"/>
      <c r="L159" s="201"/>
      <c r="M159" s="204">
        <v>54747888.869999997</v>
      </c>
    </row>
    <row r="160" spans="3:16" ht="13.15" x14ac:dyDescent="0.4">
      <c r="C160" s="198" t="s">
        <v>667</v>
      </c>
      <c r="D160" s="199"/>
      <c r="E160" s="199"/>
      <c r="F160" s="205">
        <f>SUM(F126:F158)</f>
        <v>2113099972.3572001</v>
      </c>
      <c r="G160" s="205">
        <f>SUM(G126:G158)</f>
        <v>10440378764.529001</v>
      </c>
      <c r="H160" s="205">
        <f>SUM(H126:H158)</f>
        <v>12553478736.920004</v>
      </c>
      <c r="I160" s="205">
        <f>SUM(I126:I158)</f>
        <v>25246512052.91</v>
      </c>
      <c r="J160" s="206">
        <f>SUM(J126:J158)</f>
        <v>40873551982.147003</v>
      </c>
      <c r="K160" s="206">
        <f>SUM(K126:K159)</f>
        <v>20672177437.48</v>
      </c>
      <c r="L160" s="206">
        <f>SUM(L126:L158)</f>
        <v>39643153234.487015</v>
      </c>
      <c r="M160" s="1294">
        <f>SUM(M126:M159)</f>
        <v>20356121714.829998</v>
      </c>
      <c r="N160" s="1747"/>
      <c r="P160" s="1747"/>
    </row>
    <row r="161" spans="3:17" ht="13.15" x14ac:dyDescent="0.4">
      <c r="C161" s="1771"/>
      <c r="D161" s="1772"/>
      <c r="E161" s="1772"/>
      <c r="F161" s="1772"/>
      <c r="G161" s="1772"/>
      <c r="H161" s="1773"/>
      <c r="I161" s="1773"/>
      <c r="J161" s="1774"/>
      <c r="K161" s="1774"/>
      <c r="L161" s="1774"/>
      <c r="M161" s="1774"/>
      <c r="N161" s="1747"/>
    </row>
    <row r="162" spans="3:17" ht="13.15" x14ac:dyDescent="0.4">
      <c r="C162" s="1763" t="s">
        <v>771</v>
      </c>
      <c r="D162" s="1763"/>
      <c r="E162" s="1763"/>
      <c r="F162" s="1775"/>
      <c r="G162" s="1775"/>
      <c r="H162" s="1775"/>
      <c r="I162" s="1775"/>
      <c r="J162" s="1775"/>
      <c r="K162" s="1776"/>
      <c r="L162" s="1775"/>
      <c r="M162" s="1777"/>
    </row>
    <row r="163" spans="3:17" ht="13.15" x14ac:dyDescent="0.4">
      <c r="C163" s="1763"/>
      <c r="D163" s="1763"/>
      <c r="E163" s="1763"/>
      <c r="F163" s="1775"/>
      <c r="G163" s="1775"/>
      <c r="H163" s="1775"/>
      <c r="I163" s="1775"/>
      <c r="J163" s="1775"/>
      <c r="K163" s="1775"/>
      <c r="L163" s="1775"/>
      <c r="M163" s="1777"/>
    </row>
    <row r="164" spans="3:17" ht="21" x14ac:dyDescent="0.4">
      <c r="C164" s="1762" t="s">
        <v>772</v>
      </c>
      <c r="D164" s="1762" t="s">
        <v>2370</v>
      </c>
      <c r="E164" s="1763"/>
      <c r="F164" s="1778"/>
      <c r="G164" s="1778"/>
      <c r="H164" s="1778"/>
      <c r="I164" s="1778"/>
      <c r="J164" s="1778"/>
      <c r="K164" s="1769"/>
      <c r="L164" s="1779"/>
      <c r="M164" s="1769"/>
      <c r="N164" s="1769"/>
      <c r="O164" s="1769"/>
      <c r="P164" s="1769"/>
      <c r="Q164" s="1769"/>
    </row>
    <row r="165" spans="3:17" ht="13.5" thickBot="1" x14ac:dyDescent="0.45">
      <c r="C165" s="1778"/>
      <c r="D165" s="1780"/>
      <c r="E165" s="1770"/>
      <c r="F165" s="1770"/>
      <c r="G165" s="1770"/>
      <c r="H165" s="1770"/>
      <c r="I165" s="1770"/>
      <c r="J165" s="1770"/>
      <c r="K165" s="1770"/>
      <c r="L165" s="1781"/>
      <c r="M165" s="1770"/>
      <c r="N165" s="1770"/>
      <c r="O165" s="1770"/>
      <c r="P165" s="1769"/>
      <c r="Q165" s="1769"/>
    </row>
    <row r="166" spans="3:17" ht="13.15" x14ac:dyDescent="0.4">
      <c r="C166" s="2279" t="s">
        <v>618</v>
      </c>
      <c r="D166" s="2282" t="s">
        <v>619</v>
      </c>
      <c r="E166" s="2285" t="s">
        <v>620</v>
      </c>
      <c r="F166" s="2289" t="s">
        <v>773</v>
      </c>
      <c r="G166" s="2290"/>
      <c r="H166" s="2290"/>
      <c r="I166" s="2290"/>
      <c r="J166" s="2291"/>
      <c r="K166" s="207"/>
      <c r="L166" s="2292" t="s">
        <v>115</v>
      </c>
      <c r="M166" s="2285"/>
      <c r="N166" s="2285"/>
      <c r="O166" s="2285"/>
      <c r="P166" s="2288"/>
      <c r="Q166" s="1769"/>
    </row>
    <row r="167" spans="3:17" ht="13.15" x14ac:dyDescent="0.4">
      <c r="C167" s="2280"/>
      <c r="D167" s="2283"/>
      <c r="E167" s="2286"/>
      <c r="F167" s="2293" t="s">
        <v>591</v>
      </c>
      <c r="G167" s="2294"/>
      <c r="H167" s="2293" t="s">
        <v>761</v>
      </c>
      <c r="I167" s="2295"/>
      <c r="J167" s="2296"/>
      <c r="K167" s="207"/>
      <c r="L167" s="2297" t="s">
        <v>591</v>
      </c>
      <c r="M167" s="2286"/>
      <c r="N167" s="2286" t="s">
        <v>761</v>
      </c>
      <c r="O167" s="2286"/>
      <c r="P167" s="2298"/>
      <c r="Q167" s="1770"/>
    </row>
    <row r="168" spans="3:17" ht="26.65" thickBot="1" x14ac:dyDescent="0.45">
      <c r="C168" s="2281"/>
      <c r="D168" s="2284"/>
      <c r="E168" s="2287"/>
      <c r="F168" s="208" t="s">
        <v>593</v>
      </c>
      <c r="G168" s="208" t="s">
        <v>350</v>
      </c>
      <c r="H168" s="208" t="s">
        <v>593</v>
      </c>
      <c r="I168" s="208" t="s">
        <v>350</v>
      </c>
      <c r="J168" s="209" t="s">
        <v>600</v>
      </c>
      <c r="K168" s="207"/>
      <c r="L168" s="210" t="s">
        <v>593</v>
      </c>
      <c r="M168" s="208" t="s">
        <v>350</v>
      </c>
      <c r="N168" s="208" t="s">
        <v>593</v>
      </c>
      <c r="O168" s="208" t="s">
        <v>350</v>
      </c>
      <c r="P168" s="209" t="s">
        <v>600</v>
      </c>
      <c r="Q168" s="1770"/>
    </row>
    <row r="169" spans="3:17" ht="13.15" x14ac:dyDescent="0.4">
      <c r="C169" s="211" t="s">
        <v>528</v>
      </c>
      <c r="D169" s="192" t="s">
        <v>630</v>
      </c>
      <c r="E169" s="212"/>
      <c r="F169" s="213">
        <f t="shared" ref="F169:F201" si="5">M213+O213</f>
        <v>0.49865743660447592</v>
      </c>
      <c r="G169" s="214">
        <f>G213</f>
        <v>0.21678144357394052</v>
      </c>
      <c r="H169" s="215">
        <f t="shared" ref="H169:H201" si="6">L213+N213</f>
        <v>1.2258337810679365E-2</v>
      </c>
      <c r="I169" s="214">
        <f>F213+I213+J213+K213</f>
        <v>8.2241444733009317</v>
      </c>
      <c r="J169" s="216">
        <f>P213</f>
        <v>4.6680123047987276</v>
      </c>
      <c r="K169" s="217"/>
      <c r="L169" s="218">
        <f>F169*$D$206</f>
        <v>5799385.987710055</v>
      </c>
      <c r="M169" s="219">
        <f>G169*$D$206</f>
        <v>2521168.1887649284</v>
      </c>
      <c r="N169" s="219">
        <f>H169*$D$206</f>
        <v>142564.46873820102</v>
      </c>
      <c r="O169" s="219">
        <f>I169*$D$206</f>
        <v>95646800.224489838</v>
      </c>
      <c r="P169" s="220">
        <f>J169*$D$206</f>
        <v>54288983.104809202</v>
      </c>
      <c r="Q169" s="1769"/>
    </row>
    <row r="170" spans="3:17" ht="13.15" x14ac:dyDescent="0.4">
      <c r="C170" s="211" t="s">
        <v>529</v>
      </c>
      <c r="D170" s="192" t="s">
        <v>631</v>
      </c>
      <c r="E170" s="212"/>
      <c r="F170" s="213">
        <f t="shared" si="5"/>
        <v>0.47674282737262885</v>
      </c>
      <c r="G170" s="214">
        <f t="shared" ref="G170:G201" si="7">G214</f>
        <v>0.72421861223513251</v>
      </c>
      <c r="H170" s="215">
        <f t="shared" si="6"/>
        <v>0.14030352642596011</v>
      </c>
      <c r="I170" s="214">
        <f t="shared" ref="I170:I201" si="8">F214+I214+J214+K214</f>
        <v>4.8054873189439888</v>
      </c>
      <c r="J170" s="216">
        <f t="shared" ref="J170:J201" si="9">P214</f>
        <v>4.513768987943239</v>
      </c>
      <c r="K170" s="217"/>
      <c r="L170" s="218">
        <f t="shared" ref="L170:L195" si="10">F170*$D$206</f>
        <v>5544519.0823436733</v>
      </c>
      <c r="M170" s="219">
        <f t="shared" ref="M170:M195" si="11">G170*$D$206</f>
        <v>8422662.4602945913</v>
      </c>
      <c r="N170" s="219">
        <f t="shared" ref="N170:N195" si="12">H170*$D$206</f>
        <v>1631730.012333916</v>
      </c>
      <c r="O170" s="219">
        <f t="shared" ref="O170:O195" si="13">I170*$D$206</f>
        <v>55887817.519318588</v>
      </c>
      <c r="P170" s="220">
        <f t="shared" ref="P170:P195" si="14">J170*$D$206</f>
        <v>52495133.329779871</v>
      </c>
      <c r="Q170" s="1769"/>
    </row>
    <row r="171" spans="3:17" ht="13.15" x14ac:dyDescent="0.4">
      <c r="C171" s="211" t="s">
        <v>530</v>
      </c>
      <c r="D171" s="192" t="s">
        <v>632</v>
      </c>
      <c r="E171" s="212"/>
      <c r="F171" s="213">
        <f t="shared" si="5"/>
        <v>0.58684847383549754</v>
      </c>
      <c r="G171" s="214">
        <f t="shared" si="7"/>
        <v>0.50642206599880812</v>
      </c>
      <c r="H171" s="215">
        <f t="shared" si="6"/>
        <v>4.4163469643850373E-2</v>
      </c>
      <c r="I171" s="214">
        <f t="shared" si="8"/>
        <v>8.5756325587614182</v>
      </c>
      <c r="J171" s="216">
        <f t="shared" si="9"/>
        <v>7.9944854214231178</v>
      </c>
      <c r="K171" s="217"/>
      <c r="L171" s="218">
        <f t="shared" si="10"/>
        <v>6825047.7507068366</v>
      </c>
      <c r="M171" s="219">
        <f t="shared" si="11"/>
        <v>5889688.6275661383</v>
      </c>
      <c r="N171" s="219">
        <f t="shared" si="12"/>
        <v>513621.15195797983</v>
      </c>
      <c r="O171" s="219">
        <f t="shared" si="13"/>
        <v>99734606.65839529</v>
      </c>
      <c r="P171" s="220">
        <f t="shared" si="14"/>
        <v>92975865.451150864</v>
      </c>
      <c r="Q171" s="1769"/>
    </row>
    <row r="172" spans="3:17" ht="13.15" x14ac:dyDescent="0.4">
      <c r="C172" s="211" t="s">
        <v>531</v>
      </c>
      <c r="D172" s="192" t="s">
        <v>633</v>
      </c>
      <c r="E172" s="212"/>
      <c r="F172" s="213">
        <f t="shared" si="5"/>
        <v>0.34436624979384767</v>
      </c>
      <c r="G172" s="214">
        <f t="shared" si="7"/>
        <v>0.43162539439368408</v>
      </c>
      <c r="H172" s="215">
        <f t="shared" si="6"/>
        <v>0</v>
      </c>
      <c r="I172" s="214">
        <f t="shared" si="8"/>
        <v>7.2749320790349001</v>
      </c>
      <c r="J172" s="216">
        <f t="shared" si="9"/>
        <v>3.2929445985966526</v>
      </c>
      <c r="K172" s="217"/>
      <c r="L172" s="218">
        <f t="shared" si="10"/>
        <v>4004979.4851024481</v>
      </c>
      <c r="M172" s="219">
        <f t="shared" si="11"/>
        <v>5019803.3367985459</v>
      </c>
      <c r="N172" s="219">
        <f t="shared" si="12"/>
        <v>0</v>
      </c>
      <c r="O172" s="219">
        <f t="shared" si="13"/>
        <v>84607460.079175889</v>
      </c>
      <c r="P172" s="220">
        <f t="shared" si="14"/>
        <v>38296945.68167907</v>
      </c>
      <c r="Q172" s="1769"/>
    </row>
    <row r="173" spans="3:17" ht="13.15" x14ac:dyDescent="0.4">
      <c r="C173" s="211" t="s">
        <v>532</v>
      </c>
      <c r="D173" s="192" t="s">
        <v>634</v>
      </c>
      <c r="E173" s="212"/>
      <c r="F173" s="213">
        <f t="shared" si="5"/>
        <v>0.63031467055792367</v>
      </c>
      <c r="G173" s="214">
        <f t="shared" si="7"/>
        <v>1.1563951751388883</v>
      </c>
      <c r="H173" s="215">
        <f t="shared" si="6"/>
        <v>6.2977993638909161E-4</v>
      </c>
      <c r="I173" s="214">
        <f t="shared" si="8"/>
        <v>6.9304815400007058</v>
      </c>
      <c r="J173" s="216">
        <f t="shared" si="9"/>
        <v>5.6106466104277359</v>
      </c>
      <c r="K173" s="217"/>
      <c r="L173" s="218">
        <f t="shared" si="10"/>
        <v>7330559.6185886525</v>
      </c>
      <c r="M173" s="219">
        <f t="shared" si="11"/>
        <v>13448875.886865271</v>
      </c>
      <c r="N173" s="219">
        <f t="shared" si="12"/>
        <v>7324.3406602051355</v>
      </c>
      <c r="O173" s="219">
        <f t="shared" si="13"/>
        <v>80601500.310208201</v>
      </c>
      <c r="P173" s="220">
        <f t="shared" si="14"/>
        <v>65251820.079274572</v>
      </c>
      <c r="Q173" s="1769"/>
    </row>
    <row r="174" spans="3:17" ht="13.15" x14ac:dyDescent="0.4">
      <c r="C174" s="211" t="s">
        <v>533</v>
      </c>
      <c r="D174" s="192" t="s">
        <v>635</v>
      </c>
      <c r="E174" s="212"/>
      <c r="F174" s="213">
        <f t="shared" si="5"/>
        <v>0.11579731627252457</v>
      </c>
      <c r="G174" s="214">
        <f t="shared" si="7"/>
        <v>0.80225834235005389</v>
      </c>
      <c r="H174" s="215">
        <f t="shared" si="6"/>
        <v>1.2085722559271404E-2</v>
      </c>
      <c r="I174" s="214">
        <f t="shared" si="8"/>
        <v>5.784319167575104</v>
      </c>
      <c r="J174" s="216">
        <f t="shared" si="9"/>
        <v>1.0322549203961431</v>
      </c>
      <c r="K174" s="217"/>
      <c r="L174" s="218">
        <f t="shared" si="10"/>
        <v>1346722.7882494607</v>
      </c>
      <c r="M174" s="219">
        <f t="shared" si="11"/>
        <v>9330264.5215311274</v>
      </c>
      <c r="N174" s="219">
        <f t="shared" si="12"/>
        <v>140556.95336432641</v>
      </c>
      <c r="O174" s="219">
        <f t="shared" si="13"/>
        <v>67271631.918898463</v>
      </c>
      <c r="P174" s="220">
        <f t="shared" si="14"/>
        <v>12005124.724207144</v>
      </c>
      <c r="Q174" s="1769"/>
    </row>
    <row r="175" spans="3:17" ht="13.15" x14ac:dyDescent="0.4">
      <c r="C175" s="211" t="s">
        <v>534</v>
      </c>
      <c r="D175" s="192" t="s">
        <v>636</v>
      </c>
      <c r="E175" s="212"/>
      <c r="F175" s="213">
        <f t="shared" si="5"/>
        <v>4.4806176592806449E-4</v>
      </c>
      <c r="G175" s="214">
        <f t="shared" si="7"/>
        <v>2.9083890010541638E-2</v>
      </c>
      <c r="H175" s="215">
        <f t="shared" si="6"/>
        <v>4.0285741864238001E-3</v>
      </c>
      <c r="I175" s="214">
        <f t="shared" si="8"/>
        <v>4.2822186815143226</v>
      </c>
      <c r="J175" s="216">
        <f t="shared" si="9"/>
        <v>4.4932735123604569E-3</v>
      </c>
      <c r="K175" s="217"/>
      <c r="L175" s="218">
        <f t="shared" si="10"/>
        <v>5210.9583377433901</v>
      </c>
      <c r="M175" s="219">
        <f t="shared" si="11"/>
        <v>338245.64082259923</v>
      </c>
      <c r="N175" s="219">
        <f t="shared" si="12"/>
        <v>46852.317788108798</v>
      </c>
      <c r="O175" s="219">
        <f t="shared" si="13"/>
        <v>49802203.266011573</v>
      </c>
      <c r="P175" s="220">
        <f t="shared" si="14"/>
        <v>52256.770948752113</v>
      </c>
      <c r="Q175" s="1769"/>
    </row>
    <row r="176" spans="3:17" ht="13.15" x14ac:dyDescent="0.4">
      <c r="C176" s="211" t="s">
        <v>535</v>
      </c>
      <c r="D176" s="192" t="s">
        <v>637</v>
      </c>
      <c r="E176" s="212"/>
      <c r="F176" s="213">
        <f t="shared" si="5"/>
        <v>0.79294223945772502</v>
      </c>
      <c r="G176" s="214">
        <f t="shared" si="7"/>
        <v>0.74201862169939603</v>
      </c>
      <c r="H176" s="215">
        <f t="shared" si="6"/>
        <v>1.9567524872223092E-2</v>
      </c>
      <c r="I176" s="214">
        <f t="shared" si="8"/>
        <v>3.0404463568529536</v>
      </c>
      <c r="J176" s="216">
        <f t="shared" si="9"/>
        <v>7.3716648310621498</v>
      </c>
      <c r="K176" s="217"/>
      <c r="L176" s="218">
        <f t="shared" si="10"/>
        <v>9221918.2448933423</v>
      </c>
      <c r="M176" s="219">
        <f t="shared" si="11"/>
        <v>8629676.5703639761</v>
      </c>
      <c r="N176" s="219">
        <f t="shared" si="12"/>
        <v>227570.31426395455</v>
      </c>
      <c r="O176" s="219">
        <f t="shared" si="13"/>
        <v>35360391.13019985</v>
      </c>
      <c r="P176" s="220">
        <f t="shared" si="14"/>
        <v>85732461.985252798</v>
      </c>
      <c r="Q176" s="1769"/>
    </row>
    <row r="177" spans="3:17" ht="13.15" x14ac:dyDescent="0.4">
      <c r="C177" s="211" t="s">
        <v>536</v>
      </c>
      <c r="D177" s="192" t="s">
        <v>638</v>
      </c>
      <c r="E177" s="212"/>
      <c r="F177" s="213">
        <f t="shared" si="5"/>
        <v>0.53781222603408796</v>
      </c>
      <c r="G177" s="214">
        <f t="shared" si="7"/>
        <v>0.54408280779185136</v>
      </c>
      <c r="H177" s="215">
        <f t="shared" si="6"/>
        <v>4.5931790713315795E-2</v>
      </c>
      <c r="I177" s="214">
        <f t="shared" si="8"/>
        <v>8.5613616154365033</v>
      </c>
      <c r="J177" s="216">
        <f t="shared" si="9"/>
        <v>4.9360061796404766</v>
      </c>
      <c r="K177" s="217"/>
      <c r="L177" s="218">
        <f t="shared" si="10"/>
        <v>6254756.1887764428</v>
      </c>
      <c r="M177" s="219">
        <f t="shared" si="11"/>
        <v>6327683.0546192313</v>
      </c>
      <c r="N177" s="219">
        <f t="shared" si="12"/>
        <v>534186.72599586274</v>
      </c>
      <c r="O177" s="219">
        <f t="shared" si="13"/>
        <v>99568635.58752653</v>
      </c>
      <c r="P177" s="220">
        <f t="shared" si="14"/>
        <v>57405751.869218744</v>
      </c>
      <c r="Q177" s="1769"/>
    </row>
    <row r="178" spans="3:17" ht="13.15" x14ac:dyDescent="0.4">
      <c r="C178" s="211" t="s">
        <v>537</v>
      </c>
      <c r="D178" s="192" t="s">
        <v>639</v>
      </c>
      <c r="E178" s="212"/>
      <c r="F178" s="213">
        <f t="shared" si="5"/>
        <v>0.64581220288945351</v>
      </c>
      <c r="G178" s="214">
        <f t="shared" si="7"/>
        <v>0.52740398970938818</v>
      </c>
      <c r="H178" s="215">
        <f t="shared" si="6"/>
        <v>2.6469737459711956E-2</v>
      </c>
      <c r="I178" s="214">
        <f t="shared" si="8"/>
        <v>6.1036575517547416</v>
      </c>
      <c r="J178" s="216">
        <f t="shared" si="9"/>
        <v>6.0948235417166474</v>
      </c>
      <c r="K178" s="217"/>
      <c r="L178" s="218">
        <f t="shared" si="10"/>
        <v>7510795.9196043443</v>
      </c>
      <c r="M178" s="219">
        <f t="shared" si="11"/>
        <v>6133708.4003201844</v>
      </c>
      <c r="N178" s="219">
        <f t="shared" si="12"/>
        <v>307843.04665645002</v>
      </c>
      <c r="O178" s="219">
        <f t="shared" si="13"/>
        <v>70985537.32690765</v>
      </c>
      <c r="P178" s="220">
        <f t="shared" si="14"/>
        <v>70882797.790164605</v>
      </c>
      <c r="Q178" s="1769"/>
    </row>
    <row r="179" spans="3:17" ht="13.15" x14ac:dyDescent="0.4">
      <c r="C179" s="211" t="s">
        <v>538</v>
      </c>
      <c r="D179" s="192" t="s">
        <v>640</v>
      </c>
      <c r="E179" s="212"/>
      <c r="F179" s="213">
        <f t="shared" si="5"/>
        <v>0.48248598066268766</v>
      </c>
      <c r="G179" s="214">
        <f t="shared" si="7"/>
        <v>0.39582308549151046</v>
      </c>
      <c r="H179" s="215">
        <f t="shared" si="6"/>
        <v>4.0954345979838398E-3</v>
      </c>
      <c r="I179" s="214">
        <f t="shared" si="8"/>
        <v>6.0625434812599153</v>
      </c>
      <c r="J179" s="216">
        <f t="shared" si="9"/>
        <v>4.5831881539401627</v>
      </c>
      <c r="K179" s="217"/>
      <c r="L179" s="218">
        <f t="shared" si="10"/>
        <v>5611311.9551070575</v>
      </c>
      <c r="M179" s="219">
        <f t="shared" si="11"/>
        <v>4603422.4842662662</v>
      </c>
      <c r="N179" s="219">
        <f t="shared" si="12"/>
        <v>47629.904374552054</v>
      </c>
      <c r="O179" s="219">
        <f t="shared" si="13"/>
        <v>70507380.687052816</v>
      </c>
      <c r="P179" s="220">
        <f t="shared" si="14"/>
        <v>53302478.23032409</v>
      </c>
      <c r="Q179" s="1769"/>
    </row>
    <row r="180" spans="3:17" ht="13.15" x14ac:dyDescent="0.4">
      <c r="C180" s="211" t="s">
        <v>539</v>
      </c>
      <c r="D180" s="192" t="s">
        <v>641</v>
      </c>
      <c r="E180" s="212"/>
      <c r="F180" s="213">
        <f t="shared" si="5"/>
        <v>0.18823843710425878</v>
      </c>
      <c r="G180" s="214">
        <f t="shared" si="7"/>
        <v>0.25786265074868464</v>
      </c>
      <c r="H180" s="215">
        <f t="shared" si="6"/>
        <v>4.8192043830274076E-2</v>
      </c>
      <c r="I180" s="214">
        <f t="shared" si="8"/>
        <v>2.1281703652510724</v>
      </c>
      <c r="J180" s="216">
        <f t="shared" si="9"/>
        <v>1.7099980007800086</v>
      </c>
      <c r="K180" s="217"/>
      <c r="L180" s="218">
        <f t="shared" si="10"/>
        <v>2189213.0235225298</v>
      </c>
      <c r="M180" s="219">
        <f t="shared" si="11"/>
        <v>2998942.6282072025</v>
      </c>
      <c r="N180" s="219">
        <f t="shared" si="12"/>
        <v>560473.46974608744</v>
      </c>
      <c r="O180" s="219">
        <f t="shared" si="13"/>
        <v>24750621.347869974</v>
      </c>
      <c r="P180" s="220">
        <f t="shared" si="14"/>
        <v>19887276.749071501</v>
      </c>
      <c r="Q180" s="1769"/>
    </row>
    <row r="181" spans="3:17" ht="13.15" x14ac:dyDescent="0.4">
      <c r="C181" s="211" t="s">
        <v>540</v>
      </c>
      <c r="D181" s="192" t="s">
        <v>642</v>
      </c>
      <c r="E181" s="212"/>
      <c r="F181" s="213">
        <f t="shared" si="5"/>
        <v>0.18468353954125349</v>
      </c>
      <c r="G181" s="214">
        <f t="shared" si="7"/>
        <v>0.31185555381371582</v>
      </c>
      <c r="H181" s="215">
        <f t="shared" si="6"/>
        <v>0</v>
      </c>
      <c r="I181" s="214">
        <f t="shared" si="8"/>
        <v>3.114882780991187</v>
      </c>
      <c r="J181" s="216">
        <f t="shared" si="9"/>
        <v>1.788540331818449</v>
      </c>
      <c r="K181" s="217"/>
      <c r="L181" s="218">
        <f t="shared" si="10"/>
        <v>2147869.564864778</v>
      </c>
      <c r="M181" s="219">
        <f t="shared" si="11"/>
        <v>3626880.0908535151</v>
      </c>
      <c r="N181" s="219">
        <f t="shared" si="12"/>
        <v>0</v>
      </c>
      <c r="O181" s="219">
        <f t="shared" si="13"/>
        <v>36226086.742927507</v>
      </c>
      <c r="P181" s="220">
        <f t="shared" si="14"/>
        <v>20800724.059048563</v>
      </c>
      <c r="Q181" s="1769"/>
    </row>
    <row r="182" spans="3:17" ht="13.15" x14ac:dyDescent="0.4">
      <c r="C182" s="211" t="s">
        <v>541</v>
      </c>
      <c r="D182" s="192" t="s">
        <v>643</v>
      </c>
      <c r="E182" s="212"/>
      <c r="F182" s="213">
        <f t="shared" si="5"/>
        <v>0.36944094546440942</v>
      </c>
      <c r="G182" s="214">
        <f t="shared" si="7"/>
        <v>0.26263795137104479</v>
      </c>
      <c r="H182" s="215">
        <f t="shared" si="6"/>
        <v>1.6114296745695176E-2</v>
      </c>
      <c r="I182" s="214">
        <f t="shared" si="8"/>
        <v>2.2242591923943063</v>
      </c>
      <c r="J182" s="216">
        <f t="shared" si="9"/>
        <v>3.5289596963736054</v>
      </c>
      <c r="K182" s="217"/>
      <c r="L182" s="218">
        <f t="shared" si="10"/>
        <v>4296598.1957510812</v>
      </c>
      <c r="M182" s="219">
        <f t="shared" si="11"/>
        <v>3054479.3744452507</v>
      </c>
      <c r="N182" s="219">
        <f t="shared" si="12"/>
        <v>187409.2711524349</v>
      </c>
      <c r="O182" s="219">
        <f t="shared" si="13"/>
        <v>25868134.407545783</v>
      </c>
      <c r="P182" s="220">
        <f t="shared" si="14"/>
        <v>41041801.268825032</v>
      </c>
      <c r="Q182" s="1769"/>
    </row>
    <row r="183" spans="3:17" ht="13.15" x14ac:dyDescent="0.4">
      <c r="C183" s="211" t="s">
        <v>542</v>
      </c>
      <c r="D183" s="192" t="s">
        <v>644</v>
      </c>
      <c r="E183" s="212"/>
      <c r="F183" s="213">
        <f t="shared" si="5"/>
        <v>0.35940131793826824</v>
      </c>
      <c r="G183" s="214">
        <f t="shared" si="7"/>
        <v>0.45549391562017044</v>
      </c>
      <c r="H183" s="215">
        <f t="shared" si="6"/>
        <v>3.3430205780019615E-5</v>
      </c>
      <c r="I183" s="214">
        <f t="shared" si="8"/>
        <v>1.9619048508580907</v>
      </c>
      <c r="J183" s="216">
        <f t="shared" si="9"/>
        <v>3.4275817712359311</v>
      </c>
      <c r="K183" s="217"/>
      <c r="L183" s="218">
        <f t="shared" si="10"/>
        <v>4179837.3276220597</v>
      </c>
      <c r="M183" s="219">
        <f t="shared" si="11"/>
        <v>5297394.2386625819</v>
      </c>
      <c r="N183" s="219">
        <f t="shared" si="12"/>
        <v>388.79329322162812</v>
      </c>
      <c r="O183" s="219">
        <f t="shared" si="13"/>
        <v>22816953.415479597</v>
      </c>
      <c r="P183" s="220">
        <f t="shared" si="14"/>
        <v>39862775.999473877</v>
      </c>
      <c r="Q183" s="1769"/>
    </row>
    <row r="184" spans="3:17" ht="13.15" x14ac:dyDescent="0.4">
      <c r="C184" s="211" t="s">
        <v>543</v>
      </c>
      <c r="D184" s="192" t="s">
        <v>645</v>
      </c>
      <c r="E184" s="212"/>
      <c r="F184" s="213">
        <f t="shared" si="5"/>
        <v>0.59844613461201268</v>
      </c>
      <c r="G184" s="214">
        <f t="shared" si="7"/>
        <v>0.63993873559408954</v>
      </c>
      <c r="H184" s="215">
        <f t="shared" si="6"/>
        <v>4.8265662472163559E-2</v>
      </c>
      <c r="I184" s="214">
        <f t="shared" si="8"/>
        <v>5.4764731548548511</v>
      </c>
      <c r="J184" s="216">
        <f t="shared" si="9"/>
        <v>5.1473441523363217</v>
      </c>
      <c r="K184" s="217"/>
      <c r="L184" s="218">
        <f t="shared" si="10"/>
        <v>6959928.5455377074</v>
      </c>
      <c r="M184" s="219">
        <f t="shared" si="11"/>
        <v>7442487.4949592613</v>
      </c>
      <c r="N184" s="219">
        <f t="shared" si="12"/>
        <v>561329.65455126215</v>
      </c>
      <c r="O184" s="219">
        <f t="shared" si="13"/>
        <v>63691382.790961921</v>
      </c>
      <c r="P184" s="220">
        <f t="shared" si="14"/>
        <v>59863612.491671421</v>
      </c>
      <c r="Q184" s="1769"/>
    </row>
    <row r="185" spans="3:17" ht="13.15" x14ac:dyDescent="0.4">
      <c r="C185" s="211" t="s">
        <v>544</v>
      </c>
      <c r="D185" s="192" t="s">
        <v>646</v>
      </c>
      <c r="E185" s="212"/>
      <c r="F185" s="213">
        <f t="shared" si="5"/>
        <v>0.49904024474295228</v>
      </c>
      <c r="G185" s="214">
        <f t="shared" si="7"/>
        <v>0.77241035603893748</v>
      </c>
      <c r="H185" s="215">
        <f t="shared" si="6"/>
        <v>3.0064550257891346E-2</v>
      </c>
      <c r="I185" s="214">
        <f t="shared" si="8"/>
        <v>41.6149136868463</v>
      </c>
      <c r="J185" s="216">
        <f t="shared" si="9"/>
        <v>11.246224539859611</v>
      </c>
      <c r="K185" s="217"/>
      <c r="L185" s="218">
        <f t="shared" si="10"/>
        <v>5803838.0463605346</v>
      </c>
      <c r="M185" s="219">
        <f t="shared" si="11"/>
        <v>8983132.4407328423</v>
      </c>
      <c r="N185" s="219">
        <f t="shared" si="12"/>
        <v>349650.71949927637</v>
      </c>
      <c r="O185" s="219">
        <f t="shared" si="13"/>
        <v>483981446.17802244</v>
      </c>
      <c r="P185" s="220">
        <f t="shared" si="14"/>
        <v>130793591.39856727</v>
      </c>
      <c r="Q185" s="1769"/>
    </row>
    <row r="186" spans="3:17" ht="13.15" x14ac:dyDescent="0.4">
      <c r="C186" s="211" t="s">
        <v>545</v>
      </c>
      <c r="D186" s="192" t="s">
        <v>647</v>
      </c>
      <c r="E186" s="212"/>
      <c r="F186" s="213">
        <f t="shared" si="5"/>
        <v>0.41977864317472763</v>
      </c>
      <c r="G186" s="214">
        <f t="shared" si="7"/>
        <v>0.59642400685031449</v>
      </c>
      <c r="H186" s="215">
        <f t="shared" si="6"/>
        <v>5.5204337054812903E-2</v>
      </c>
      <c r="I186" s="214">
        <f t="shared" si="8"/>
        <v>4.220453659613999</v>
      </c>
      <c r="J186" s="216">
        <f t="shared" si="9"/>
        <v>3.8637257873270654</v>
      </c>
      <c r="K186" s="217"/>
      <c r="L186" s="218">
        <f t="shared" si="10"/>
        <v>4882025.6201220825</v>
      </c>
      <c r="M186" s="219">
        <f t="shared" si="11"/>
        <v>6936411.1996691572</v>
      </c>
      <c r="N186" s="219">
        <f t="shared" si="12"/>
        <v>642026.43994747405</v>
      </c>
      <c r="O186" s="219">
        <f t="shared" si="13"/>
        <v>49083876.061310805</v>
      </c>
      <c r="P186" s="220">
        <f t="shared" si="14"/>
        <v>44935130.906613767</v>
      </c>
      <c r="Q186" s="1769"/>
    </row>
    <row r="187" spans="3:17" ht="13.15" x14ac:dyDescent="0.4">
      <c r="C187" s="211" t="s">
        <v>546</v>
      </c>
      <c r="D187" s="192" t="s">
        <v>648</v>
      </c>
      <c r="E187" s="212"/>
      <c r="F187" s="213">
        <f t="shared" si="5"/>
        <v>0.1359896535816259</v>
      </c>
      <c r="G187" s="214">
        <f t="shared" si="7"/>
        <v>0.27001472375898072</v>
      </c>
      <c r="H187" s="215">
        <f t="shared" si="6"/>
        <v>5.9929481340109274E-2</v>
      </c>
      <c r="I187" s="214">
        <f t="shared" si="8"/>
        <v>2.1829635783886694</v>
      </c>
      <c r="J187" s="216">
        <f t="shared" si="9"/>
        <v>1.2589576622197292</v>
      </c>
      <c r="K187" s="217"/>
      <c r="L187" s="218">
        <f t="shared" si="10"/>
        <v>1581559.6711543093</v>
      </c>
      <c r="M187" s="219">
        <f t="shared" si="11"/>
        <v>3140271.237316946</v>
      </c>
      <c r="N187" s="219">
        <f t="shared" si="12"/>
        <v>696979.8679854708</v>
      </c>
      <c r="O187" s="219">
        <f t="shared" si="13"/>
        <v>25387866.416660223</v>
      </c>
      <c r="P187" s="220">
        <f t="shared" si="14"/>
        <v>14641677.611615449</v>
      </c>
      <c r="Q187" s="1769"/>
    </row>
    <row r="188" spans="3:17" ht="13.15" x14ac:dyDescent="0.4">
      <c r="C188" s="211" t="s">
        <v>547</v>
      </c>
      <c r="D188" s="192" t="s">
        <v>649</v>
      </c>
      <c r="E188" s="212"/>
      <c r="F188" s="213">
        <f t="shared" si="5"/>
        <v>0.11059187415421487</v>
      </c>
      <c r="G188" s="214">
        <f t="shared" si="7"/>
        <v>0.68714105856820207</v>
      </c>
      <c r="H188" s="215">
        <f t="shared" si="6"/>
        <v>1.4721156547950085E-2</v>
      </c>
      <c r="I188" s="214">
        <f t="shared" si="8"/>
        <v>0.74632733285929875</v>
      </c>
      <c r="J188" s="216">
        <f t="shared" si="9"/>
        <v>1.0037329245556514</v>
      </c>
      <c r="K188" s="217"/>
      <c r="L188" s="218">
        <f t="shared" si="10"/>
        <v>1286183.4964135189</v>
      </c>
      <c r="M188" s="219">
        <f t="shared" si="11"/>
        <v>7991450.5111481901</v>
      </c>
      <c r="N188" s="219">
        <f t="shared" si="12"/>
        <v>171207.0506526595</v>
      </c>
      <c r="O188" s="219">
        <f t="shared" si="13"/>
        <v>8679786.881153645</v>
      </c>
      <c r="P188" s="220">
        <f t="shared" si="14"/>
        <v>11673413.912582226</v>
      </c>
      <c r="Q188" s="1769"/>
    </row>
    <row r="189" spans="3:17" ht="13.15" x14ac:dyDescent="0.4">
      <c r="C189" s="211" t="s">
        <v>650</v>
      </c>
      <c r="D189" s="192" t="s">
        <v>651</v>
      </c>
      <c r="E189" s="212"/>
      <c r="F189" s="213">
        <f t="shared" si="5"/>
        <v>0.28996632661882182</v>
      </c>
      <c r="G189" s="214">
        <f t="shared" si="7"/>
        <v>0.28428918844473444</v>
      </c>
      <c r="H189" s="215">
        <f t="shared" si="6"/>
        <v>8.0571483728476001E-2</v>
      </c>
      <c r="I189" s="214">
        <f t="shared" si="8"/>
        <v>2.6588134562713122</v>
      </c>
      <c r="J189" s="216">
        <f t="shared" si="9"/>
        <v>2.6559390414725477</v>
      </c>
      <c r="K189" s="217"/>
      <c r="L189" s="218">
        <f t="shared" si="10"/>
        <v>3372308.378576898</v>
      </c>
      <c r="M189" s="219">
        <f t="shared" si="11"/>
        <v>3306283.2616122616</v>
      </c>
      <c r="N189" s="219">
        <f t="shared" si="12"/>
        <v>937046.35576217587</v>
      </c>
      <c r="O189" s="219">
        <f t="shared" si="13"/>
        <v>30922000.496435359</v>
      </c>
      <c r="P189" s="220">
        <f t="shared" si="14"/>
        <v>30888571.052325729</v>
      </c>
      <c r="Q189" s="1769"/>
    </row>
    <row r="190" spans="3:17" ht="13.15" x14ac:dyDescent="0.4">
      <c r="C190" s="211" t="s">
        <v>549</v>
      </c>
      <c r="D190" s="192" t="s">
        <v>652</v>
      </c>
      <c r="E190" s="212"/>
      <c r="F190" s="213">
        <f t="shared" si="5"/>
        <v>0.3326756094280694</v>
      </c>
      <c r="G190" s="214">
        <f t="shared" si="7"/>
        <v>0.51528048434718732</v>
      </c>
      <c r="H190" s="215">
        <f t="shared" si="6"/>
        <v>0</v>
      </c>
      <c r="I190" s="214">
        <f t="shared" si="8"/>
        <v>1.338834929695911</v>
      </c>
      <c r="J190" s="216">
        <f t="shared" si="9"/>
        <v>3.1507012651066626</v>
      </c>
      <c r="K190" s="217"/>
      <c r="L190" s="218">
        <f t="shared" si="10"/>
        <v>3869017.3376484471</v>
      </c>
      <c r="M190" s="219">
        <f t="shared" si="11"/>
        <v>5992712.0329577886</v>
      </c>
      <c r="N190" s="219">
        <f t="shared" si="12"/>
        <v>0</v>
      </c>
      <c r="O190" s="219">
        <f t="shared" si="13"/>
        <v>15570650.232363446</v>
      </c>
      <c r="P190" s="220">
        <f t="shared" si="14"/>
        <v>36642655.713190489</v>
      </c>
      <c r="Q190" s="1769"/>
    </row>
    <row r="191" spans="3:17" ht="13.15" x14ac:dyDescent="0.4">
      <c r="C191" s="211" t="s">
        <v>550</v>
      </c>
      <c r="D191" s="192" t="s">
        <v>653</v>
      </c>
      <c r="E191" s="212"/>
      <c r="F191" s="213">
        <f t="shared" si="5"/>
        <v>0.52007697064589031</v>
      </c>
      <c r="G191" s="214">
        <f t="shared" si="7"/>
        <v>0.34603620869139906</v>
      </c>
      <c r="H191" s="215">
        <f t="shared" si="6"/>
        <v>7.7088633234113279E-3</v>
      </c>
      <c r="I191" s="214">
        <f t="shared" si="8"/>
        <v>0.91498348381345618</v>
      </c>
      <c r="J191" s="216">
        <f t="shared" si="9"/>
        <v>4.9402634144507767</v>
      </c>
      <c r="K191" s="217"/>
      <c r="L191" s="218">
        <f t="shared" si="10"/>
        <v>6048495.1686117044</v>
      </c>
      <c r="M191" s="219">
        <f t="shared" si="11"/>
        <v>4024401.1070809709</v>
      </c>
      <c r="N191" s="219">
        <f t="shared" si="12"/>
        <v>89654.080451273738</v>
      </c>
      <c r="O191" s="219">
        <f t="shared" si="13"/>
        <v>10641257.916750496</v>
      </c>
      <c r="P191" s="220">
        <f t="shared" si="14"/>
        <v>57455263.510062531</v>
      </c>
      <c r="Q191" s="1769"/>
    </row>
    <row r="192" spans="3:17" ht="13.15" x14ac:dyDescent="0.4">
      <c r="C192" s="211" t="s">
        <v>551</v>
      </c>
      <c r="D192" s="192" t="s">
        <v>654</v>
      </c>
      <c r="E192" s="212"/>
      <c r="F192" s="213">
        <f t="shared" si="5"/>
        <v>0.47977270760084728</v>
      </c>
      <c r="G192" s="214">
        <f t="shared" si="7"/>
        <v>0.37224354906473944</v>
      </c>
      <c r="H192" s="215">
        <f t="shared" si="6"/>
        <v>9.6348638826661614E-2</v>
      </c>
      <c r="I192" s="214">
        <f t="shared" si="8"/>
        <v>2.5280282611096512</v>
      </c>
      <c r="J192" s="216">
        <f t="shared" si="9"/>
        <v>4.652398545649552</v>
      </c>
      <c r="K192" s="217"/>
      <c r="L192" s="218">
        <f t="shared" si="10"/>
        <v>5579756.5893978542</v>
      </c>
      <c r="M192" s="219">
        <f t="shared" si="11"/>
        <v>4329192.4756229194</v>
      </c>
      <c r="N192" s="219">
        <f t="shared" si="12"/>
        <v>1120534.6695540745</v>
      </c>
      <c r="O192" s="219">
        <f t="shared" si="13"/>
        <v>29400968.676705245</v>
      </c>
      <c r="P192" s="220">
        <f t="shared" si="14"/>
        <v>54107395.085904293</v>
      </c>
      <c r="Q192" s="1769"/>
    </row>
    <row r="193" spans="3:17" ht="13.15" x14ac:dyDescent="0.4">
      <c r="C193" s="211" t="s">
        <v>552</v>
      </c>
      <c r="D193" s="192" t="s">
        <v>655</v>
      </c>
      <c r="E193" s="212"/>
      <c r="F193" s="213">
        <f t="shared" si="5"/>
        <v>0.53683450056902815</v>
      </c>
      <c r="G193" s="214">
        <f t="shared" si="7"/>
        <v>0.15882151626858371</v>
      </c>
      <c r="H193" s="215">
        <f t="shared" si="6"/>
        <v>1.6420632820223217E-2</v>
      </c>
      <c r="I193" s="214">
        <f t="shared" si="8"/>
        <v>10.749317249106504</v>
      </c>
      <c r="J193" s="216">
        <f t="shared" si="9"/>
        <v>5.123748394039767</v>
      </c>
      <c r="K193" s="217"/>
      <c r="L193" s="218">
        <f t="shared" si="10"/>
        <v>6243385.2416177969</v>
      </c>
      <c r="M193" s="219">
        <f t="shared" si="11"/>
        <v>1847094.2342036285</v>
      </c>
      <c r="N193" s="219">
        <f t="shared" si="12"/>
        <v>190971.95969919601</v>
      </c>
      <c r="O193" s="219">
        <f t="shared" si="13"/>
        <v>125014559.60710864</v>
      </c>
      <c r="P193" s="220">
        <f t="shared" si="14"/>
        <v>59589193.822682492</v>
      </c>
      <c r="Q193" s="1769"/>
    </row>
    <row r="194" spans="3:17" ht="13.15" x14ac:dyDescent="0.4">
      <c r="C194" s="211" t="s">
        <v>553</v>
      </c>
      <c r="D194" s="192" t="s">
        <v>656</v>
      </c>
      <c r="E194" s="212"/>
      <c r="F194" s="213">
        <f t="shared" si="5"/>
        <v>0.51960691060983144</v>
      </c>
      <c r="G194" s="214">
        <f t="shared" si="7"/>
        <v>0.40179905280978701</v>
      </c>
      <c r="H194" s="215">
        <f t="shared" si="6"/>
        <v>4.8342890237085649E-2</v>
      </c>
      <c r="I194" s="214">
        <f t="shared" si="8"/>
        <v>2.8391836329171247</v>
      </c>
      <c r="J194" s="216">
        <f t="shared" si="9"/>
        <v>4.9372307462771925</v>
      </c>
      <c r="K194" s="217"/>
      <c r="L194" s="218">
        <f t="shared" si="10"/>
        <v>6043028.3703923393</v>
      </c>
      <c r="M194" s="219">
        <f t="shared" si="11"/>
        <v>4672922.9841778232</v>
      </c>
      <c r="N194" s="219">
        <f t="shared" si="12"/>
        <v>562227.81345730613</v>
      </c>
      <c r="O194" s="219">
        <f t="shared" si="13"/>
        <v>33019705.65082616</v>
      </c>
      <c r="P194" s="220">
        <f t="shared" si="14"/>
        <v>57419993.579203747</v>
      </c>
      <c r="Q194" s="1769"/>
    </row>
    <row r="195" spans="3:17" ht="13.15" x14ac:dyDescent="0.4">
      <c r="C195" s="211" t="s">
        <v>554</v>
      </c>
      <c r="D195" s="192" t="s">
        <v>657</v>
      </c>
      <c r="E195" s="212"/>
      <c r="F195" s="213">
        <f t="shared" si="5"/>
        <v>0.36382091315788107</v>
      </c>
      <c r="G195" s="214">
        <f t="shared" si="7"/>
        <v>0.54342074446528199</v>
      </c>
      <c r="H195" s="215">
        <f t="shared" si="6"/>
        <v>0</v>
      </c>
      <c r="I195" s="214">
        <f t="shared" si="8"/>
        <v>2.3248485761850999</v>
      </c>
      <c r="J195" s="216">
        <f t="shared" si="9"/>
        <v>3.3546759082171875</v>
      </c>
      <c r="K195" s="217"/>
      <c r="L195" s="218">
        <f t="shared" si="10"/>
        <v>4231237.2200261569</v>
      </c>
      <c r="M195" s="219">
        <f t="shared" si="11"/>
        <v>6319983.2581312293</v>
      </c>
      <c r="N195" s="219">
        <f t="shared" si="12"/>
        <v>0</v>
      </c>
      <c r="O195" s="219">
        <f t="shared" si="13"/>
        <v>27037988.941032711</v>
      </c>
      <c r="P195" s="220">
        <f t="shared" si="14"/>
        <v>39014880.812565893</v>
      </c>
      <c r="Q195" s="1769"/>
    </row>
    <row r="196" spans="3:17" ht="13.15" x14ac:dyDescent="0.4">
      <c r="C196" s="211" t="s">
        <v>555</v>
      </c>
      <c r="D196" s="192" t="s">
        <v>658</v>
      </c>
      <c r="E196" s="212"/>
      <c r="F196" s="213">
        <f t="shared" si="5"/>
        <v>0.26283035389033088</v>
      </c>
      <c r="G196" s="214">
        <f t="shared" si="7"/>
        <v>0.70808507731005155</v>
      </c>
      <c r="H196" s="215">
        <f t="shared" si="6"/>
        <v>4.0296885266164671E-2</v>
      </c>
      <c r="I196" s="214">
        <f t="shared" si="8"/>
        <v>2.7412422996028778</v>
      </c>
      <c r="J196" s="216">
        <f t="shared" si="9"/>
        <v>2.4903929382385015</v>
      </c>
      <c r="K196" s="217"/>
      <c r="L196" s="218">
        <f t="shared" ref="L196:L201" si="15">F196*$D$206</f>
        <v>3056717.0157445483</v>
      </c>
      <c r="M196" s="219">
        <f t="shared" ref="M196:M201" si="16">G196*$D$206</f>
        <v>8235029.4491158994</v>
      </c>
      <c r="N196" s="219">
        <f t="shared" ref="N196:N201" si="17">H196*$D$206</f>
        <v>468652.7756454951</v>
      </c>
      <c r="O196" s="219">
        <f t="shared" ref="O196:O201" si="18">I196*$D$206</f>
        <v>31880647.944381468</v>
      </c>
      <c r="P196" s="220">
        <f t="shared" ref="P196:P201" si="19">J196*$D$206</f>
        <v>28963269.871713772</v>
      </c>
      <c r="Q196" s="1769"/>
    </row>
    <row r="197" spans="3:17" ht="13.15" x14ac:dyDescent="0.4">
      <c r="C197" s="211" t="s">
        <v>556</v>
      </c>
      <c r="D197" s="192" t="s">
        <v>659</v>
      </c>
      <c r="E197" s="212"/>
      <c r="F197" s="213">
        <f t="shared" si="5"/>
        <v>0.4142593607261213</v>
      </c>
      <c r="G197" s="214">
        <f t="shared" si="7"/>
        <v>0.43170058916437415</v>
      </c>
      <c r="H197" s="215">
        <f t="shared" si="6"/>
        <v>3.6802891369875274E-3</v>
      </c>
      <c r="I197" s="214">
        <f t="shared" si="8"/>
        <v>2.7430920155924974</v>
      </c>
      <c r="J197" s="216">
        <f t="shared" si="9"/>
        <v>3.7589512499593054</v>
      </c>
      <c r="K197" s="217"/>
      <c r="L197" s="218">
        <f t="shared" si="15"/>
        <v>4817836.3652447909</v>
      </c>
      <c r="M197" s="219">
        <f t="shared" si="16"/>
        <v>5020677.8519816715</v>
      </c>
      <c r="N197" s="219">
        <f t="shared" si="17"/>
        <v>42801.762663164947</v>
      </c>
      <c r="O197" s="219">
        <f t="shared" si="18"/>
        <v>31902160.141340744</v>
      </c>
      <c r="P197" s="220">
        <f t="shared" si="19"/>
        <v>43716603.037026718</v>
      </c>
      <c r="Q197" s="1769"/>
    </row>
    <row r="198" spans="3:17" ht="13.15" x14ac:dyDescent="0.4">
      <c r="C198" s="211" t="s">
        <v>557</v>
      </c>
      <c r="D198" s="192" t="s">
        <v>660</v>
      </c>
      <c r="E198" s="212"/>
      <c r="F198" s="213">
        <f t="shared" si="5"/>
        <v>0.12841836028501355</v>
      </c>
      <c r="G198" s="214">
        <f t="shared" si="7"/>
        <v>0.38615157733109984</v>
      </c>
      <c r="H198" s="215">
        <f t="shared" si="6"/>
        <v>0.15800840201202532</v>
      </c>
      <c r="I198" s="214">
        <f t="shared" si="8"/>
        <v>6.6989795035379052</v>
      </c>
      <c r="J198" s="216">
        <f t="shared" si="9"/>
        <v>4.7490604628760362</v>
      </c>
      <c r="K198" s="217"/>
      <c r="L198" s="218">
        <f t="shared" si="15"/>
        <v>1493505.5301147075</v>
      </c>
      <c r="M198" s="219">
        <f t="shared" si="16"/>
        <v>4490942.8443606915</v>
      </c>
      <c r="N198" s="219">
        <f t="shared" si="17"/>
        <v>1837637.7153998544</v>
      </c>
      <c r="O198" s="219">
        <f t="shared" si="18"/>
        <v>77909131.62614584</v>
      </c>
      <c r="P198" s="220">
        <f t="shared" si="19"/>
        <v>55231573.183248304</v>
      </c>
      <c r="Q198" s="1769"/>
    </row>
    <row r="199" spans="3:17" ht="13.15" x14ac:dyDescent="0.4">
      <c r="C199" s="211" t="s">
        <v>558</v>
      </c>
      <c r="D199" s="192" t="s">
        <v>661</v>
      </c>
      <c r="E199" s="212"/>
      <c r="F199" s="213">
        <f t="shared" si="5"/>
        <v>0.56308601700700289</v>
      </c>
      <c r="G199" s="214">
        <f t="shared" si="7"/>
        <v>0.24985722471311728</v>
      </c>
      <c r="H199" s="215">
        <f t="shared" si="6"/>
        <v>7.7088633234113279E-3</v>
      </c>
      <c r="I199" s="214">
        <f t="shared" si="8"/>
        <v>3.047380888171876</v>
      </c>
      <c r="J199" s="216">
        <f t="shared" si="9"/>
        <v>5.3433626650776249</v>
      </c>
      <c r="K199" s="217"/>
      <c r="L199" s="218">
        <f t="shared" si="15"/>
        <v>6548690.3777914438</v>
      </c>
      <c r="M199" s="219">
        <f t="shared" si="16"/>
        <v>2905839.5234135538</v>
      </c>
      <c r="N199" s="219">
        <f t="shared" si="17"/>
        <v>89654.080451273738</v>
      </c>
      <c r="O199" s="219">
        <f t="shared" si="18"/>
        <v>35441039.729438916</v>
      </c>
      <c r="P199" s="220">
        <f t="shared" si="19"/>
        <v>62143307.794852778</v>
      </c>
      <c r="Q199" s="1769"/>
    </row>
    <row r="200" spans="3:17" ht="13.15" x14ac:dyDescent="0.4">
      <c r="C200" s="211" t="s">
        <v>559</v>
      </c>
      <c r="D200" s="192" t="s">
        <v>662</v>
      </c>
      <c r="E200" s="212"/>
      <c r="F200" s="213">
        <f t="shared" si="5"/>
        <v>0.40509297407280842</v>
      </c>
      <c r="G200" s="214">
        <f t="shared" si="7"/>
        <v>0.47689871428093661</v>
      </c>
      <c r="H200" s="215">
        <f t="shared" si="6"/>
        <v>3.6802891369875274E-3</v>
      </c>
      <c r="I200" s="214">
        <f t="shared" si="8"/>
        <v>1.8165138181461988</v>
      </c>
      <c r="J200" s="216">
        <f t="shared" si="9"/>
        <v>3.9304622218787086</v>
      </c>
      <c r="K200" s="217"/>
      <c r="L200" s="218">
        <f t="shared" si="15"/>
        <v>4711231.2884667618</v>
      </c>
      <c r="M200" s="219">
        <f t="shared" si="16"/>
        <v>5546332.0470872931</v>
      </c>
      <c r="N200" s="219">
        <f t="shared" si="17"/>
        <v>42801.762663164947</v>
      </c>
      <c r="O200" s="219">
        <f t="shared" si="18"/>
        <v>21126055.705040291</v>
      </c>
      <c r="P200" s="220">
        <f t="shared" si="19"/>
        <v>45711275.640449382</v>
      </c>
      <c r="Q200" s="1769"/>
    </row>
    <row r="201" spans="3:17" ht="13.5" thickBot="1" x14ac:dyDescent="0.45">
      <c r="C201" s="211" t="s">
        <v>560</v>
      </c>
      <c r="D201" s="192" t="s">
        <v>663</v>
      </c>
      <c r="E201" s="212"/>
      <c r="F201" s="213">
        <f t="shared" si="5"/>
        <v>0.11677777317625883</v>
      </c>
      <c r="G201" s="214">
        <f t="shared" si="7"/>
        <v>1.003455084605215</v>
      </c>
      <c r="H201" s="215">
        <f t="shared" si="6"/>
        <v>1.1110169932510969</v>
      </c>
      <c r="I201" s="214">
        <f t="shared" si="8"/>
        <v>15.774098655556191</v>
      </c>
      <c r="J201" s="216">
        <f t="shared" si="9"/>
        <v>1.0186913726854605</v>
      </c>
      <c r="K201" s="217"/>
      <c r="L201" s="218">
        <f t="shared" si="15"/>
        <v>1358125.5020398903</v>
      </c>
      <c r="M201" s="219">
        <f t="shared" si="16"/>
        <v>11670182.633958651</v>
      </c>
      <c r="N201" s="219">
        <f t="shared" si="17"/>
        <v>12921127.631510258</v>
      </c>
      <c r="O201" s="219">
        <f t="shared" si="18"/>
        <v>183452767.36411852</v>
      </c>
      <c r="P201" s="220">
        <f t="shared" si="19"/>
        <v>11847380.664331906</v>
      </c>
      <c r="Q201" s="1769"/>
    </row>
    <row r="202" spans="3:17" ht="13.5" thickBot="1" x14ac:dyDescent="0.45">
      <c r="C202" s="221" t="s">
        <v>667</v>
      </c>
      <c r="D202" s="222"/>
      <c r="E202" s="223"/>
      <c r="F202" s="224">
        <f>SUM(F169:F201)</f>
        <v>12.911057253348407</v>
      </c>
      <c r="G202" s="224">
        <f>SUM(G169:G201)</f>
        <v>16.207931392253844</v>
      </c>
      <c r="H202" s="224">
        <f>SUM(H169:H201)</f>
        <v>2.1558430877230164</v>
      </c>
      <c r="I202" s="224">
        <f>SUM(I169:I201)</f>
        <v>189.4908901961999</v>
      </c>
      <c r="J202" s="225">
        <f>SUM(J169:J201)</f>
        <v>133.18323191589312</v>
      </c>
      <c r="K202" s="217"/>
      <c r="L202" s="226">
        <f>F202*$D$206</f>
        <v>150155595.85644197</v>
      </c>
      <c r="M202" s="227">
        <f>G202*$D$206</f>
        <v>188498242.09191221</v>
      </c>
      <c r="N202" s="227">
        <f>H202*$D$206</f>
        <v>25072455.110218681</v>
      </c>
      <c r="O202" s="227">
        <f>I202*$D$206</f>
        <v>2203779052.9818048</v>
      </c>
      <c r="P202" s="228">
        <f>J202*$D$206</f>
        <v>1548920987.1818368</v>
      </c>
      <c r="Q202" s="1769"/>
    </row>
    <row r="203" spans="3:17" ht="13.15" x14ac:dyDescent="0.4">
      <c r="C203" s="1778"/>
      <c r="D203" s="1778"/>
      <c r="E203" s="1778"/>
      <c r="F203" s="1778"/>
      <c r="G203" s="1778"/>
      <c r="H203" s="1778"/>
      <c r="I203" s="1778"/>
      <c r="J203" s="1778"/>
      <c r="K203" s="1769"/>
      <c r="L203" s="1779"/>
      <c r="M203" s="1769"/>
      <c r="N203" s="1769"/>
      <c r="O203" s="1769"/>
      <c r="P203" s="1769"/>
      <c r="Q203" s="1769"/>
    </row>
    <row r="204" spans="3:17" ht="13.15" x14ac:dyDescent="0.4">
      <c r="C204" s="229" t="s">
        <v>752</v>
      </c>
      <c r="D204" s="187" t="s">
        <v>115</v>
      </c>
      <c r="E204" s="2272" t="s">
        <v>589</v>
      </c>
      <c r="F204" s="2273"/>
      <c r="G204" s="2273"/>
      <c r="H204" s="2273"/>
      <c r="I204" s="2274"/>
      <c r="J204" s="1778"/>
      <c r="K204" s="1769"/>
      <c r="L204" s="1779"/>
      <c r="M204" s="1769"/>
      <c r="N204" s="1769"/>
      <c r="O204" s="1769"/>
      <c r="P204" s="1769"/>
      <c r="Q204" s="1769"/>
    </row>
    <row r="205" spans="3:17" ht="13.15" x14ac:dyDescent="0.4">
      <c r="C205" s="189" t="s">
        <v>774</v>
      </c>
      <c r="D205" s="2026">
        <v>11630</v>
      </c>
      <c r="E205" s="2275" t="s">
        <v>775</v>
      </c>
      <c r="F205" s="2275"/>
      <c r="G205" s="2275"/>
      <c r="H205" s="2275"/>
      <c r="I205" s="2276"/>
      <c r="J205" s="1778"/>
      <c r="K205" s="1769"/>
      <c r="L205" s="1779"/>
      <c r="M205" s="1769"/>
      <c r="N205" s="1769"/>
      <c r="O205" s="1769"/>
      <c r="P205" s="1769"/>
      <c r="Q205" s="1769"/>
    </row>
    <row r="206" spans="3:17" ht="13.15" x14ac:dyDescent="0.4">
      <c r="C206" s="197" t="s">
        <v>776</v>
      </c>
      <c r="D206" s="2027">
        <f>D205*1000</f>
        <v>11630000</v>
      </c>
      <c r="E206" s="2277" t="s">
        <v>777</v>
      </c>
      <c r="F206" s="2277"/>
      <c r="G206" s="2277"/>
      <c r="H206" s="2277"/>
      <c r="I206" s="2278"/>
      <c r="J206" s="1778"/>
      <c r="K206" s="1769"/>
      <c r="L206" s="1779"/>
      <c r="M206" s="1769"/>
      <c r="N206" s="1769"/>
      <c r="O206" s="1769"/>
      <c r="P206" s="1769"/>
      <c r="Q206" s="1769"/>
    </row>
    <row r="207" spans="3:17" ht="13.15" x14ac:dyDescent="0.4">
      <c r="C207" s="1778"/>
      <c r="D207" s="1782"/>
      <c r="E207" s="1778"/>
      <c r="F207" s="1778"/>
      <c r="G207" s="1778"/>
      <c r="H207" s="1778"/>
      <c r="I207" s="1778"/>
      <c r="J207" s="1778"/>
      <c r="K207" s="1769"/>
      <c r="L207" s="1779"/>
      <c r="M207" s="1769"/>
      <c r="N207" s="1769"/>
      <c r="O207" s="1769"/>
      <c r="P207" s="1769"/>
      <c r="Q207" s="1769"/>
    </row>
    <row r="208" spans="3:17" ht="21" x14ac:dyDescent="0.4">
      <c r="C208" s="2088" t="s">
        <v>778</v>
      </c>
      <c r="D208" s="2088" t="s">
        <v>2369</v>
      </c>
      <c r="E208" s="2089"/>
      <c r="F208" s="2089"/>
      <c r="G208" s="2089"/>
      <c r="H208" s="2089"/>
      <c r="I208" s="2089"/>
      <c r="J208" s="1778"/>
      <c r="K208" s="1769"/>
      <c r="L208" s="1779"/>
      <c r="M208" s="1769"/>
      <c r="N208" s="1769"/>
      <c r="O208" s="1769"/>
      <c r="P208" s="1769"/>
      <c r="Q208" s="1769"/>
    </row>
    <row r="209" spans="3:17" ht="13.5" thickBot="1" x14ac:dyDescent="0.45">
      <c r="C209" s="1783"/>
      <c r="D209" s="1783"/>
      <c r="E209" s="1783"/>
      <c r="F209" s="1783"/>
      <c r="G209" s="1783"/>
      <c r="H209" s="1783"/>
      <c r="I209" s="1783"/>
      <c r="J209" s="1783"/>
      <c r="K209" s="1783"/>
      <c r="L209" s="1783"/>
      <c r="M209" s="1783"/>
      <c r="N209" s="1783"/>
      <c r="O209" s="1783"/>
      <c r="P209" s="1783"/>
      <c r="Q209" s="1783"/>
    </row>
    <row r="210" spans="3:17" ht="13.15" x14ac:dyDescent="0.35">
      <c r="C210" s="2279" t="s">
        <v>618</v>
      </c>
      <c r="D210" s="2282" t="s">
        <v>619</v>
      </c>
      <c r="E210" s="2285" t="s">
        <v>620</v>
      </c>
      <c r="F210" s="2285" t="s">
        <v>779</v>
      </c>
      <c r="G210" s="2285"/>
      <c r="H210" s="2285"/>
      <c r="I210" s="2285"/>
      <c r="J210" s="2285"/>
      <c r="K210" s="2285"/>
      <c r="L210" s="2285"/>
      <c r="M210" s="2285"/>
      <c r="N210" s="2285"/>
      <c r="O210" s="2285"/>
      <c r="P210" s="2285"/>
      <c r="Q210" s="2288"/>
    </row>
    <row r="211" spans="3:17" ht="26.25" x14ac:dyDescent="0.35">
      <c r="C211" s="2280"/>
      <c r="D211" s="2283"/>
      <c r="E211" s="2286"/>
      <c r="F211" s="2286" t="s">
        <v>780</v>
      </c>
      <c r="G211" s="2286"/>
      <c r="H211" s="2286"/>
      <c r="I211" s="2286"/>
      <c r="J211" s="2286"/>
      <c r="K211" s="2286"/>
      <c r="L211" s="2286" t="s">
        <v>593</v>
      </c>
      <c r="M211" s="2286"/>
      <c r="N211" s="2286" t="s">
        <v>781</v>
      </c>
      <c r="O211" s="2286"/>
      <c r="P211" s="231" t="s">
        <v>782</v>
      </c>
      <c r="Q211" s="232" t="s">
        <v>783</v>
      </c>
    </row>
    <row r="212" spans="3:17" ht="26.65" thickBot="1" x14ac:dyDescent="0.4">
      <c r="C212" s="2281"/>
      <c r="D212" s="2284"/>
      <c r="E212" s="2287"/>
      <c r="F212" s="208" t="s">
        <v>610</v>
      </c>
      <c r="G212" s="870" t="s">
        <v>591</v>
      </c>
      <c r="H212" s="208" t="s">
        <v>271</v>
      </c>
      <c r="I212" s="876" t="s">
        <v>784</v>
      </c>
      <c r="J212" s="876" t="s">
        <v>267</v>
      </c>
      <c r="K212" s="208" t="s">
        <v>785</v>
      </c>
      <c r="L212" s="208" t="s">
        <v>786</v>
      </c>
      <c r="M212" s="208" t="s">
        <v>591</v>
      </c>
      <c r="N212" s="208" t="s">
        <v>610</v>
      </c>
      <c r="O212" s="208" t="s">
        <v>591</v>
      </c>
      <c r="P212" s="208" t="s">
        <v>787</v>
      </c>
      <c r="Q212" s="209"/>
    </row>
    <row r="213" spans="3:17" ht="13.15" x14ac:dyDescent="0.4">
      <c r="C213" s="211" t="s">
        <v>528</v>
      </c>
      <c r="D213" s="192" t="s">
        <v>630</v>
      </c>
      <c r="E213" s="212"/>
      <c r="F213" s="233">
        <v>8.119310880487749</v>
      </c>
      <c r="G213" s="233">
        <v>0.21678144357394052</v>
      </c>
      <c r="H213" s="233">
        <v>2.8714211712871518</v>
      </c>
      <c r="I213" s="233">
        <v>1.0324392157187766E-2</v>
      </c>
      <c r="J213" s="233">
        <v>3.6635215033874111E-2</v>
      </c>
      <c r="K213" s="233">
        <v>5.7873985622122197E-2</v>
      </c>
      <c r="L213" s="233">
        <v>0</v>
      </c>
      <c r="M213" s="233">
        <v>0.12861397158068386</v>
      </c>
      <c r="N213" s="233">
        <v>1.2258337810679365E-2</v>
      </c>
      <c r="O213" s="233">
        <v>0.37004346502379204</v>
      </c>
      <c r="P213" s="233">
        <v>4.6680123047987276</v>
      </c>
      <c r="Q213" s="233">
        <v>16.49127516737591</v>
      </c>
    </row>
    <row r="214" spans="3:17" ht="13.15" x14ac:dyDescent="0.4">
      <c r="C214" s="211" t="s">
        <v>529</v>
      </c>
      <c r="D214" s="192" t="s">
        <v>631</v>
      </c>
      <c r="E214" s="212"/>
      <c r="F214" s="233">
        <v>4.5329164349024875</v>
      </c>
      <c r="G214" s="233">
        <v>0.72421861223513251</v>
      </c>
      <c r="H214" s="233">
        <v>0.25518047376547209</v>
      </c>
      <c r="I214" s="233">
        <v>2.1704972785922653E-2</v>
      </c>
      <c r="J214" s="233">
        <v>8.4539493601265031E-2</v>
      </c>
      <c r="K214" s="233">
        <v>0.16632641765431355</v>
      </c>
      <c r="L214" s="233">
        <v>0</v>
      </c>
      <c r="M214" s="233">
        <v>0.12185208018095726</v>
      </c>
      <c r="N214" s="233">
        <v>0.14030352642596011</v>
      </c>
      <c r="O214" s="233">
        <v>0.35489074719167157</v>
      </c>
      <c r="P214" s="233">
        <v>4.513768987943239</v>
      </c>
      <c r="Q214" s="234">
        <v>10.915701746686421</v>
      </c>
    </row>
    <row r="215" spans="3:17" ht="13.15" x14ac:dyDescent="0.4">
      <c r="C215" s="211" t="s">
        <v>530</v>
      </c>
      <c r="D215" s="192" t="s">
        <v>632</v>
      </c>
      <c r="E215" s="212"/>
      <c r="F215" s="233">
        <v>7.9923387543060924</v>
      </c>
      <c r="G215" s="233">
        <v>0.50642206599880812</v>
      </c>
      <c r="H215" s="233">
        <v>0.13273054413285831</v>
      </c>
      <c r="I215" s="233">
        <v>1.4967233527693104E-2</v>
      </c>
      <c r="J215" s="233">
        <v>0.44807735337736054</v>
      </c>
      <c r="K215" s="233">
        <v>0.12024921755027142</v>
      </c>
      <c r="L215" s="233">
        <v>0</v>
      </c>
      <c r="M215" s="233">
        <v>0.14855376006958865</v>
      </c>
      <c r="N215" s="233">
        <v>4.4163469643850373E-2</v>
      </c>
      <c r="O215" s="233">
        <v>0.43829471376590895</v>
      </c>
      <c r="P215" s="233">
        <v>7.9944854214231178</v>
      </c>
      <c r="Q215" s="234">
        <v>17.840282533795552</v>
      </c>
    </row>
    <row r="216" spans="3:17" ht="13.15" x14ac:dyDescent="0.4">
      <c r="C216" s="211" t="s">
        <v>531</v>
      </c>
      <c r="D216" s="192" t="s">
        <v>633</v>
      </c>
      <c r="E216" s="212"/>
      <c r="F216" s="233">
        <v>7.0567312431131839</v>
      </c>
      <c r="G216" s="233">
        <v>0.43162539439368408</v>
      </c>
      <c r="H216" s="233">
        <v>1.5287203913032958</v>
      </c>
      <c r="I216" s="233">
        <v>8.5063218872472382E-2</v>
      </c>
      <c r="J216" s="233">
        <v>8.0628791048373241E-2</v>
      </c>
      <c r="K216" s="233">
        <v>5.2508826000870569E-2</v>
      </c>
      <c r="L216" s="233">
        <v>0</v>
      </c>
      <c r="M216" s="233">
        <v>8.7308901269549169E-2</v>
      </c>
      <c r="N216" s="233">
        <v>0</v>
      </c>
      <c r="O216" s="233">
        <v>0.25705734852429851</v>
      </c>
      <c r="P216" s="233">
        <v>3.2929445985966526</v>
      </c>
      <c r="Q216" s="234">
        <v>12.872588713122379</v>
      </c>
    </row>
    <row r="217" spans="3:17" ht="13.15" x14ac:dyDescent="0.4">
      <c r="C217" s="211" t="s">
        <v>532</v>
      </c>
      <c r="D217" s="192" t="s">
        <v>634</v>
      </c>
      <c r="E217" s="212"/>
      <c r="F217" s="233">
        <v>6.4304669012603251</v>
      </c>
      <c r="G217" s="233">
        <v>1.1563951751388883</v>
      </c>
      <c r="H217" s="233">
        <v>2.1148363010922311</v>
      </c>
      <c r="I217" s="233">
        <v>1.2776332878499424E-2</v>
      </c>
      <c r="J217" s="233">
        <v>5.982048302096863E-2</v>
      </c>
      <c r="K217" s="233">
        <v>0.42741782284091279</v>
      </c>
      <c r="L217" s="233">
        <v>6.2977993638909161E-4</v>
      </c>
      <c r="M217" s="233">
        <v>0.16888926762465481</v>
      </c>
      <c r="N217" s="233">
        <v>0</v>
      </c>
      <c r="O217" s="233">
        <v>0.46142540293326889</v>
      </c>
      <c r="P217" s="233">
        <v>5.6106466104277359</v>
      </c>
      <c r="Q217" s="234">
        <v>16.443304077153876</v>
      </c>
    </row>
    <row r="218" spans="3:17" ht="13.15" x14ac:dyDescent="0.4">
      <c r="C218" s="211" t="s">
        <v>533</v>
      </c>
      <c r="D218" s="192" t="s">
        <v>635</v>
      </c>
      <c r="E218" s="212"/>
      <c r="F218" s="233">
        <v>4.3773370196091506</v>
      </c>
      <c r="G218" s="233">
        <v>0.80225834235005389</v>
      </c>
      <c r="H218" s="233">
        <v>0.45412910340718265</v>
      </c>
      <c r="I218" s="233">
        <v>0.66190853727900156</v>
      </c>
      <c r="J218" s="233">
        <v>0.72883746444450725</v>
      </c>
      <c r="K218" s="233">
        <v>1.6236146242444981E-2</v>
      </c>
      <c r="L218" s="233">
        <v>0</v>
      </c>
      <c r="M218" s="233">
        <v>3.0994465938008538E-2</v>
      </c>
      <c r="N218" s="233">
        <v>1.2085722559271404E-2</v>
      </c>
      <c r="O218" s="233">
        <v>8.4802850334516025E-2</v>
      </c>
      <c r="P218" s="233">
        <v>1.0322549203961431</v>
      </c>
      <c r="Q218" s="234">
        <v>8.2008445725602801</v>
      </c>
    </row>
    <row r="219" spans="3:17" ht="13.15" x14ac:dyDescent="0.4">
      <c r="C219" s="211" t="s">
        <v>534</v>
      </c>
      <c r="D219" s="192" t="s">
        <v>636</v>
      </c>
      <c r="E219" s="212"/>
      <c r="F219" s="233">
        <v>3.4261294784412732</v>
      </c>
      <c r="G219" s="233">
        <v>2.9083890010541638E-2</v>
      </c>
      <c r="H219" s="233">
        <v>8.0550689496177511E-3</v>
      </c>
      <c r="I219" s="233">
        <v>4.9884574604371262E-2</v>
      </c>
      <c r="J219" s="233">
        <v>0.80063995686948275</v>
      </c>
      <c r="K219" s="233">
        <v>5.5646715991953481E-3</v>
      </c>
      <c r="L219" s="233">
        <v>0</v>
      </c>
      <c r="M219" s="233">
        <v>1.0904849546968193E-4</v>
      </c>
      <c r="N219" s="233">
        <v>4.0285741864238001E-3</v>
      </c>
      <c r="O219" s="233">
        <v>3.3901327045838257E-4</v>
      </c>
      <c r="P219" s="233">
        <v>4.4932735123604569E-3</v>
      </c>
      <c r="Q219" s="234">
        <v>4.3283275499391953</v>
      </c>
    </row>
    <row r="220" spans="3:17" ht="13.15" x14ac:dyDescent="0.4">
      <c r="C220" s="211" t="s">
        <v>535</v>
      </c>
      <c r="D220" s="192" t="s">
        <v>637</v>
      </c>
      <c r="E220" s="212"/>
      <c r="F220" s="233">
        <v>2.7472377620949557</v>
      </c>
      <c r="G220" s="233">
        <v>0.74201862169939603</v>
      </c>
      <c r="H220" s="233">
        <v>0.38157816279423373</v>
      </c>
      <c r="I220" s="233">
        <v>2.7565136757118289E-2</v>
      </c>
      <c r="J220" s="233">
        <v>7.1113250399831129E-2</v>
      </c>
      <c r="K220" s="233">
        <v>0.19453020760104861</v>
      </c>
      <c r="L220" s="233">
        <v>1.5494377078092599E-2</v>
      </c>
      <c r="M220" s="233">
        <v>0.20563208057223661</v>
      </c>
      <c r="N220" s="233">
        <v>4.0731477941304932E-3</v>
      </c>
      <c r="O220" s="233">
        <v>0.58731015888548843</v>
      </c>
      <c r="P220" s="233">
        <v>7.3716648310621498</v>
      </c>
      <c r="Q220" s="234">
        <v>12.348217736738683</v>
      </c>
    </row>
    <row r="221" spans="3:17" ht="13.15" x14ac:dyDescent="0.4">
      <c r="C221" s="211" t="s">
        <v>536</v>
      </c>
      <c r="D221" s="192" t="s">
        <v>638</v>
      </c>
      <c r="E221" s="212"/>
      <c r="F221" s="233">
        <v>8.247194778389705</v>
      </c>
      <c r="G221" s="233">
        <v>0.54408280779185136</v>
      </c>
      <c r="H221" s="233">
        <v>2.5520697627388516</v>
      </c>
      <c r="I221" s="233">
        <v>7.0540080327306095E-3</v>
      </c>
      <c r="J221" s="233">
        <v>0.22452020845686999</v>
      </c>
      <c r="K221" s="233">
        <v>8.2592620557197863E-2</v>
      </c>
      <c r="L221" s="233">
        <v>8.7694708920775764E-3</v>
      </c>
      <c r="M221" s="233">
        <v>0.14086094046623568</v>
      </c>
      <c r="N221" s="233">
        <v>3.7162319821238216E-2</v>
      </c>
      <c r="O221" s="233">
        <v>0.39695128556785231</v>
      </c>
      <c r="P221" s="233">
        <v>4.9360061796404766</v>
      </c>
      <c r="Q221" s="234">
        <v>17.177264382355087</v>
      </c>
    </row>
    <row r="222" spans="3:17" ht="13.15" x14ac:dyDescent="0.4">
      <c r="C222" s="211" t="s">
        <v>537</v>
      </c>
      <c r="D222" s="192" t="s">
        <v>639</v>
      </c>
      <c r="E222" s="212"/>
      <c r="F222" s="233">
        <v>5.6785439822281445</v>
      </c>
      <c r="G222" s="233">
        <v>0.52740398970938818</v>
      </c>
      <c r="H222" s="233">
        <v>8.9332439640534556E-2</v>
      </c>
      <c r="I222" s="233">
        <v>3.5576899817770097E-2</v>
      </c>
      <c r="J222" s="233">
        <v>0.1664613650125823</v>
      </c>
      <c r="K222" s="233">
        <v>0.22307530469624443</v>
      </c>
      <c r="L222" s="233">
        <v>0</v>
      </c>
      <c r="M222" s="233">
        <v>0.16549409217277949</v>
      </c>
      <c r="N222" s="233">
        <v>2.6469737459711956E-2</v>
      </c>
      <c r="O222" s="233">
        <v>0.48031811071667407</v>
      </c>
      <c r="P222" s="233">
        <v>6.0948235417166474</v>
      </c>
      <c r="Q222" s="234">
        <v>13.487499463170476</v>
      </c>
    </row>
    <row r="223" spans="3:17" ht="13.15" x14ac:dyDescent="0.4">
      <c r="C223" s="211" t="s">
        <v>538</v>
      </c>
      <c r="D223" s="192" t="s">
        <v>640</v>
      </c>
      <c r="E223" s="212"/>
      <c r="F223" s="233">
        <v>5.8459935758623987</v>
      </c>
      <c r="G223" s="233">
        <v>0.39582308549151046</v>
      </c>
      <c r="H223" s="233">
        <v>1.0161212800915883E-2</v>
      </c>
      <c r="I223" s="233">
        <v>3.2897347533101182E-2</v>
      </c>
      <c r="J223" s="233">
        <v>0.13076471188565333</v>
      </c>
      <c r="K223" s="233">
        <v>5.2887845978762053E-2</v>
      </c>
      <c r="L223" s="233">
        <v>0</v>
      </c>
      <c r="M223" s="233">
        <v>0.12299204897104345</v>
      </c>
      <c r="N223" s="233">
        <v>4.0954345979838398E-3</v>
      </c>
      <c r="O223" s="233">
        <v>0.35949393169164423</v>
      </c>
      <c r="P223" s="233">
        <v>4.5831881539401627</v>
      </c>
      <c r="Q223" s="234">
        <v>11.538297348753176</v>
      </c>
    </row>
    <row r="224" spans="3:17" ht="13.15" x14ac:dyDescent="0.4">
      <c r="C224" s="211" t="s">
        <v>539</v>
      </c>
      <c r="D224" s="192" t="s">
        <v>641</v>
      </c>
      <c r="E224" s="212"/>
      <c r="F224" s="233">
        <v>1.9908256159122795</v>
      </c>
      <c r="G224" s="233">
        <v>0.25786265074868464</v>
      </c>
      <c r="H224" s="233">
        <v>6.2725312094900704E-2</v>
      </c>
      <c r="I224" s="233">
        <v>1.8858332783460694E-2</v>
      </c>
      <c r="J224" s="233">
        <v>0.10411834897529382</v>
      </c>
      <c r="K224" s="233">
        <v>1.4368067580038644E-2</v>
      </c>
      <c r="L224" s="233">
        <v>0</v>
      </c>
      <c r="M224" s="233">
        <v>4.9687014727788199E-2</v>
      </c>
      <c r="N224" s="233">
        <v>4.8192043830274076E-2</v>
      </c>
      <c r="O224" s="233">
        <v>0.13855142237647058</v>
      </c>
      <c r="P224" s="233">
        <v>1.7099980007800086</v>
      </c>
      <c r="Q224" s="234">
        <v>4.3951868098091991</v>
      </c>
    </row>
    <row r="225" spans="3:17" ht="13.15" x14ac:dyDescent="0.4">
      <c r="C225" s="211" t="s">
        <v>540</v>
      </c>
      <c r="D225" s="192" t="s">
        <v>642</v>
      </c>
      <c r="E225" s="212"/>
      <c r="F225" s="233">
        <v>2.7832863521069862</v>
      </c>
      <c r="G225" s="233">
        <v>0.31185555381371582</v>
      </c>
      <c r="H225" s="233">
        <v>0.54173385315292633</v>
      </c>
      <c r="I225" s="233">
        <v>7.1449666274282828E-2</v>
      </c>
      <c r="J225" s="233">
        <v>0.24272263619327183</v>
      </c>
      <c r="K225" s="233">
        <v>1.7424126416646049E-2</v>
      </c>
      <c r="L225" s="233">
        <v>0</v>
      </c>
      <c r="M225" s="233">
        <v>4.6332490194858501E-2</v>
      </c>
      <c r="N225" s="233">
        <v>0</v>
      </c>
      <c r="O225" s="233">
        <v>0.138351049346395</v>
      </c>
      <c r="P225" s="233">
        <v>1.788540331818449</v>
      </c>
      <c r="Q225" s="234">
        <v>5.9416960593175308</v>
      </c>
    </row>
    <row r="226" spans="3:17" ht="13.15" x14ac:dyDescent="0.4">
      <c r="C226" s="211" t="s">
        <v>541</v>
      </c>
      <c r="D226" s="192" t="s">
        <v>643</v>
      </c>
      <c r="E226" s="212"/>
      <c r="F226" s="233">
        <v>2.1503295423987421</v>
      </c>
      <c r="G226" s="233">
        <v>0.26263795137104479</v>
      </c>
      <c r="H226" s="233">
        <v>0.36316427457498407</v>
      </c>
      <c r="I226" s="233">
        <v>1.2458599146595294E-2</v>
      </c>
      <c r="J226" s="233">
        <v>4.0203357977291458E-2</v>
      </c>
      <c r="K226" s="233">
        <v>2.1267692871677756E-2</v>
      </c>
      <c r="L226" s="233">
        <v>0</v>
      </c>
      <c r="M226" s="233">
        <v>9.3748126310530588E-2</v>
      </c>
      <c r="N226" s="233">
        <v>1.6114296745695176E-2</v>
      </c>
      <c r="O226" s="233">
        <v>0.27569281915387883</v>
      </c>
      <c r="P226" s="233">
        <v>3.5289596963736054</v>
      </c>
      <c r="Q226" s="234">
        <v>6.7645763569240449</v>
      </c>
    </row>
    <row r="227" spans="3:17" ht="13.15" x14ac:dyDescent="0.4">
      <c r="C227" s="211" t="s">
        <v>542</v>
      </c>
      <c r="D227" s="192" t="s">
        <v>644</v>
      </c>
      <c r="E227" s="212"/>
      <c r="F227" s="233">
        <v>1.8312621915927052</v>
      </c>
      <c r="G227" s="233">
        <v>0.45549391562017044</v>
      </c>
      <c r="H227" s="233">
        <v>0.25971313916863564</v>
      </c>
      <c r="I227" s="233">
        <v>1.6960497682072768E-2</v>
      </c>
      <c r="J227" s="233">
        <v>2.2437633814183625E-2</v>
      </c>
      <c r="K227" s="233">
        <v>9.1244527769129266E-2</v>
      </c>
      <c r="L227" s="233">
        <v>0</v>
      </c>
      <c r="M227" s="233">
        <v>9.1319916920039559E-2</v>
      </c>
      <c r="N227" s="233">
        <v>3.3430205780019615E-5</v>
      </c>
      <c r="O227" s="233">
        <v>0.26808140101822869</v>
      </c>
      <c r="P227" s="233">
        <v>3.4275817712359311</v>
      </c>
      <c r="Q227" s="234">
        <v>6.4641284250268765</v>
      </c>
    </row>
    <row r="228" spans="3:17" ht="13.15" x14ac:dyDescent="0.4">
      <c r="C228" s="211" t="s">
        <v>543</v>
      </c>
      <c r="D228" s="192" t="s">
        <v>645</v>
      </c>
      <c r="E228" s="212"/>
      <c r="F228" s="233">
        <v>4.9150476341575509</v>
      </c>
      <c r="G228" s="233">
        <v>0.63993873559408954</v>
      </c>
      <c r="H228" s="233">
        <v>0.18584961396838498</v>
      </c>
      <c r="I228" s="233">
        <v>2.0178045089637015E-2</v>
      </c>
      <c r="J228" s="233">
        <v>0.2084743545632923</v>
      </c>
      <c r="K228" s="233">
        <v>0.33277312104437046</v>
      </c>
      <c r="L228" s="233">
        <v>1.4435346738476613E-2</v>
      </c>
      <c r="M228" s="233">
        <v>0.16426613808476065</v>
      </c>
      <c r="N228" s="233">
        <v>3.3830315733686944E-2</v>
      </c>
      <c r="O228" s="233">
        <v>0.43417999652725203</v>
      </c>
      <c r="P228" s="233">
        <v>5.1473441523363217</v>
      </c>
      <c r="Q228" s="234">
        <v>12.098040546365358</v>
      </c>
    </row>
    <row r="229" spans="3:17" ht="13.15" x14ac:dyDescent="0.4">
      <c r="C229" s="211" t="s">
        <v>544</v>
      </c>
      <c r="D229" s="192" t="s">
        <v>646</v>
      </c>
      <c r="E229" s="212"/>
      <c r="F229" s="233">
        <v>39.835266176065367</v>
      </c>
      <c r="G229" s="233">
        <v>0.77241035603893748</v>
      </c>
      <c r="H229" s="233">
        <v>2.3335358789511647</v>
      </c>
      <c r="I229" s="233">
        <v>3.1065525469415729E-2</v>
      </c>
      <c r="J229" s="233">
        <v>1.3646876914993566</v>
      </c>
      <c r="K229" s="233">
        <v>0.38389429381216106</v>
      </c>
      <c r="L229" s="233">
        <v>1.0899674062521129E-2</v>
      </c>
      <c r="M229" s="233">
        <v>0.1318314824468991</v>
      </c>
      <c r="N229" s="233">
        <v>1.9164876195370217E-2</v>
      </c>
      <c r="O229" s="233">
        <v>0.36720876229605315</v>
      </c>
      <c r="P229" s="233">
        <v>11.246224539859611</v>
      </c>
      <c r="Q229" s="234">
        <v>56.499681720508924</v>
      </c>
    </row>
    <row r="230" spans="3:17" ht="13.15" x14ac:dyDescent="0.4">
      <c r="C230" s="211" t="s">
        <v>545</v>
      </c>
      <c r="D230" s="192" t="s">
        <v>647</v>
      </c>
      <c r="E230" s="212"/>
      <c r="F230" s="233">
        <v>3.756260676028182</v>
      </c>
      <c r="G230" s="233">
        <v>0.59642400685031449</v>
      </c>
      <c r="H230" s="233">
        <v>0.16099834540433561</v>
      </c>
      <c r="I230" s="233">
        <v>1.6653316979385456E-2</v>
      </c>
      <c r="J230" s="233">
        <v>0.34069528400806059</v>
      </c>
      <c r="K230" s="233">
        <v>0.10684438259837045</v>
      </c>
      <c r="L230" s="233">
        <v>0</v>
      </c>
      <c r="M230" s="233">
        <v>0.10970588189726616</v>
      </c>
      <c r="N230" s="233">
        <v>5.5204337054812903E-2</v>
      </c>
      <c r="O230" s="233">
        <v>0.31007276127746147</v>
      </c>
      <c r="P230" s="233">
        <v>3.8637257873270654</v>
      </c>
      <c r="Q230" s="234">
        <v>9.3165847794252556</v>
      </c>
    </row>
    <row r="231" spans="3:17" ht="13.15" x14ac:dyDescent="0.4">
      <c r="C231" s="211" t="s">
        <v>546</v>
      </c>
      <c r="D231" s="192" t="s">
        <v>648</v>
      </c>
      <c r="E231" s="212"/>
      <c r="F231" s="233">
        <v>1.7966888122591467</v>
      </c>
      <c r="G231" s="233">
        <v>0.27001472375898072</v>
      </c>
      <c r="H231" s="233">
        <v>0.17270854650666179</v>
      </c>
      <c r="I231" s="233">
        <v>4.8944136211666593E-2</v>
      </c>
      <c r="J231" s="233">
        <v>0.32998739961484602</v>
      </c>
      <c r="K231" s="233">
        <v>7.343230303010183E-3</v>
      </c>
      <c r="L231" s="233">
        <v>0</v>
      </c>
      <c r="M231" s="233">
        <v>3.5381093743630007E-2</v>
      </c>
      <c r="N231" s="233">
        <v>5.9929481340109274E-2</v>
      </c>
      <c r="O231" s="233">
        <v>0.10060855983799588</v>
      </c>
      <c r="P231" s="233">
        <v>1.2589576622197292</v>
      </c>
      <c r="Q231" s="234">
        <v>4.0805636457957757</v>
      </c>
    </row>
    <row r="232" spans="3:17" ht="13.15" x14ac:dyDescent="0.4">
      <c r="C232" s="211" t="s">
        <v>547</v>
      </c>
      <c r="D232" s="192" t="s">
        <v>649</v>
      </c>
      <c r="E232" s="212"/>
      <c r="F232" s="233">
        <v>0.65108205784540563</v>
      </c>
      <c r="G232" s="233">
        <v>0.68714105856820207</v>
      </c>
      <c r="H232" s="233">
        <v>0.37281472515210867</v>
      </c>
      <c r="I232" s="233">
        <v>2.7253273481477599E-2</v>
      </c>
      <c r="J232" s="233">
        <v>6.6819229585713236E-2</v>
      </c>
      <c r="K232" s="233">
        <v>1.1727719467022348E-3</v>
      </c>
      <c r="L232" s="233">
        <v>0</v>
      </c>
      <c r="M232" s="233">
        <v>2.9211370533687213E-2</v>
      </c>
      <c r="N232" s="233">
        <v>1.4721156547950085E-2</v>
      </c>
      <c r="O232" s="233">
        <v>8.138050362052765E-2</v>
      </c>
      <c r="P232" s="233">
        <v>1.0037329245556514</v>
      </c>
      <c r="Q232" s="234">
        <v>2.9353290718374261</v>
      </c>
    </row>
    <row r="233" spans="3:17" ht="13.15" x14ac:dyDescent="0.4">
      <c r="C233" s="211" t="s">
        <v>650</v>
      </c>
      <c r="D233" s="192" t="s">
        <v>651</v>
      </c>
      <c r="E233" s="212"/>
      <c r="F233" s="233">
        <v>2.4285556566047584</v>
      </c>
      <c r="G233" s="233">
        <v>0.28428918844473444</v>
      </c>
      <c r="H233" s="233">
        <v>0.17950243894819926</v>
      </c>
      <c r="I233" s="233">
        <v>2.6469991563920339E-2</v>
      </c>
      <c r="J233" s="233">
        <v>0.10074361311064042</v>
      </c>
      <c r="K233" s="233">
        <v>0.10304419499199292</v>
      </c>
      <c r="L233" s="233">
        <v>0</v>
      </c>
      <c r="M233" s="233">
        <v>7.6063151216333003E-2</v>
      </c>
      <c r="N233" s="233">
        <v>8.0571483728476001E-2</v>
      </c>
      <c r="O233" s="233">
        <v>0.21390317540248885</v>
      </c>
      <c r="P233" s="233">
        <v>2.6559390414725477</v>
      </c>
      <c r="Q233" s="234">
        <v>6.1490819354840909</v>
      </c>
    </row>
    <row r="234" spans="3:17" ht="13.15" x14ac:dyDescent="0.4">
      <c r="C234" s="211" t="s">
        <v>549</v>
      </c>
      <c r="D234" s="192" t="s">
        <v>652</v>
      </c>
      <c r="E234" s="212"/>
      <c r="F234" s="233">
        <v>1.0234957252893402</v>
      </c>
      <c r="G234" s="233">
        <v>0.51528048434718732</v>
      </c>
      <c r="H234" s="233">
        <v>0.17597278246505749</v>
      </c>
      <c r="I234" s="233">
        <v>0.15604883197983954</v>
      </c>
      <c r="J234" s="233">
        <v>0.13885797638523656</v>
      </c>
      <c r="K234" s="233">
        <v>2.0432396041494941E-2</v>
      </c>
      <c r="L234" s="233">
        <v>0</v>
      </c>
      <c r="M234" s="233">
        <v>8.5008791262673744E-2</v>
      </c>
      <c r="N234" s="233">
        <v>0</v>
      </c>
      <c r="O234" s="233">
        <v>0.24766681816539562</v>
      </c>
      <c r="P234" s="233">
        <v>3.1507012651066626</v>
      </c>
      <c r="Q234" s="234">
        <v>5.5134650710428881</v>
      </c>
    </row>
    <row r="235" spans="3:17" ht="13.15" x14ac:dyDescent="0.4">
      <c r="C235" s="211" t="s">
        <v>550</v>
      </c>
      <c r="D235" s="192" t="s">
        <v>653</v>
      </c>
      <c r="E235" s="212"/>
      <c r="F235" s="233">
        <v>0.83724411346541516</v>
      </c>
      <c r="G235" s="233">
        <v>0.34603620869139906</v>
      </c>
      <c r="H235" s="233">
        <v>0.19636271936461122</v>
      </c>
      <c r="I235" s="233">
        <v>1.0676881086859564E-2</v>
      </c>
      <c r="J235" s="233">
        <v>3.6703577341849945E-2</v>
      </c>
      <c r="K235" s="233">
        <v>3.0358911919331481E-2</v>
      </c>
      <c r="L235" s="233">
        <v>0</v>
      </c>
      <c r="M235" s="233">
        <v>0.1325746140840795</v>
      </c>
      <c r="N235" s="233">
        <v>7.7088633234113279E-3</v>
      </c>
      <c r="O235" s="233">
        <v>0.38750235656181081</v>
      </c>
      <c r="P235" s="233">
        <v>4.9402634144507767</v>
      </c>
      <c r="Q235" s="234">
        <v>6.9254316602895445</v>
      </c>
    </row>
    <row r="236" spans="3:17" ht="13.15" x14ac:dyDescent="0.4">
      <c r="C236" s="211" t="s">
        <v>551</v>
      </c>
      <c r="D236" s="192" t="s">
        <v>654</v>
      </c>
      <c r="E236" s="212"/>
      <c r="F236" s="233">
        <v>2.3999491635887669</v>
      </c>
      <c r="G236" s="233">
        <v>0.37224354906473944</v>
      </c>
      <c r="H236" s="233">
        <v>0.16693676071407965</v>
      </c>
      <c r="I236" s="233">
        <v>6.1942414148978987E-3</v>
      </c>
      <c r="J236" s="233">
        <v>4.5051607093546116E-2</v>
      </c>
      <c r="K236" s="233">
        <v>7.6833249012439944E-2</v>
      </c>
      <c r="L236" s="233">
        <v>0</v>
      </c>
      <c r="M236" s="233">
        <v>0.12022978002459191</v>
      </c>
      <c r="N236" s="233">
        <v>9.6348638826661614E-2</v>
      </c>
      <c r="O236" s="233">
        <v>0.35954292757625539</v>
      </c>
      <c r="P236" s="233">
        <v>4.652398545649552</v>
      </c>
      <c r="Q236" s="234">
        <v>8.2957284629655312</v>
      </c>
    </row>
    <row r="237" spans="3:17" ht="13.15" x14ac:dyDescent="0.4">
      <c r="C237" s="211" t="s">
        <v>552</v>
      </c>
      <c r="D237" s="192" t="s">
        <v>655</v>
      </c>
      <c r="E237" s="212"/>
      <c r="F237" s="233">
        <v>10.458985564824426</v>
      </c>
      <c r="G237" s="233">
        <v>0.15882151626858371</v>
      </c>
      <c r="H237" s="233">
        <v>0.21831425919464886</v>
      </c>
      <c r="I237" s="233">
        <v>1.4129602476519934E-2</v>
      </c>
      <c r="J237" s="233">
        <v>0.25481030283978817</v>
      </c>
      <c r="K237" s="233">
        <v>2.1391778965770301E-2</v>
      </c>
      <c r="L237" s="233">
        <v>0</v>
      </c>
      <c r="M237" s="233">
        <v>0.13631652557121407</v>
      </c>
      <c r="N237" s="233">
        <v>1.6420632820223217E-2</v>
      </c>
      <c r="O237" s="233">
        <v>0.40051797499781411</v>
      </c>
      <c r="P237" s="233">
        <v>5.123748394039767</v>
      </c>
      <c r="Q237" s="234">
        <v>16.803456551998757</v>
      </c>
    </row>
    <row r="238" spans="3:17" ht="13.15" x14ac:dyDescent="0.4">
      <c r="C238" s="211" t="s">
        <v>553</v>
      </c>
      <c r="D238" s="192" t="s">
        <v>656</v>
      </c>
      <c r="E238" s="212"/>
      <c r="F238" s="233">
        <v>2.6710924227790418</v>
      </c>
      <c r="G238" s="233">
        <v>0.40179905280978701</v>
      </c>
      <c r="H238" s="233">
        <v>5.2394545532789369E-2</v>
      </c>
      <c r="I238" s="233">
        <v>2.4990403441011499E-2</v>
      </c>
      <c r="J238" s="233">
        <v>4.0290106433697216E-2</v>
      </c>
      <c r="K238" s="233">
        <v>0.10281070026337422</v>
      </c>
      <c r="L238" s="233">
        <v>0</v>
      </c>
      <c r="M238" s="233">
        <v>0.13242356190756527</v>
      </c>
      <c r="N238" s="233">
        <v>4.8342890237085649E-2</v>
      </c>
      <c r="O238" s="233">
        <v>0.38718334870226617</v>
      </c>
      <c r="P238" s="233">
        <v>4.9372307462771925</v>
      </c>
      <c r="Q238" s="234">
        <v>8.7985577783838096</v>
      </c>
    </row>
    <row r="239" spans="3:17" ht="13.15" x14ac:dyDescent="0.4">
      <c r="C239" s="211" t="s">
        <v>554</v>
      </c>
      <c r="D239" s="192" t="s">
        <v>657</v>
      </c>
      <c r="E239" s="212"/>
      <c r="F239" s="233">
        <v>2.0588192198091444</v>
      </c>
      <c r="G239" s="233">
        <v>0.54342074446528199</v>
      </c>
      <c r="H239" s="233">
        <v>8.1796513220178339E-3</v>
      </c>
      <c r="I239" s="233">
        <v>7.406530709058219E-3</v>
      </c>
      <c r="J239" s="233">
        <v>0.15520564809419171</v>
      </c>
      <c r="K239" s="233">
        <v>0.10341717757270585</v>
      </c>
      <c r="L239" s="233">
        <v>0</v>
      </c>
      <c r="M239" s="233">
        <v>9.4951050544218304E-2</v>
      </c>
      <c r="N239" s="233">
        <v>0</v>
      </c>
      <c r="O239" s="233">
        <v>0.26886986261366275</v>
      </c>
      <c r="P239" s="233">
        <v>3.3546759082171875</v>
      </c>
      <c r="Q239" s="234">
        <v>6.5949457933474687</v>
      </c>
    </row>
    <row r="240" spans="3:17" ht="13.15" x14ac:dyDescent="0.4">
      <c r="C240" s="211" t="s">
        <v>555</v>
      </c>
      <c r="D240" s="192" t="s">
        <v>658</v>
      </c>
      <c r="E240" s="212"/>
      <c r="F240" s="233">
        <v>2.4454934235247561</v>
      </c>
      <c r="G240" s="233">
        <v>0.70808507731005155</v>
      </c>
      <c r="H240" s="233">
        <v>0.13712322224962387</v>
      </c>
      <c r="I240" s="233">
        <v>8.4348186977224376E-2</v>
      </c>
      <c r="J240" s="233">
        <v>0.1757187956599954</v>
      </c>
      <c r="K240" s="233">
        <v>3.5681893440901856E-2</v>
      </c>
      <c r="L240" s="233">
        <v>0</v>
      </c>
      <c r="M240" s="233">
        <v>6.7135436108181137E-2</v>
      </c>
      <c r="N240" s="233">
        <v>4.0296885266164671E-2</v>
      </c>
      <c r="O240" s="233">
        <v>0.19569491778214976</v>
      </c>
      <c r="P240" s="233">
        <v>2.4903929382385015</v>
      </c>
      <c r="Q240" s="234">
        <v>6.3799707765575508</v>
      </c>
    </row>
    <row r="241" spans="1:25" ht="13.15" x14ac:dyDescent="0.4">
      <c r="C241" s="211" t="s">
        <v>556</v>
      </c>
      <c r="D241" s="192" t="s">
        <v>659</v>
      </c>
      <c r="E241" s="212"/>
      <c r="F241" s="233">
        <v>2.4707169422436501</v>
      </c>
      <c r="G241" s="233">
        <v>0.43170058916437415</v>
      </c>
      <c r="H241" s="233">
        <v>3.4429668025687905E-3</v>
      </c>
      <c r="I241" s="233">
        <v>2.1442207160255248E-2</v>
      </c>
      <c r="J241" s="233">
        <v>0.16657008230131279</v>
      </c>
      <c r="K241" s="233">
        <v>8.4362783887279136E-2</v>
      </c>
      <c r="L241" s="233">
        <v>0</v>
      </c>
      <c r="M241" s="233">
        <v>0.10944007411767231</v>
      </c>
      <c r="N241" s="233">
        <v>3.6802891369875274E-3</v>
      </c>
      <c r="O241" s="233">
        <v>0.30481928660844898</v>
      </c>
      <c r="P241" s="233">
        <v>3.7589512499593054</v>
      </c>
      <c r="Q241" s="234">
        <v>7.3551264713818547</v>
      </c>
    </row>
    <row r="242" spans="1:25" ht="13.15" x14ac:dyDescent="0.4">
      <c r="C242" s="211" t="s">
        <v>557</v>
      </c>
      <c r="D242" s="192" t="s">
        <v>660</v>
      </c>
      <c r="E242" s="212"/>
      <c r="F242" s="233">
        <v>5.6753909403201428</v>
      </c>
      <c r="G242" s="233">
        <v>0.38615157733109984</v>
      </c>
      <c r="H242" s="233">
        <v>6.901194496949184E-2</v>
      </c>
      <c r="I242" s="233">
        <v>5.9984497992856677E-2</v>
      </c>
      <c r="J242" s="233">
        <v>0.9526668566631733</v>
      </c>
      <c r="K242" s="233">
        <v>1.0937208561732399E-2</v>
      </c>
      <c r="L242" s="233">
        <v>0</v>
      </c>
      <c r="M242" s="233">
        <v>3.4634958974871531E-2</v>
      </c>
      <c r="N242" s="233">
        <v>0.15800840201202532</v>
      </c>
      <c r="O242" s="233">
        <v>9.3783401310142012E-2</v>
      </c>
      <c r="P242" s="233">
        <v>4.7490604628760362</v>
      </c>
      <c r="Q242" s="234">
        <v>12.189630251011572</v>
      </c>
    </row>
    <row r="243" spans="1:25" ht="13.15" x14ac:dyDescent="0.4">
      <c r="C243" s="211" t="s">
        <v>558</v>
      </c>
      <c r="D243" s="192" t="s">
        <v>661</v>
      </c>
      <c r="E243" s="212"/>
      <c r="F243" s="233">
        <v>2.9079451488722778</v>
      </c>
      <c r="G243" s="233">
        <v>0.24985722471311728</v>
      </c>
      <c r="H243" s="233">
        <v>0.29394460174743364</v>
      </c>
      <c r="I243" s="233">
        <v>2.4514406708204269E-2</v>
      </c>
      <c r="J243" s="233">
        <v>6.9126515145754838E-2</v>
      </c>
      <c r="K243" s="233">
        <v>4.5794817445639208E-2</v>
      </c>
      <c r="L243" s="233">
        <v>0</v>
      </c>
      <c r="M243" s="233">
        <v>0.14365696298861158</v>
      </c>
      <c r="N243" s="233">
        <v>7.7088633234113279E-3</v>
      </c>
      <c r="O243" s="233">
        <v>0.41942905401839126</v>
      </c>
      <c r="P243" s="233">
        <v>5.3433626650776249</v>
      </c>
      <c r="Q243" s="234">
        <v>9.5053402600404659</v>
      </c>
    </row>
    <row r="244" spans="1:25" ht="13.15" x14ac:dyDescent="0.4">
      <c r="C244" s="211" t="s">
        <v>559</v>
      </c>
      <c r="D244" s="192" t="s">
        <v>662</v>
      </c>
      <c r="E244" s="212"/>
      <c r="F244" s="233">
        <v>1.5649232416736769</v>
      </c>
      <c r="G244" s="233">
        <v>0.47689871428093661</v>
      </c>
      <c r="H244" s="233">
        <v>0.32002315493113864</v>
      </c>
      <c r="I244" s="233">
        <v>6.7884423997229451E-2</v>
      </c>
      <c r="J244" s="233">
        <v>0.1514080075964985</v>
      </c>
      <c r="K244" s="233">
        <v>3.2298144878794094E-2</v>
      </c>
      <c r="L244" s="233">
        <v>0</v>
      </c>
      <c r="M244" s="233">
        <v>0.10146641069210528</v>
      </c>
      <c r="N244" s="233">
        <v>3.6802891369875274E-3</v>
      </c>
      <c r="O244" s="233">
        <v>0.30362656338070315</v>
      </c>
      <c r="P244" s="233">
        <v>3.9304622218787086</v>
      </c>
      <c r="Q244" s="234">
        <v>6.9526711724467791</v>
      </c>
    </row>
    <row r="245" spans="1:25" ht="13.5" thickBot="1" x14ac:dyDescent="0.45">
      <c r="C245" s="235" t="s">
        <v>560</v>
      </c>
      <c r="D245" s="236" t="s">
        <v>663</v>
      </c>
      <c r="E245" s="237"/>
      <c r="F245" s="238">
        <v>12.593678845645814</v>
      </c>
      <c r="G245" s="238">
        <v>1.003455084605215</v>
      </c>
      <c r="H245" s="238">
        <v>0.61136453382150535</v>
      </c>
      <c r="I245" s="238">
        <v>0.49959682125943861</v>
      </c>
      <c r="J245" s="238">
        <v>2.6466423374413406</v>
      </c>
      <c r="K245" s="238">
        <v>3.4180651209596707E-2</v>
      </c>
      <c r="L245" s="238">
        <v>0</v>
      </c>
      <c r="M245" s="238">
        <v>3.1743108371675821E-2</v>
      </c>
      <c r="N245" s="238">
        <v>1.1110169932510969</v>
      </c>
      <c r="O245" s="238">
        <v>8.5034664804583007E-2</v>
      </c>
      <c r="P245" s="238">
        <v>1.0186913726854605</v>
      </c>
      <c r="Q245" s="239">
        <v>19.635404413095724</v>
      </c>
    </row>
    <row r="246" spans="1:25" ht="13.5" thickBot="1" x14ac:dyDescent="0.45">
      <c r="C246" s="221" t="s">
        <v>667</v>
      </c>
      <c r="D246" s="222"/>
      <c r="E246" s="223"/>
      <c r="F246" s="224">
        <f t="shared" ref="F246:Q246" si="20">SUM(F213:F245)</f>
        <v>173.70054027770303</v>
      </c>
      <c r="G246" s="224">
        <f t="shared" si="20"/>
        <v>16.207931392253844</v>
      </c>
      <c r="H246" s="224">
        <f t="shared" si="20"/>
        <v>17.284031902949614</v>
      </c>
      <c r="I246" s="224">
        <f t="shared" si="20"/>
        <v>2.2272310741311783</v>
      </c>
      <c r="J246" s="224">
        <f t="shared" si="20"/>
        <v>10.485979655489103</v>
      </c>
      <c r="K246" s="224">
        <f t="shared" si="20"/>
        <v>3.0771391888765431</v>
      </c>
      <c r="L246" s="224">
        <f t="shared" si="20"/>
        <v>5.0228648707557014E-2</v>
      </c>
      <c r="M246" s="224">
        <f t="shared" si="20"/>
        <v>3.3384285980644597</v>
      </c>
      <c r="N246" s="224">
        <f t="shared" si="20"/>
        <v>2.1056144390154592</v>
      </c>
      <c r="O246" s="224">
        <f t="shared" si="20"/>
        <v>9.5726286552839515</v>
      </c>
      <c r="P246" s="224">
        <f t="shared" si="20"/>
        <v>133.18323191589312</v>
      </c>
      <c r="Q246" s="225">
        <f t="shared" si="20"/>
        <v>371.23820130470739</v>
      </c>
    </row>
    <row r="247" spans="1:25" ht="13.15" x14ac:dyDescent="0.4">
      <c r="C247" s="1778"/>
      <c r="D247" s="1778"/>
      <c r="E247" s="1778"/>
      <c r="F247" s="1778"/>
      <c r="G247" s="1778"/>
      <c r="H247" s="1778"/>
      <c r="I247" s="1778"/>
      <c r="J247" s="1778"/>
      <c r="K247" s="1769"/>
      <c r="L247" s="1779"/>
      <c r="M247" s="1769"/>
      <c r="N247" s="1769"/>
      <c r="O247" s="1769"/>
      <c r="P247" s="1769"/>
      <c r="Q247" s="1769"/>
    </row>
    <row r="248" spans="1:25" ht="13.15" x14ac:dyDescent="0.4">
      <c r="C248" s="1778" t="s">
        <v>788</v>
      </c>
      <c r="D248" s="1784"/>
      <c r="E248" s="1784"/>
      <c r="F248" s="1784"/>
      <c r="G248" s="1784"/>
      <c r="H248" s="1784"/>
      <c r="I248" s="1784"/>
      <c r="J248" s="1784"/>
      <c r="K248" s="1785"/>
      <c r="L248" s="1786"/>
      <c r="M248" s="1785"/>
      <c r="N248" s="1785"/>
      <c r="O248" s="1785"/>
      <c r="P248" s="1785"/>
      <c r="Q248" s="1785"/>
    </row>
    <row r="249" spans="1:25" ht="13.15" x14ac:dyDescent="0.4">
      <c r="C249" s="1778" t="s">
        <v>789</v>
      </c>
      <c r="D249" s="1784"/>
      <c r="E249" s="1784"/>
      <c r="F249" s="1784"/>
      <c r="G249" s="1784"/>
      <c r="H249" s="1784"/>
      <c r="I249" s="1784"/>
      <c r="J249" s="1784"/>
      <c r="K249" s="1785"/>
      <c r="L249" s="1786"/>
      <c r="M249" s="1785"/>
      <c r="N249" s="1785"/>
      <c r="O249" s="1785"/>
      <c r="P249" s="1785"/>
      <c r="Q249" s="1785"/>
    </row>
    <row r="250" spans="1:25" ht="13.15" x14ac:dyDescent="0.4">
      <c r="C250" s="1778" t="s">
        <v>790</v>
      </c>
      <c r="D250" s="1784"/>
      <c r="E250" s="1784"/>
      <c r="F250" s="1784"/>
      <c r="G250" s="1784"/>
      <c r="H250" s="1784"/>
      <c r="I250" s="1784"/>
      <c r="J250" s="1784"/>
      <c r="K250" s="1785"/>
      <c r="L250" s="1786"/>
      <c r="M250" s="1785"/>
      <c r="N250" s="1785"/>
      <c r="O250" s="1785"/>
      <c r="P250" s="1785"/>
      <c r="Q250" s="1785"/>
    </row>
    <row r="251" spans="1:25" ht="13.15" x14ac:dyDescent="0.4">
      <c r="C251" s="1778" t="s">
        <v>791</v>
      </c>
      <c r="D251" s="1784"/>
      <c r="E251" s="1784"/>
      <c r="F251" s="1784"/>
      <c r="G251" s="1784"/>
      <c r="H251" s="1784"/>
      <c r="I251" s="1784"/>
      <c r="J251" s="1784"/>
      <c r="K251" s="1785"/>
      <c r="L251" s="1786"/>
      <c r="M251" s="1785"/>
      <c r="N251" s="1785"/>
      <c r="O251" s="1785"/>
      <c r="P251" s="1785"/>
      <c r="Q251" s="1785"/>
    </row>
    <row r="252" spans="1:25" ht="26.25" x14ac:dyDescent="0.35">
      <c r="E252" s="2195" t="s">
        <v>610</v>
      </c>
      <c r="F252" s="2195" t="s">
        <v>591</v>
      </c>
      <c r="G252" s="2195" t="s">
        <v>271</v>
      </c>
      <c r="H252" s="2195" t="s">
        <v>784</v>
      </c>
      <c r="I252" s="2195" t="s">
        <v>267</v>
      </c>
      <c r="J252" s="2195" t="s">
        <v>785</v>
      </c>
      <c r="K252" s="2195" t="s">
        <v>786</v>
      </c>
      <c r="L252" s="2195" t="s">
        <v>591</v>
      </c>
      <c r="M252" s="2195" t="s">
        <v>610</v>
      </c>
      <c r="N252" s="2195" t="s">
        <v>591</v>
      </c>
      <c r="O252" s="2195" t="s">
        <v>787</v>
      </c>
      <c r="P252" s="2201"/>
    </row>
    <row r="253" spans="1:25" ht="15.75" x14ac:dyDescent="0.35">
      <c r="C253" s="2086"/>
      <c r="D253" s="2086"/>
      <c r="E253" s="2196" t="s">
        <v>780</v>
      </c>
      <c r="F253" s="2197"/>
      <c r="G253" s="2197"/>
      <c r="H253" s="2197"/>
      <c r="I253" s="2197"/>
      <c r="J253" s="2198"/>
      <c r="K253" s="2196" t="s">
        <v>593</v>
      </c>
      <c r="L253" s="2197"/>
      <c r="M253" s="2197"/>
      <c r="N253" s="2197"/>
      <c r="O253" s="2197"/>
      <c r="P253" s="2198"/>
      <c r="Q253" s="2196" t="s">
        <v>781</v>
      </c>
      <c r="R253" s="2198"/>
      <c r="S253" s="2196" t="s">
        <v>2363</v>
      </c>
      <c r="T253" s="2198"/>
      <c r="U253" s="2087" t="s">
        <v>783</v>
      </c>
    </row>
    <row r="254" spans="1:25" ht="27.75" x14ac:dyDescent="0.35">
      <c r="C254" s="2086" t="s">
        <v>2364</v>
      </c>
      <c r="D254" s="2194" t="s">
        <v>2365</v>
      </c>
      <c r="E254" s="2199" t="s">
        <v>610</v>
      </c>
      <c r="F254" s="2185" t="s">
        <v>591</v>
      </c>
      <c r="G254" s="2185" t="s">
        <v>271</v>
      </c>
      <c r="H254" s="2185" t="s">
        <v>784</v>
      </c>
      <c r="I254" s="2185" t="s">
        <v>267</v>
      </c>
      <c r="J254" s="2200" t="s">
        <v>2366</v>
      </c>
      <c r="K254" s="2199" t="s">
        <v>2367</v>
      </c>
      <c r="L254" s="2185" t="s">
        <v>591</v>
      </c>
      <c r="M254" s="2185" t="s">
        <v>271</v>
      </c>
      <c r="N254" s="2185" t="s">
        <v>784</v>
      </c>
      <c r="O254" s="2185" t="s">
        <v>267</v>
      </c>
      <c r="P254" s="2200" t="s">
        <v>2368</v>
      </c>
      <c r="Q254" s="2199" t="s">
        <v>610</v>
      </c>
      <c r="R254" s="2200" t="s">
        <v>591</v>
      </c>
      <c r="S254" s="2199" t="s">
        <v>610</v>
      </c>
      <c r="T254" s="2200" t="s">
        <v>591</v>
      </c>
      <c r="U254" s="2087"/>
    </row>
    <row r="255" spans="1:25" ht="14.25" x14ac:dyDescent="0.45">
      <c r="A255" s="211" t="s">
        <v>528</v>
      </c>
      <c r="B255" s="192" t="s">
        <v>630</v>
      </c>
      <c r="C255" s="2081" t="s">
        <v>2328</v>
      </c>
      <c r="D255" s="2082" t="s">
        <v>528</v>
      </c>
      <c r="E255" s="2186">
        <v>8.119310880487749</v>
      </c>
      <c r="F255" s="2187">
        <v>0.21678144357394052</v>
      </c>
      <c r="G255" s="2187">
        <v>2.8714211712871518</v>
      </c>
      <c r="H255" s="2187">
        <v>1.0324392157187766E-2</v>
      </c>
      <c r="I255" s="2187">
        <v>3.6635215033874111E-2</v>
      </c>
      <c r="J255" s="2188">
        <v>5.7873985622122197E-2</v>
      </c>
      <c r="K255" s="2186">
        <v>0</v>
      </c>
      <c r="L255" s="2187">
        <v>0.12861397158068386</v>
      </c>
      <c r="M255" s="2187">
        <v>0</v>
      </c>
      <c r="N255" s="2187">
        <v>0</v>
      </c>
      <c r="O255" s="2187">
        <v>0</v>
      </c>
      <c r="P255" s="2188">
        <v>0</v>
      </c>
      <c r="Q255" s="2186">
        <v>1.2258337810679365E-2</v>
      </c>
      <c r="R255" s="2188">
        <v>0.37004346502379204</v>
      </c>
      <c r="S255" s="2186">
        <v>0</v>
      </c>
      <c r="T255" s="2188">
        <v>4.6680123047987276</v>
      </c>
      <c r="U255" s="2188">
        <v>16.49127516737591</v>
      </c>
      <c r="V255" s="1767"/>
      <c r="W255" s="1767"/>
      <c r="X255" s="1766"/>
      <c r="Y255" s="1766"/>
    </row>
    <row r="256" spans="1:25" ht="14.25" x14ac:dyDescent="0.45">
      <c r="A256" s="211" t="s">
        <v>529</v>
      </c>
      <c r="B256" s="192" t="s">
        <v>631</v>
      </c>
      <c r="C256" s="2081" t="s">
        <v>2329</v>
      </c>
      <c r="D256" s="2082" t="s">
        <v>529</v>
      </c>
      <c r="E256" s="2189">
        <v>4.5329164349024875</v>
      </c>
      <c r="F256" s="2190">
        <v>0.72421861223513251</v>
      </c>
      <c r="G256" s="2190">
        <v>0.25518047376547209</v>
      </c>
      <c r="H256" s="2190">
        <v>2.1704972785922653E-2</v>
      </c>
      <c r="I256" s="2190">
        <v>8.4539493601265031E-2</v>
      </c>
      <c r="J256" s="2191">
        <v>0.16632641765431355</v>
      </c>
      <c r="K256" s="2189">
        <v>0</v>
      </c>
      <c r="L256" s="2190">
        <v>0.12185208018095726</v>
      </c>
      <c r="M256" s="2190">
        <v>0</v>
      </c>
      <c r="N256" s="2190">
        <v>0</v>
      </c>
      <c r="O256" s="2190">
        <v>0</v>
      </c>
      <c r="P256" s="2191">
        <v>0</v>
      </c>
      <c r="Q256" s="2189">
        <v>0.14030352642596011</v>
      </c>
      <c r="R256" s="2191">
        <v>0.35489074719167157</v>
      </c>
      <c r="S256" s="2189">
        <v>0</v>
      </c>
      <c r="T256" s="2191">
        <v>4.513768987943239</v>
      </c>
      <c r="U256" s="2191">
        <v>10.915701746686421</v>
      </c>
      <c r="V256" s="1767"/>
      <c r="W256" s="1767"/>
      <c r="X256" s="1764"/>
      <c r="Y256" s="1764"/>
    </row>
    <row r="257" spans="1:25" ht="14.25" x14ac:dyDescent="0.45">
      <c r="A257" s="211" t="s">
        <v>530</v>
      </c>
      <c r="B257" s="192" t="s">
        <v>632</v>
      </c>
      <c r="C257" s="2081" t="s">
        <v>2330</v>
      </c>
      <c r="D257" s="2082" t="s">
        <v>530</v>
      </c>
      <c r="E257" s="2189">
        <v>7.9923387543060924</v>
      </c>
      <c r="F257" s="2190">
        <v>0.50642206599880812</v>
      </c>
      <c r="G257" s="2190">
        <v>0.13273054413285831</v>
      </c>
      <c r="H257" s="2190">
        <v>1.4967233527693104E-2</v>
      </c>
      <c r="I257" s="2190">
        <v>0.44807735337736054</v>
      </c>
      <c r="J257" s="2191">
        <v>0.12024921755027142</v>
      </c>
      <c r="K257" s="2189">
        <v>0</v>
      </c>
      <c r="L257" s="2190">
        <v>0.14855376006958865</v>
      </c>
      <c r="M257" s="2190">
        <v>0</v>
      </c>
      <c r="N257" s="2190">
        <v>0</v>
      </c>
      <c r="O257" s="2190">
        <v>0</v>
      </c>
      <c r="P257" s="2191">
        <v>0</v>
      </c>
      <c r="Q257" s="2189">
        <v>4.4163469643850373E-2</v>
      </c>
      <c r="R257" s="2191">
        <v>0.43829471376590895</v>
      </c>
      <c r="S257" s="2189">
        <v>2.3721626599999999</v>
      </c>
      <c r="T257" s="2191">
        <v>5.6223227614231179</v>
      </c>
      <c r="U257" s="2191">
        <v>17.840282533795552</v>
      </c>
      <c r="V257" s="1767"/>
      <c r="W257" s="1767"/>
      <c r="X257" s="1764"/>
      <c r="Y257" s="1764"/>
    </row>
    <row r="258" spans="1:25" ht="14.25" x14ac:dyDescent="0.45">
      <c r="A258" s="211" t="s">
        <v>531</v>
      </c>
      <c r="B258" s="192" t="s">
        <v>633</v>
      </c>
      <c r="C258" s="2081" t="s">
        <v>2331</v>
      </c>
      <c r="D258" s="2082" t="s">
        <v>531</v>
      </c>
      <c r="E258" s="2189">
        <v>7.0567312431131839</v>
      </c>
      <c r="F258" s="2190">
        <v>0.43162539439368408</v>
      </c>
      <c r="G258" s="2190">
        <v>1.5287203913032958</v>
      </c>
      <c r="H258" s="2190">
        <v>8.5063218872472382E-2</v>
      </c>
      <c r="I258" s="2190">
        <v>8.0628791048373241E-2</v>
      </c>
      <c r="J258" s="2191">
        <v>5.2508826000870569E-2</v>
      </c>
      <c r="K258" s="2189">
        <v>0</v>
      </c>
      <c r="L258" s="2190">
        <v>8.7308901269549169E-2</v>
      </c>
      <c r="M258" s="2190">
        <v>0</v>
      </c>
      <c r="N258" s="2190">
        <v>0</v>
      </c>
      <c r="O258" s="2190">
        <v>0</v>
      </c>
      <c r="P258" s="2191">
        <v>0</v>
      </c>
      <c r="Q258" s="2189">
        <v>0</v>
      </c>
      <c r="R258" s="2191">
        <v>0.25705734852429851</v>
      </c>
      <c r="S258" s="2189">
        <v>0</v>
      </c>
      <c r="T258" s="2191">
        <v>3.2929445985966526</v>
      </c>
      <c r="U258" s="2191">
        <v>12.872588713122379</v>
      </c>
      <c r="V258" s="1767"/>
      <c r="W258" s="1767"/>
      <c r="X258" s="1764"/>
      <c r="Y258" s="1764"/>
    </row>
    <row r="259" spans="1:25" ht="14.25" x14ac:dyDescent="0.45">
      <c r="A259" s="211" t="s">
        <v>532</v>
      </c>
      <c r="B259" s="192" t="s">
        <v>634</v>
      </c>
      <c r="C259" s="2081" t="s">
        <v>2332</v>
      </c>
      <c r="D259" s="2082" t="s">
        <v>532</v>
      </c>
      <c r="E259" s="2189">
        <v>6.4304669012603251</v>
      </c>
      <c r="F259" s="2190">
        <v>1.1563951751388883</v>
      </c>
      <c r="G259" s="2190">
        <v>2.1148363010922311</v>
      </c>
      <c r="H259" s="2190">
        <v>1.2776332878499424E-2</v>
      </c>
      <c r="I259" s="2190">
        <v>5.982048302096863E-2</v>
      </c>
      <c r="J259" s="2191">
        <v>0.42741782284091279</v>
      </c>
      <c r="K259" s="2189">
        <v>0</v>
      </c>
      <c r="L259" s="2190">
        <v>0.16888926762465481</v>
      </c>
      <c r="M259" s="2190">
        <v>0</v>
      </c>
      <c r="N259" s="2190">
        <v>0</v>
      </c>
      <c r="O259" s="2190">
        <v>6.2977993638909161E-4</v>
      </c>
      <c r="P259" s="2191">
        <v>0</v>
      </c>
      <c r="Q259" s="2189">
        <v>0</v>
      </c>
      <c r="R259" s="2191">
        <v>0.46142540293326889</v>
      </c>
      <c r="S259" s="2189">
        <v>0</v>
      </c>
      <c r="T259" s="2191">
        <v>5.6106466104277359</v>
      </c>
      <c r="U259" s="2191">
        <v>16.443304077153876</v>
      </c>
      <c r="V259" s="1767"/>
      <c r="W259" s="1767"/>
      <c r="X259" s="1764"/>
      <c r="Y259" s="1764"/>
    </row>
    <row r="260" spans="1:25" ht="14.25" x14ac:dyDescent="0.45">
      <c r="A260" s="211" t="s">
        <v>533</v>
      </c>
      <c r="B260" s="192" t="s">
        <v>635</v>
      </c>
      <c r="C260" s="2081" t="s">
        <v>2333</v>
      </c>
      <c r="D260" s="2082" t="s">
        <v>533</v>
      </c>
      <c r="E260" s="2189">
        <v>4.3773370196091506</v>
      </c>
      <c r="F260" s="2190">
        <v>0.80225834235005389</v>
      </c>
      <c r="G260" s="2190">
        <v>0.45412910340718265</v>
      </c>
      <c r="H260" s="2190">
        <v>0.66190853727900156</v>
      </c>
      <c r="I260" s="2190">
        <v>0.72883746444450725</v>
      </c>
      <c r="J260" s="2191">
        <v>1.6236146242444981E-2</v>
      </c>
      <c r="K260" s="2189">
        <v>0</v>
      </c>
      <c r="L260" s="2190">
        <v>3.0994465938008538E-2</v>
      </c>
      <c r="M260" s="2190">
        <v>0</v>
      </c>
      <c r="N260" s="2190">
        <v>0</v>
      </c>
      <c r="O260" s="2190">
        <v>0</v>
      </c>
      <c r="P260" s="2191">
        <v>0</v>
      </c>
      <c r="Q260" s="2189">
        <v>1.2085722559271404E-2</v>
      </c>
      <c r="R260" s="2191">
        <v>8.4802850334516025E-2</v>
      </c>
      <c r="S260" s="2189">
        <v>0</v>
      </c>
      <c r="T260" s="2191">
        <v>1.0322549203961431</v>
      </c>
      <c r="U260" s="2191">
        <v>8.2008445725602801</v>
      </c>
      <c r="V260" s="1767"/>
      <c r="W260" s="1767"/>
      <c r="X260" s="1764"/>
      <c r="Y260" s="1764"/>
    </row>
    <row r="261" spans="1:25" ht="14.25" x14ac:dyDescent="0.45">
      <c r="A261" s="211" t="s">
        <v>534</v>
      </c>
      <c r="B261" s="192" t="s">
        <v>636</v>
      </c>
      <c r="C261" s="2081" t="s">
        <v>2334</v>
      </c>
      <c r="D261" s="2082" t="s">
        <v>534</v>
      </c>
      <c r="E261" s="2189">
        <v>3.4261294784412732</v>
      </c>
      <c r="F261" s="2190">
        <v>2.9083890010541638E-2</v>
      </c>
      <c r="G261" s="2190">
        <v>8.0550689496177511E-3</v>
      </c>
      <c r="H261" s="2190">
        <v>4.9884574604371262E-2</v>
      </c>
      <c r="I261" s="2190">
        <v>0.80063995686948275</v>
      </c>
      <c r="J261" s="2191">
        <v>5.5646715991953481E-3</v>
      </c>
      <c r="K261" s="2189">
        <v>0</v>
      </c>
      <c r="L261" s="2190">
        <v>1.0904849546968193E-4</v>
      </c>
      <c r="M261" s="2190">
        <v>0</v>
      </c>
      <c r="N261" s="2190">
        <v>0</v>
      </c>
      <c r="O261" s="2190">
        <v>0</v>
      </c>
      <c r="P261" s="2191">
        <v>0</v>
      </c>
      <c r="Q261" s="2189">
        <v>4.0285741864238001E-3</v>
      </c>
      <c r="R261" s="2191">
        <v>3.3901327045838257E-4</v>
      </c>
      <c r="S261" s="2189">
        <v>0</v>
      </c>
      <c r="T261" s="2191">
        <v>4.4932735123604569E-3</v>
      </c>
      <c r="U261" s="2191">
        <v>4.3283275499391953</v>
      </c>
      <c r="V261" s="1767"/>
      <c r="W261" s="1767"/>
      <c r="X261" s="1764"/>
      <c r="Y261" s="1764"/>
    </row>
    <row r="262" spans="1:25" ht="14.25" x14ac:dyDescent="0.45">
      <c r="A262" s="211" t="s">
        <v>535</v>
      </c>
      <c r="B262" s="192" t="s">
        <v>637</v>
      </c>
      <c r="C262" s="2081" t="s">
        <v>2335</v>
      </c>
      <c r="D262" s="2082" t="s">
        <v>535</v>
      </c>
      <c r="E262" s="2189">
        <v>2.7472377620949557</v>
      </c>
      <c r="F262" s="2190">
        <v>0.74201862169939603</v>
      </c>
      <c r="G262" s="2190">
        <v>0.38157816279423373</v>
      </c>
      <c r="H262" s="2190">
        <v>2.7565136757118289E-2</v>
      </c>
      <c r="I262" s="2190">
        <v>7.1113250399831129E-2</v>
      </c>
      <c r="J262" s="2191">
        <v>0.19453020760104861</v>
      </c>
      <c r="K262" s="2189">
        <v>1.5494377078092599E-2</v>
      </c>
      <c r="L262" s="2190">
        <v>0.20563208057223661</v>
      </c>
      <c r="M262" s="2190">
        <v>0</v>
      </c>
      <c r="N262" s="2190">
        <v>0</v>
      </c>
      <c r="O262" s="2190">
        <v>0</v>
      </c>
      <c r="P262" s="2191">
        <v>0</v>
      </c>
      <c r="Q262" s="2189">
        <v>4.0731477941304932E-3</v>
      </c>
      <c r="R262" s="2191">
        <v>0.58731015888548843</v>
      </c>
      <c r="S262" s="2189">
        <v>0</v>
      </c>
      <c r="T262" s="2191">
        <v>7.3716648310621498</v>
      </c>
      <c r="U262" s="2191">
        <v>12.348217736738683</v>
      </c>
      <c r="V262" s="1767"/>
      <c r="W262" s="1767"/>
      <c r="X262" s="1764"/>
      <c r="Y262" s="1764"/>
    </row>
    <row r="263" spans="1:25" ht="14.25" x14ac:dyDescent="0.45">
      <c r="A263" s="211" t="s">
        <v>536</v>
      </c>
      <c r="B263" s="192" t="s">
        <v>638</v>
      </c>
      <c r="C263" s="2081" t="s">
        <v>2336</v>
      </c>
      <c r="D263" s="2082" t="s">
        <v>536</v>
      </c>
      <c r="E263" s="2189">
        <v>8.247194778389705</v>
      </c>
      <c r="F263" s="2190">
        <v>0.54408280779185136</v>
      </c>
      <c r="G263" s="2190">
        <v>2.5520697627388516</v>
      </c>
      <c r="H263" s="2190">
        <v>7.0540080327306095E-3</v>
      </c>
      <c r="I263" s="2190">
        <v>0.22452020845686999</v>
      </c>
      <c r="J263" s="2191">
        <v>8.2592620557197863E-2</v>
      </c>
      <c r="K263" s="2189">
        <v>8.7694708920775764E-3</v>
      </c>
      <c r="L263" s="2190">
        <v>0.14086094046623568</v>
      </c>
      <c r="M263" s="2190">
        <v>0</v>
      </c>
      <c r="N263" s="2190">
        <v>0</v>
      </c>
      <c r="O263" s="2190">
        <v>0</v>
      </c>
      <c r="P263" s="2191">
        <v>0</v>
      </c>
      <c r="Q263" s="2189">
        <v>3.7162319821238216E-2</v>
      </c>
      <c r="R263" s="2191">
        <v>0.39695128556785231</v>
      </c>
      <c r="S263" s="2189">
        <v>0</v>
      </c>
      <c r="T263" s="2191">
        <v>4.9360061796404766</v>
      </c>
      <c r="U263" s="2191">
        <v>17.177264382355087</v>
      </c>
      <c r="V263" s="1767"/>
      <c r="W263" s="1767"/>
      <c r="X263" s="1764"/>
      <c r="Y263" s="1764"/>
    </row>
    <row r="264" spans="1:25" ht="14.25" x14ac:dyDescent="0.45">
      <c r="A264" s="211" t="s">
        <v>537</v>
      </c>
      <c r="B264" s="192" t="s">
        <v>639</v>
      </c>
      <c r="C264" s="2081" t="s">
        <v>2337</v>
      </c>
      <c r="D264" s="2082" t="s">
        <v>537</v>
      </c>
      <c r="E264" s="2189">
        <v>5.6785439822281445</v>
      </c>
      <c r="F264" s="2190">
        <v>0.52740398970938818</v>
      </c>
      <c r="G264" s="2190">
        <v>8.9332439640534556E-2</v>
      </c>
      <c r="H264" s="2190">
        <v>3.5576899817770097E-2</v>
      </c>
      <c r="I264" s="2190">
        <v>0.1664613650125823</v>
      </c>
      <c r="J264" s="2191">
        <v>0.22307530469624443</v>
      </c>
      <c r="K264" s="2189">
        <v>0</v>
      </c>
      <c r="L264" s="2190">
        <v>0.16549409217277949</v>
      </c>
      <c r="M264" s="2190">
        <v>0</v>
      </c>
      <c r="N264" s="2190">
        <v>0</v>
      </c>
      <c r="O264" s="2190">
        <v>0</v>
      </c>
      <c r="P264" s="2191">
        <v>0</v>
      </c>
      <c r="Q264" s="2189">
        <v>2.6469737459711956E-2</v>
      </c>
      <c r="R264" s="2191">
        <v>0.48031811071667407</v>
      </c>
      <c r="S264" s="2189">
        <v>0</v>
      </c>
      <c r="T264" s="2191">
        <v>6.0948235417166474</v>
      </c>
      <c r="U264" s="2191">
        <v>13.487499463170476</v>
      </c>
      <c r="V264" s="1767"/>
      <c r="W264" s="1767"/>
      <c r="X264" s="1764"/>
      <c r="Y264" s="1764"/>
    </row>
    <row r="265" spans="1:25" ht="14.25" x14ac:dyDescent="0.45">
      <c r="A265" s="211" t="s">
        <v>538</v>
      </c>
      <c r="B265" s="192" t="s">
        <v>640</v>
      </c>
      <c r="C265" s="2081" t="s">
        <v>2338</v>
      </c>
      <c r="D265" s="2082" t="s">
        <v>538</v>
      </c>
      <c r="E265" s="2189">
        <v>5.8459935758623987</v>
      </c>
      <c r="F265" s="2190">
        <v>0.39582308549151046</v>
      </c>
      <c r="G265" s="2190">
        <v>1.0161212800915883E-2</v>
      </c>
      <c r="H265" s="2190">
        <v>3.2897347533101182E-2</v>
      </c>
      <c r="I265" s="2190">
        <v>0.13076471188565333</v>
      </c>
      <c r="J265" s="2191">
        <v>5.2887845978762053E-2</v>
      </c>
      <c r="K265" s="2189">
        <v>0</v>
      </c>
      <c r="L265" s="2190">
        <v>0.12299204897104345</v>
      </c>
      <c r="M265" s="2190">
        <v>0</v>
      </c>
      <c r="N265" s="2190">
        <v>0</v>
      </c>
      <c r="O265" s="2190">
        <v>0</v>
      </c>
      <c r="P265" s="2191">
        <v>0</v>
      </c>
      <c r="Q265" s="2189">
        <v>4.0954345979838398E-3</v>
      </c>
      <c r="R265" s="2191">
        <v>0.35949393169164423</v>
      </c>
      <c r="S265" s="2189">
        <v>0</v>
      </c>
      <c r="T265" s="2191">
        <v>4.5831881539401627</v>
      </c>
      <c r="U265" s="2191">
        <v>11.538297348753176</v>
      </c>
      <c r="V265" s="1767"/>
      <c r="W265" s="1767"/>
      <c r="X265" s="1764"/>
      <c r="Y265" s="1764"/>
    </row>
    <row r="266" spans="1:25" ht="14.25" x14ac:dyDescent="0.45">
      <c r="A266" s="211" t="s">
        <v>539</v>
      </c>
      <c r="B266" s="192" t="s">
        <v>641</v>
      </c>
      <c r="C266" s="2081" t="s">
        <v>2339</v>
      </c>
      <c r="D266" s="2082" t="s">
        <v>539</v>
      </c>
      <c r="E266" s="2189">
        <v>1.9908256159122795</v>
      </c>
      <c r="F266" s="2190">
        <v>0.25786265074868464</v>
      </c>
      <c r="G266" s="2190">
        <v>6.2725312094900704E-2</v>
      </c>
      <c r="H266" s="2190">
        <v>1.8858332783460694E-2</v>
      </c>
      <c r="I266" s="2190">
        <v>0.10411834897529382</v>
      </c>
      <c r="J266" s="2191">
        <v>1.4368067580038644E-2</v>
      </c>
      <c r="K266" s="2189">
        <v>0</v>
      </c>
      <c r="L266" s="2190">
        <v>4.9687014727788199E-2</v>
      </c>
      <c r="M266" s="2190">
        <v>0</v>
      </c>
      <c r="N266" s="2190">
        <v>0</v>
      </c>
      <c r="O266" s="2190">
        <v>0</v>
      </c>
      <c r="P266" s="2191">
        <v>0</v>
      </c>
      <c r="Q266" s="2189">
        <v>4.8192043830274076E-2</v>
      </c>
      <c r="R266" s="2191">
        <v>0.13855142237647058</v>
      </c>
      <c r="S266" s="2189">
        <v>0</v>
      </c>
      <c r="T266" s="2191">
        <v>1.7099980007800086</v>
      </c>
      <c r="U266" s="2191">
        <v>4.3951868098091991</v>
      </c>
      <c r="V266" s="1767"/>
      <c r="W266" s="1767"/>
      <c r="X266" s="1764"/>
      <c r="Y266" s="1764"/>
    </row>
    <row r="267" spans="1:25" ht="14.25" x14ac:dyDescent="0.45">
      <c r="A267" s="211" t="s">
        <v>540</v>
      </c>
      <c r="B267" s="192" t="s">
        <v>642</v>
      </c>
      <c r="C267" s="2081" t="s">
        <v>2340</v>
      </c>
      <c r="D267" s="2082" t="s">
        <v>540</v>
      </c>
      <c r="E267" s="2189">
        <v>2.7832863521069862</v>
      </c>
      <c r="F267" s="2190">
        <v>0.31185555381371582</v>
      </c>
      <c r="G267" s="2190">
        <v>0.54173385315292633</v>
      </c>
      <c r="H267" s="2190">
        <v>7.1449666274282828E-2</v>
      </c>
      <c r="I267" s="2190">
        <v>0.24272263619327183</v>
      </c>
      <c r="J267" s="2191">
        <v>1.7424126416646049E-2</v>
      </c>
      <c r="K267" s="2189">
        <v>0</v>
      </c>
      <c r="L267" s="2190">
        <v>4.6332490194858501E-2</v>
      </c>
      <c r="M267" s="2190">
        <v>0</v>
      </c>
      <c r="N267" s="2190">
        <v>0</v>
      </c>
      <c r="O267" s="2190">
        <v>0</v>
      </c>
      <c r="P267" s="2191">
        <v>0</v>
      </c>
      <c r="Q267" s="2189">
        <v>0</v>
      </c>
      <c r="R267" s="2191">
        <v>0.138351049346395</v>
      </c>
      <c r="S267" s="2189">
        <v>0</v>
      </c>
      <c r="T267" s="2191">
        <v>1.788540331818449</v>
      </c>
      <c r="U267" s="2191">
        <v>5.9416960593175308</v>
      </c>
      <c r="V267" s="1767"/>
      <c r="W267" s="1767"/>
      <c r="X267" s="1764"/>
      <c r="Y267" s="1764"/>
    </row>
    <row r="268" spans="1:25" ht="14.25" x14ac:dyDescent="0.45">
      <c r="A268" s="211" t="s">
        <v>541</v>
      </c>
      <c r="B268" s="192" t="s">
        <v>643</v>
      </c>
      <c r="C268" s="2081" t="s">
        <v>2341</v>
      </c>
      <c r="D268" s="2082" t="s">
        <v>541</v>
      </c>
      <c r="E268" s="2189">
        <v>2.1503295423987421</v>
      </c>
      <c r="F268" s="2190">
        <v>0.26263795137104479</v>
      </c>
      <c r="G268" s="2190">
        <v>0.36316427457498407</v>
      </c>
      <c r="H268" s="2190">
        <v>1.2458599146595294E-2</v>
      </c>
      <c r="I268" s="2190">
        <v>4.0203357977291458E-2</v>
      </c>
      <c r="J268" s="2191">
        <v>2.1267692871677756E-2</v>
      </c>
      <c r="K268" s="2189">
        <v>0</v>
      </c>
      <c r="L268" s="2190">
        <v>9.3748126310530588E-2</v>
      </c>
      <c r="M268" s="2190">
        <v>0</v>
      </c>
      <c r="N268" s="2190">
        <v>0</v>
      </c>
      <c r="O268" s="2190">
        <v>0</v>
      </c>
      <c r="P268" s="2191">
        <v>0</v>
      </c>
      <c r="Q268" s="2189">
        <v>1.6114296745695176E-2</v>
      </c>
      <c r="R268" s="2191">
        <v>0.27569281915387883</v>
      </c>
      <c r="S268" s="2189">
        <v>0</v>
      </c>
      <c r="T268" s="2191">
        <v>3.5289596963736054</v>
      </c>
      <c r="U268" s="2191">
        <v>6.7645763569240449</v>
      </c>
      <c r="V268" s="1767"/>
      <c r="W268" s="1767"/>
      <c r="X268" s="1764"/>
      <c r="Y268" s="1764"/>
    </row>
    <row r="269" spans="1:25" ht="14.25" x14ac:dyDescent="0.45">
      <c r="A269" s="211" t="s">
        <v>542</v>
      </c>
      <c r="B269" s="192" t="s">
        <v>644</v>
      </c>
      <c r="C269" s="2081" t="s">
        <v>2342</v>
      </c>
      <c r="D269" s="2082" t="s">
        <v>542</v>
      </c>
      <c r="E269" s="2189">
        <v>1.8312621915927052</v>
      </c>
      <c r="F269" s="2190">
        <v>0.45549391562017044</v>
      </c>
      <c r="G269" s="2190">
        <v>0.25971313916863564</v>
      </c>
      <c r="H269" s="2190">
        <v>1.6960497682072768E-2</v>
      </c>
      <c r="I269" s="2190">
        <v>2.2437633814183625E-2</v>
      </c>
      <c r="J269" s="2191">
        <v>9.1244527769129266E-2</v>
      </c>
      <c r="K269" s="2189">
        <v>0</v>
      </c>
      <c r="L269" s="2190">
        <v>9.1319916920039559E-2</v>
      </c>
      <c r="M269" s="2190">
        <v>0</v>
      </c>
      <c r="N269" s="2190">
        <v>0</v>
      </c>
      <c r="O269" s="2190">
        <v>0</v>
      </c>
      <c r="P269" s="2191">
        <v>0</v>
      </c>
      <c r="Q269" s="2189">
        <v>3.3430205780019615E-5</v>
      </c>
      <c r="R269" s="2191">
        <v>0.26808140101822869</v>
      </c>
      <c r="S269" s="2189">
        <v>0</v>
      </c>
      <c r="T269" s="2191">
        <v>3.4275817712359311</v>
      </c>
      <c r="U269" s="2191">
        <v>6.4641284250268765</v>
      </c>
      <c r="V269" s="1767"/>
      <c r="W269" s="1767"/>
    </row>
    <row r="270" spans="1:25" ht="14.25" x14ac:dyDescent="0.45">
      <c r="A270" s="211" t="s">
        <v>543</v>
      </c>
      <c r="B270" s="192" t="s">
        <v>645</v>
      </c>
      <c r="C270" s="2081" t="s">
        <v>2343</v>
      </c>
      <c r="D270" s="2082" t="s">
        <v>543</v>
      </c>
      <c r="E270" s="2189">
        <v>4.9150476341575509</v>
      </c>
      <c r="F270" s="2190">
        <v>0.63993873559408954</v>
      </c>
      <c r="G270" s="2190">
        <v>0.18584961396838498</v>
      </c>
      <c r="H270" s="2190">
        <v>2.0178045089637015E-2</v>
      </c>
      <c r="I270" s="2190">
        <v>0.2084743545632923</v>
      </c>
      <c r="J270" s="2191">
        <v>0.33277312104437046</v>
      </c>
      <c r="K270" s="2189">
        <v>1.4146195145006601E-2</v>
      </c>
      <c r="L270" s="2190">
        <v>0.16426613808476065</v>
      </c>
      <c r="M270" s="2190">
        <v>0</v>
      </c>
      <c r="N270" s="2190">
        <v>1.7230925275322341E-3</v>
      </c>
      <c r="O270" s="2190">
        <v>2.8915159347001209E-4</v>
      </c>
      <c r="P270" s="2191">
        <v>0</v>
      </c>
      <c r="Q270" s="2189">
        <v>3.3830315733686944E-2</v>
      </c>
      <c r="R270" s="2191">
        <v>0.43417999652725203</v>
      </c>
      <c r="S270" s="2189">
        <v>0</v>
      </c>
      <c r="T270" s="2191">
        <v>5.1473441523363217</v>
      </c>
      <c r="U270" s="2191">
        <v>12.098040546365358</v>
      </c>
      <c r="V270" s="1767"/>
      <c r="W270" s="1767"/>
    </row>
    <row r="271" spans="1:25" ht="14.25" x14ac:dyDescent="0.45">
      <c r="A271" s="211" t="s">
        <v>544</v>
      </c>
      <c r="B271" s="192" t="s">
        <v>646</v>
      </c>
      <c r="C271" s="2081" t="s">
        <v>2344</v>
      </c>
      <c r="D271" s="2082" t="s">
        <v>544</v>
      </c>
      <c r="E271" s="2189">
        <v>39.835266176065367</v>
      </c>
      <c r="F271" s="2190">
        <v>0.77241035603893748</v>
      </c>
      <c r="G271" s="2190">
        <v>2.3335358789511647</v>
      </c>
      <c r="H271" s="2190">
        <v>3.1065525469415729E-2</v>
      </c>
      <c r="I271" s="2190">
        <v>1.3646876914993566</v>
      </c>
      <c r="J271" s="2191">
        <v>0.38389429381216106</v>
      </c>
      <c r="K271" s="2189">
        <v>8.8424970469013001E-3</v>
      </c>
      <c r="L271" s="2190">
        <v>0.1318314824468991</v>
      </c>
      <c r="M271" s="2190">
        <v>3.4924638120676652E-3</v>
      </c>
      <c r="N271" s="2190">
        <v>0</v>
      </c>
      <c r="O271" s="2190">
        <v>2.0571770156198282E-3</v>
      </c>
      <c r="P271" s="2191">
        <v>0</v>
      </c>
      <c r="Q271" s="2189">
        <v>1.9164876195370217E-2</v>
      </c>
      <c r="R271" s="2191">
        <v>0.36720876229605315</v>
      </c>
      <c r="S271" s="2189">
        <v>6.7176941449856002</v>
      </c>
      <c r="T271" s="2191">
        <v>4.5285303948740117</v>
      </c>
      <c r="U271" s="2191">
        <v>56.499681720508924</v>
      </c>
      <c r="V271" s="1767"/>
      <c r="W271" s="1767"/>
    </row>
    <row r="272" spans="1:25" ht="14.25" x14ac:dyDescent="0.45">
      <c r="A272" s="211" t="s">
        <v>545</v>
      </c>
      <c r="B272" s="192" t="s">
        <v>647</v>
      </c>
      <c r="C272" s="2081" t="s">
        <v>2345</v>
      </c>
      <c r="D272" s="2082" t="s">
        <v>545</v>
      </c>
      <c r="E272" s="2189">
        <v>3.756260676028182</v>
      </c>
      <c r="F272" s="2190">
        <v>0.59642400685031449</v>
      </c>
      <c r="G272" s="2190">
        <v>0.16099834540433561</v>
      </c>
      <c r="H272" s="2190">
        <v>1.6653316979385456E-2</v>
      </c>
      <c r="I272" s="2190">
        <v>0.34069528400806059</v>
      </c>
      <c r="J272" s="2191">
        <v>0.10684438259837045</v>
      </c>
      <c r="K272" s="2189">
        <v>0</v>
      </c>
      <c r="L272" s="2190">
        <v>0.10970588189726616</v>
      </c>
      <c r="M272" s="2190">
        <v>0</v>
      </c>
      <c r="N272" s="2190">
        <v>0</v>
      </c>
      <c r="O272" s="2190">
        <v>0</v>
      </c>
      <c r="P272" s="2191">
        <v>0</v>
      </c>
      <c r="Q272" s="2189">
        <v>5.5204337054812903E-2</v>
      </c>
      <c r="R272" s="2191">
        <v>0.31007276127746147</v>
      </c>
      <c r="S272" s="2189">
        <v>0</v>
      </c>
      <c r="T272" s="2191">
        <v>3.8637257873270654</v>
      </c>
      <c r="U272" s="2191">
        <v>9.3165847794252556</v>
      </c>
      <c r="V272" s="1767"/>
      <c r="W272" s="1767"/>
    </row>
    <row r="273" spans="1:23" ht="14.25" x14ac:dyDescent="0.45">
      <c r="A273" s="211" t="s">
        <v>546</v>
      </c>
      <c r="B273" s="192" t="s">
        <v>648</v>
      </c>
      <c r="C273" s="2081" t="s">
        <v>2346</v>
      </c>
      <c r="D273" s="2082" t="s">
        <v>546</v>
      </c>
      <c r="E273" s="2189">
        <v>1.7966888122591467</v>
      </c>
      <c r="F273" s="2190">
        <v>0.27001472375898072</v>
      </c>
      <c r="G273" s="2190">
        <v>0.17270854650666179</v>
      </c>
      <c r="H273" s="2190">
        <v>4.8944136211666593E-2</v>
      </c>
      <c r="I273" s="2190">
        <v>0.32998739961484602</v>
      </c>
      <c r="J273" s="2191">
        <v>7.343230303010183E-3</v>
      </c>
      <c r="K273" s="2189">
        <v>0</v>
      </c>
      <c r="L273" s="2190">
        <v>3.5381093743630007E-2</v>
      </c>
      <c r="M273" s="2190">
        <v>0</v>
      </c>
      <c r="N273" s="2190">
        <v>0</v>
      </c>
      <c r="O273" s="2190">
        <v>0</v>
      </c>
      <c r="P273" s="2191">
        <v>0</v>
      </c>
      <c r="Q273" s="2189">
        <v>5.9929481340109274E-2</v>
      </c>
      <c r="R273" s="2191">
        <v>0.10060855983799588</v>
      </c>
      <c r="S273" s="2189">
        <v>0</v>
      </c>
      <c r="T273" s="2191">
        <v>1.2589576622197292</v>
      </c>
      <c r="U273" s="2191">
        <v>4.0805636457957757</v>
      </c>
      <c r="V273" s="1767"/>
      <c r="W273" s="1767"/>
    </row>
    <row r="274" spans="1:23" ht="14.25" x14ac:dyDescent="0.45">
      <c r="A274" s="211" t="s">
        <v>547</v>
      </c>
      <c r="B274" s="192" t="s">
        <v>649</v>
      </c>
      <c r="C274" s="2081" t="s">
        <v>2347</v>
      </c>
      <c r="D274" s="2082" t="s">
        <v>547</v>
      </c>
      <c r="E274" s="2189">
        <v>0.65108205784540563</v>
      </c>
      <c r="F274" s="2190">
        <v>0.68714105856820207</v>
      </c>
      <c r="G274" s="2190">
        <v>0.37281472515210867</v>
      </c>
      <c r="H274" s="2190">
        <v>2.7253273481477599E-2</v>
      </c>
      <c r="I274" s="2190">
        <v>6.6819229585713236E-2</v>
      </c>
      <c r="J274" s="2191">
        <v>1.1727719467022348E-3</v>
      </c>
      <c r="K274" s="2189">
        <v>0</v>
      </c>
      <c r="L274" s="2190">
        <v>2.9211370533687213E-2</v>
      </c>
      <c r="M274" s="2190">
        <v>0</v>
      </c>
      <c r="N274" s="2190">
        <v>0</v>
      </c>
      <c r="O274" s="2190">
        <v>0</v>
      </c>
      <c r="P274" s="2191">
        <v>0</v>
      </c>
      <c r="Q274" s="2189">
        <v>1.4721156547950085E-2</v>
      </c>
      <c r="R274" s="2191">
        <v>8.138050362052765E-2</v>
      </c>
      <c r="S274" s="2189">
        <v>0</v>
      </c>
      <c r="T274" s="2191">
        <v>1.0037329245556514</v>
      </c>
      <c r="U274" s="2191">
        <v>2.9353290718374261</v>
      </c>
      <c r="V274" s="1767"/>
      <c r="W274" s="1767"/>
    </row>
    <row r="275" spans="1:23" ht="14.25" x14ac:dyDescent="0.45">
      <c r="A275" s="211" t="s">
        <v>650</v>
      </c>
      <c r="B275" s="192" t="s">
        <v>651</v>
      </c>
      <c r="C275" s="2081" t="s">
        <v>2348</v>
      </c>
      <c r="D275" s="2082" t="s">
        <v>650</v>
      </c>
      <c r="E275" s="2189">
        <v>2.4285556566047584</v>
      </c>
      <c r="F275" s="2190">
        <v>0.28428918844473444</v>
      </c>
      <c r="G275" s="2190">
        <v>0.17950243894819926</v>
      </c>
      <c r="H275" s="2190">
        <v>2.6469991563920339E-2</v>
      </c>
      <c r="I275" s="2190">
        <v>0.10074361311064042</v>
      </c>
      <c r="J275" s="2191">
        <v>0.10304419499199292</v>
      </c>
      <c r="K275" s="2189">
        <v>0</v>
      </c>
      <c r="L275" s="2190">
        <v>7.6063151216333003E-2</v>
      </c>
      <c r="M275" s="2190">
        <v>0</v>
      </c>
      <c r="N275" s="2190">
        <v>0</v>
      </c>
      <c r="O275" s="2190">
        <v>0</v>
      </c>
      <c r="P275" s="2191">
        <v>0</v>
      </c>
      <c r="Q275" s="2189">
        <v>8.0571483728476001E-2</v>
      </c>
      <c r="R275" s="2191">
        <v>0.21390317540248885</v>
      </c>
      <c r="S275" s="2189">
        <v>0</v>
      </c>
      <c r="T275" s="2191">
        <v>2.6559390414725477</v>
      </c>
      <c r="U275" s="2191">
        <v>6.1490819354840909</v>
      </c>
      <c r="V275" s="1767"/>
      <c r="W275" s="1767"/>
    </row>
    <row r="276" spans="1:23" ht="14.25" x14ac:dyDescent="0.45">
      <c r="A276" s="211" t="s">
        <v>549</v>
      </c>
      <c r="B276" s="192" t="s">
        <v>652</v>
      </c>
      <c r="C276" s="2081" t="s">
        <v>2349</v>
      </c>
      <c r="D276" s="2082" t="s">
        <v>549</v>
      </c>
      <c r="E276" s="2189">
        <v>1.0234957252893402</v>
      </c>
      <c r="F276" s="2190">
        <v>0.51528048434718732</v>
      </c>
      <c r="G276" s="2190">
        <v>0.17597278246505749</v>
      </c>
      <c r="H276" s="2190">
        <v>0.15604883197983954</v>
      </c>
      <c r="I276" s="2190">
        <v>0.13885797638523656</v>
      </c>
      <c r="J276" s="2191">
        <v>2.0432396041494941E-2</v>
      </c>
      <c r="K276" s="2189">
        <v>0</v>
      </c>
      <c r="L276" s="2190">
        <v>8.5008791262673744E-2</v>
      </c>
      <c r="M276" s="2190">
        <v>0</v>
      </c>
      <c r="N276" s="2190">
        <v>0</v>
      </c>
      <c r="O276" s="2190">
        <v>0</v>
      </c>
      <c r="P276" s="2191">
        <v>0</v>
      </c>
      <c r="Q276" s="2189">
        <v>0</v>
      </c>
      <c r="R276" s="2191">
        <v>0.24766681816539562</v>
      </c>
      <c r="S276" s="2189">
        <v>0</v>
      </c>
      <c r="T276" s="2191">
        <v>3.1507012651066626</v>
      </c>
      <c r="U276" s="2191">
        <v>5.5134650710428881</v>
      </c>
      <c r="V276" s="1767"/>
      <c r="W276" s="1767"/>
    </row>
    <row r="277" spans="1:23" ht="14.25" x14ac:dyDescent="0.45">
      <c r="A277" s="211" t="s">
        <v>550</v>
      </c>
      <c r="B277" s="192" t="s">
        <v>653</v>
      </c>
      <c r="C277" s="2081" t="s">
        <v>2350</v>
      </c>
      <c r="D277" s="2082" t="s">
        <v>550</v>
      </c>
      <c r="E277" s="2189">
        <v>0.83724411346541516</v>
      </c>
      <c r="F277" s="2190">
        <v>0.34603620869139906</v>
      </c>
      <c r="G277" s="2190">
        <v>0.19636271936461122</v>
      </c>
      <c r="H277" s="2190">
        <v>1.0676881086859564E-2</v>
      </c>
      <c r="I277" s="2190">
        <v>3.6703577341849945E-2</v>
      </c>
      <c r="J277" s="2191">
        <v>3.0358911919331481E-2</v>
      </c>
      <c r="K277" s="2189">
        <v>0</v>
      </c>
      <c r="L277" s="2190">
        <v>0.1325746140840795</v>
      </c>
      <c r="M277" s="2190">
        <v>0</v>
      </c>
      <c r="N277" s="2190">
        <v>0</v>
      </c>
      <c r="O277" s="2190">
        <v>0</v>
      </c>
      <c r="P277" s="2191">
        <v>0</v>
      </c>
      <c r="Q277" s="2189">
        <v>7.7088633234113279E-3</v>
      </c>
      <c r="R277" s="2191">
        <v>0.38750235656181081</v>
      </c>
      <c r="S277" s="2189">
        <v>0</v>
      </c>
      <c r="T277" s="2191">
        <v>4.9402634144507767</v>
      </c>
      <c r="U277" s="2191">
        <v>6.9254316602895445</v>
      </c>
      <c r="V277" s="1767"/>
      <c r="W277" s="1767"/>
    </row>
    <row r="278" spans="1:23" ht="14.25" x14ac:dyDescent="0.45">
      <c r="A278" s="211" t="s">
        <v>551</v>
      </c>
      <c r="B278" s="192" t="s">
        <v>654</v>
      </c>
      <c r="C278" s="2081" t="s">
        <v>2351</v>
      </c>
      <c r="D278" s="2082" t="s">
        <v>551</v>
      </c>
      <c r="E278" s="2189">
        <v>2.3999491635887669</v>
      </c>
      <c r="F278" s="2190">
        <v>0.37224354906473944</v>
      </c>
      <c r="G278" s="2190">
        <v>0.16693676071407965</v>
      </c>
      <c r="H278" s="2190">
        <v>6.1942414148978987E-3</v>
      </c>
      <c r="I278" s="2190">
        <v>4.5051607093546116E-2</v>
      </c>
      <c r="J278" s="2191">
        <v>7.6833249012439944E-2</v>
      </c>
      <c r="K278" s="2189">
        <v>0</v>
      </c>
      <c r="L278" s="2190">
        <v>0.12022978002459191</v>
      </c>
      <c r="M278" s="2190">
        <v>0</v>
      </c>
      <c r="N278" s="2190">
        <v>0</v>
      </c>
      <c r="O278" s="2190">
        <v>0</v>
      </c>
      <c r="P278" s="2191">
        <v>0</v>
      </c>
      <c r="Q278" s="2189">
        <v>9.6348638826661614E-2</v>
      </c>
      <c r="R278" s="2191">
        <v>0.35954292757625539</v>
      </c>
      <c r="S278" s="2189">
        <v>0</v>
      </c>
      <c r="T278" s="2191">
        <v>4.652398545649552</v>
      </c>
      <c r="U278" s="2191">
        <v>8.2957284629655312</v>
      </c>
      <c r="V278" s="1767"/>
      <c r="W278" s="1767"/>
    </row>
    <row r="279" spans="1:23" ht="14.25" x14ac:dyDescent="0.45">
      <c r="A279" s="211" t="s">
        <v>552</v>
      </c>
      <c r="B279" s="192" t="s">
        <v>655</v>
      </c>
      <c r="C279" s="2081" t="s">
        <v>2352</v>
      </c>
      <c r="D279" s="2082" t="s">
        <v>552</v>
      </c>
      <c r="E279" s="2189">
        <v>10.458985564824426</v>
      </c>
      <c r="F279" s="2190">
        <v>0.15882151626858371</v>
      </c>
      <c r="G279" s="2190">
        <v>0.21831425919464886</v>
      </c>
      <c r="H279" s="2190">
        <v>1.4129602476519934E-2</v>
      </c>
      <c r="I279" s="2190">
        <v>0.25481030283978817</v>
      </c>
      <c r="J279" s="2191">
        <v>2.1391778965770301E-2</v>
      </c>
      <c r="K279" s="2189">
        <v>0</v>
      </c>
      <c r="L279" s="2190">
        <v>0.13631652557121407</v>
      </c>
      <c r="M279" s="2190">
        <v>0</v>
      </c>
      <c r="N279" s="2190">
        <v>0</v>
      </c>
      <c r="O279" s="2190">
        <v>0</v>
      </c>
      <c r="P279" s="2191">
        <v>0</v>
      </c>
      <c r="Q279" s="2189">
        <v>1.6420632820223217E-2</v>
      </c>
      <c r="R279" s="2191">
        <v>0.40051797499781411</v>
      </c>
      <c r="S279" s="2189">
        <v>0</v>
      </c>
      <c r="T279" s="2191">
        <v>5.123748394039767</v>
      </c>
      <c r="U279" s="2191">
        <v>16.803456551998757</v>
      </c>
      <c r="V279" s="1767"/>
      <c r="W279" s="1767"/>
    </row>
    <row r="280" spans="1:23" ht="14.25" x14ac:dyDescent="0.45">
      <c r="A280" s="211" t="s">
        <v>553</v>
      </c>
      <c r="B280" s="192" t="s">
        <v>656</v>
      </c>
      <c r="C280" s="2081" t="s">
        <v>2353</v>
      </c>
      <c r="D280" s="2082" t="s">
        <v>553</v>
      </c>
      <c r="E280" s="2189">
        <v>2.6710924227790418</v>
      </c>
      <c r="F280" s="2190">
        <v>0.40179905280978701</v>
      </c>
      <c r="G280" s="2190">
        <v>5.2394545532789369E-2</v>
      </c>
      <c r="H280" s="2190">
        <v>2.4990403441011499E-2</v>
      </c>
      <c r="I280" s="2190">
        <v>4.0290106433697216E-2</v>
      </c>
      <c r="J280" s="2191">
        <v>0.10281070026337422</v>
      </c>
      <c r="K280" s="2189">
        <v>0</v>
      </c>
      <c r="L280" s="2190">
        <v>0.13242356190756527</v>
      </c>
      <c r="M280" s="2190">
        <v>0</v>
      </c>
      <c r="N280" s="2190">
        <v>0</v>
      </c>
      <c r="O280" s="2190">
        <v>0</v>
      </c>
      <c r="P280" s="2191">
        <v>0</v>
      </c>
      <c r="Q280" s="2189">
        <v>4.8342890237085649E-2</v>
      </c>
      <c r="R280" s="2191">
        <v>0.38718334870226617</v>
      </c>
      <c r="S280" s="2189">
        <v>0</v>
      </c>
      <c r="T280" s="2191">
        <v>4.9372307462771925</v>
      </c>
      <c r="U280" s="2191">
        <v>8.7985577783838096</v>
      </c>
      <c r="V280" s="1767"/>
      <c r="W280" s="1767"/>
    </row>
    <row r="281" spans="1:23" ht="14.25" x14ac:dyDescent="0.45">
      <c r="A281" s="211" t="s">
        <v>554</v>
      </c>
      <c r="B281" s="192" t="s">
        <v>657</v>
      </c>
      <c r="C281" s="2081" t="s">
        <v>2354</v>
      </c>
      <c r="D281" s="2082" t="s">
        <v>769</v>
      </c>
      <c r="E281" s="2189">
        <v>2.0588192198091444</v>
      </c>
      <c r="F281" s="2190">
        <v>0.54342074446528199</v>
      </c>
      <c r="G281" s="2190">
        <v>8.1796513220178339E-3</v>
      </c>
      <c r="H281" s="2190">
        <v>7.406530709058219E-3</v>
      </c>
      <c r="I281" s="2190">
        <v>0.15520564809419171</v>
      </c>
      <c r="J281" s="2191">
        <v>0.10341717757270585</v>
      </c>
      <c r="K281" s="2189">
        <v>0</v>
      </c>
      <c r="L281" s="2190">
        <v>9.4951050544218304E-2</v>
      </c>
      <c r="M281" s="2190">
        <v>0</v>
      </c>
      <c r="N281" s="2190">
        <v>0</v>
      </c>
      <c r="O281" s="2190">
        <v>0</v>
      </c>
      <c r="P281" s="2191">
        <v>0</v>
      </c>
      <c r="Q281" s="2189">
        <v>0</v>
      </c>
      <c r="R281" s="2191">
        <v>0.26886986261366275</v>
      </c>
      <c r="S281" s="2189">
        <v>0</v>
      </c>
      <c r="T281" s="2191">
        <v>3.3546759082171875</v>
      </c>
      <c r="U281" s="2191">
        <v>6.5949457933474687</v>
      </c>
      <c r="V281" s="1767"/>
      <c r="W281" s="1767"/>
    </row>
    <row r="282" spans="1:23" ht="14.25" x14ac:dyDescent="0.45">
      <c r="A282" s="211" t="s">
        <v>555</v>
      </c>
      <c r="B282" s="192" t="s">
        <v>658</v>
      </c>
      <c r="C282" s="2081" t="s">
        <v>2355</v>
      </c>
      <c r="D282" s="2082" t="s">
        <v>555</v>
      </c>
      <c r="E282" s="2189">
        <v>2.4454934235247561</v>
      </c>
      <c r="F282" s="2190">
        <v>0.70808507731005155</v>
      </c>
      <c r="G282" s="2190">
        <v>0.13712322224962387</v>
      </c>
      <c r="H282" s="2190">
        <v>8.4348186977224376E-2</v>
      </c>
      <c r="I282" s="2190">
        <v>0.1757187956599954</v>
      </c>
      <c r="J282" s="2191">
        <v>3.5681893440901856E-2</v>
      </c>
      <c r="K282" s="2189">
        <v>0</v>
      </c>
      <c r="L282" s="2190">
        <v>6.7135436108181137E-2</v>
      </c>
      <c r="M282" s="2190">
        <v>0</v>
      </c>
      <c r="N282" s="2190">
        <v>0</v>
      </c>
      <c r="O282" s="2190">
        <v>0</v>
      </c>
      <c r="P282" s="2191">
        <v>0</v>
      </c>
      <c r="Q282" s="2189">
        <v>4.0296885266164671E-2</v>
      </c>
      <c r="R282" s="2191">
        <v>0.19569491778214976</v>
      </c>
      <c r="S282" s="2189">
        <v>0</v>
      </c>
      <c r="T282" s="2191">
        <v>2.4903929382385015</v>
      </c>
      <c r="U282" s="2191">
        <v>6.3799707765575508</v>
      </c>
      <c r="V282" s="1767"/>
      <c r="W282" s="1767"/>
    </row>
    <row r="283" spans="1:23" ht="14.25" x14ac:dyDescent="0.45">
      <c r="A283" s="211" t="s">
        <v>556</v>
      </c>
      <c r="B283" s="192" t="s">
        <v>659</v>
      </c>
      <c r="C283" s="2081" t="s">
        <v>2356</v>
      </c>
      <c r="D283" s="2082" t="s">
        <v>556</v>
      </c>
      <c r="E283" s="2189">
        <v>2.4707169422436501</v>
      </c>
      <c r="F283" s="2190">
        <v>0.43170058916437415</v>
      </c>
      <c r="G283" s="2190">
        <v>3.4429668025687905E-3</v>
      </c>
      <c r="H283" s="2190">
        <v>2.1442207160255248E-2</v>
      </c>
      <c r="I283" s="2190">
        <v>0.16657008230131279</v>
      </c>
      <c r="J283" s="2191">
        <v>8.4362783887279136E-2</v>
      </c>
      <c r="K283" s="2189">
        <v>0</v>
      </c>
      <c r="L283" s="2190">
        <v>0.10944007411767231</v>
      </c>
      <c r="M283" s="2190">
        <v>0</v>
      </c>
      <c r="N283" s="2190">
        <v>0</v>
      </c>
      <c r="O283" s="2190">
        <v>0</v>
      </c>
      <c r="P283" s="2191">
        <v>0</v>
      </c>
      <c r="Q283" s="2189">
        <v>3.6802891369875274E-3</v>
      </c>
      <c r="R283" s="2191">
        <v>0.30481928660844898</v>
      </c>
      <c r="S283" s="2189">
        <v>0</v>
      </c>
      <c r="T283" s="2191">
        <v>3.7589512499593054</v>
      </c>
      <c r="U283" s="2191">
        <v>7.3551264713818547</v>
      </c>
      <c r="V283" s="1767"/>
      <c r="W283" s="1767"/>
    </row>
    <row r="284" spans="1:23" ht="14.25" x14ac:dyDescent="0.45">
      <c r="A284" s="211" t="s">
        <v>557</v>
      </c>
      <c r="B284" s="192" t="s">
        <v>660</v>
      </c>
      <c r="C284" s="2081" t="s">
        <v>2357</v>
      </c>
      <c r="D284" s="2082" t="s">
        <v>557</v>
      </c>
      <c r="E284" s="2189">
        <v>5.6753909403201428</v>
      </c>
      <c r="F284" s="2190">
        <v>0.38615157733109984</v>
      </c>
      <c r="G284" s="2190">
        <v>6.901194496949184E-2</v>
      </c>
      <c r="H284" s="2190">
        <v>5.9984497992856677E-2</v>
      </c>
      <c r="I284" s="2190">
        <v>0.9526668566631733</v>
      </c>
      <c r="J284" s="2191">
        <v>1.0937208561732399E-2</v>
      </c>
      <c r="K284" s="2189">
        <v>0</v>
      </c>
      <c r="L284" s="2190">
        <v>3.4634958974871531E-2</v>
      </c>
      <c r="M284" s="2190">
        <v>0</v>
      </c>
      <c r="N284" s="2190">
        <v>0</v>
      </c>
      <c r="O284" s="2190">
        <v>0</v>
      </c>
      <c r="P284" s="2191">
        <v>0</v>
      </c>
      <c r="Q284" s="2189">
        <v>0.15800840201202532</v>
      </c>
      <c r="R284" s="2191">
        <v>9.3783401310142012E-2</v>
      </c>
      <c r="S284" s="2189">
        <v>3.6163310106559998</v>
      </c>
      <c r="T284" s="2191">
        <v>1.1327294522200366</v>
      </c>
      <c r="U284" s="2191">
        <v>12.189630251011572</v>
      </c>
      <c r="V284" s="1767"/>
      <c r="W284" s="1767"/>
    </row>
    <row r="285" spans="1:23" ht="14.25" x14ac:dyDescent="0.45">
      <c r="A285" s="211" t="s">
        <v>558</v>
      </c>
      <c r="B285" s="192" t="s">
        <v>661</v>
      </c>
      <c r="C285" s="2081" t="s">
        <v>2358</v>
      </c>
      <c r="D285" s="2082" t="s">
        <v>558</v>
      </c>
      <c r="E285" s="2189">
        <v>2.9079451488722778</v>
      </c>
      <c r="F285" s="2190">
        <v>0.24985722471311728</v>
      </c>
      <c r="G285" s="2190">
        <v>0.29394460174743364</v>
      </c>
      <c r="H285" s="2190">
        <v>2.4514406708204269E-2</v>
      </c>
      <c r="I285" s="2190">
        <v>6.9126515145754838E-2</v>
      </c>
      <c r="J285" s="2191">
        <v>4.5794817445639208E-2</v>
      </c>
      <c r="K285" s="2189">
        <v>0</v>
      </c>
      <c r="L285" s="2190">
        <v>0.14365696298861158</v>
      </c>
      <c r="M285" s="2190">
        <v>0</v>
      </c>
      <c r="N285" s="2190">
        <v>0</v>
      </c>
      <c r="O285" s="2190">
        <v>0</v>
      </c>
      <c r="P285" s="2191">
        <v>0</v>
      </c>
      <c r="Q285" s="2189">
        <v>7.7088633234113279E-3</v>
      </c>
      <c r="R285" s="2191">
        <v>0.41942905401839126</v>
      </c>
      <c r="S285" s="2189">
        <v>0</v>
      </c>
      <c r="T285" s="2191">
        <v>5.3433626650776249</v>
      </c>
      <c r="U285" s="2191">
        <v>9.5053402600404659</v>
      </c>
      <c r="V285" s="1767"/>
      <c r="W285" s="1767"/>
    </row>
    <row r="286" spans="1:23" ht="14.25" x14ac:dyDescent="0.45">
      <c r="A286" s="211" t="s">
        <v>559</v>
      </c>
      <c r="B286" s="192" t="s">
        <v>662</v>
      </c>
      <c r="C286" s="2081" t="s">
        <v>2359</v>
      </c>
      <c r="D286" s="2082" t="s">
        <v>559</v>
      </c>
      <c r="E286" s="2189">
        <v>1.5649232416736769</v>
      </c>
      <c r="F286" s="2190">
        <v>0.47689871428093661</v>
      </c>
      <c r="G286" s="2190">
        <v>0.32002315493113864</v>
      </c>
      <c r="H286" s="2190">
        <v>6.7884423997229451E-2</v>
      </c>
      <c r="I286" s="2190">
        <v>0.1514080075964985</v>
      </c>
      <c r="J286" s="2191">
        <v>3.2298144878794094E-2</v>
      </c>
      <c r="K286" s="2189">
        <v>0</v>
      </c>
      <c r="L286" s="2190">
        <v>0.10146641069210528</v>
      </c>
      <c r="M286" s="2190">
        <v>0</v>
      </c>
      <c r="N286" s="2190">
        <v>0</v>
      </c>
      <c r="O286" s="2190">
        <v>0</v>
      </c>
      <c r="P286" s="2191">
        <v>0</v>
      </c>
      <c r="Q286" s="2189">
        <v>3.6802891369875274E-3</v>
      </c>
      <c r="R286" s="2191">
        <v>0.30362656338070315</v>
      </c>
      <c r="S286" s="2189">
        <v>0</v>
      </c>
      <c r="T286" s="2191">
        <v>3.9304622218787086</v>
      </c>
      <c r="U286" s="2191">
        <v>6.9526711724467791</v>
      </c>
      <c r="V286" s="1767"/>
      <c r="W286" s="1767"/>
    </row>
    <row r="287" spans="1:23" ht="14.65" thickBot="1" x14ac:dyDescent="0.5">
      <c r="A287" s="235" t="s">
        <v>560</v>
      </c>
      <c r="B287" s="236" t="s">
        <v>663</v>
      </c>
      <c r="C287" s="2081" t="s">
        <v>2360</v>
      </c>
      <c r="D287" s="2082" t="s">
        <v>560</v>
      </c>
      <c r="E287" s="2189">
        <v>12.593678845645814</v>
      </c>
      <c r="F287" s="2190">
        <v>1.003455084605215</v>
      </c>
      <c r="G287" s="2190">
        <v>0.61136453382150535</v>
      </c>
      <c r="H287" s="2190">
        <v>0.49959682125943861</v>
      </c>
      <c r="I287" s="2190">
        <v>2.6466423374413406</v>
      </c>
      <c r="J287" s="2191">
        <v>3.4180651209596707E-2</v>
      </c>
      <c r="K287" s="2189">
        <v>0</v>
      </c>
      <c r="L287" s="2190">
        <v>3.1743108371675821E-2</v>
      </c>
      <c r="M287" s="2190">
        <v>0</v>
      </c>
      <c r="N287" s="2190">
        <v>0</v>
      </c>
      <c r="O287" s="2190">
        <v>0</v>
      </c>
      <c r="P287" s="2191">
        <v>0</v>
      </c>
      <c r="Q287" s="2189">
        <v>1.1110169932510969</v>
      </c>
      <c r="R287" s="2191">
        <v>8.5034664804583007E-2</v>
      </c>
      <c r="S287" s="2189">
        <v>0</v>
      </c>
      <c r="T287" s="2191">
        <v>1.0186913726854605</v>
      </c>
      <c r="U287" s="2191">
        <v>19.635404413095724</v>
      </c>
      <c r="V287" s="1767"/>
      <c r="W287" s="1767"/>
    </row>
    <row r="288" spans="1:23" ht="13.9" x14ac:dyDescent="0.35">
      <c r="C288" s="2083" t="s">
        <v>2361</v>
      </c>
      <c r="D288" s="2084" t="s">
        <v>2362</v>
      </c>
      <c r="E288" s="2192">
        <v>173.70054027770303</v>
      </c>
      <c r="F288" s="2085">
        <v>16.207931392253844</v>
      </c>
      <c r="G288" s="2085">
        <v>17.284031902949614</v>
      </c>
      <c r="H288" s="2085">
        <v>2.2272310741311783</v>
      </c>
      <c r="I288" s="2085">
        <v>10.485979655489103</v>
      </c>
      <c r="J288" s="2193">
        <v>3.0771391888765431</v>
      </c>
      <c r="K288" s="2192">
        <v>4.7252540162078076E-2</v>
      </c>
      <c r="L288" s="2085">
        <v>3.3384285980644597</v>
      </c>
      <c r="M288" s="2085">
        <v>3.4924638120676652E-3</v>
      </c>
      <c r="N288" s="2085">
        <v>1.7230925275322341E-3</v>
      </c>
      <c r="O288" s="2085">
        <v>2.9761085454789319E-3</v>
      </c>
      <c r="P288" s="2193">
        <v>0</v>
      </c>
      <c r="Q288" s="2192">
        <v>2.1056144390154592</v>
      </c>
      <c r="R288" s="2193">
        <v>9.5726286552839515</v>
      </c>
      <c r="S288" s="2192">
        <v>12.7061878156416</v>
      </c>
      <c r="T288" s="2193">
        <v>120.47704410025152</v>
      </c>
      <c r="U288" s="2193">
        <v>371.23820130470745</v>
      </c>
    </row>
    <row r="289" spans="3:16" ht="14.25" x14ac:dyDescent="0.45">
      <c r="C289" s="1764"/>
      <c r="D289" s="1764"/>
      <c r="E289" s="1764"/>
      <c r="F289" s="1764"/>
      <c r="G289" s="1764"/>
      <c r="H289" s="1764"/>
      <c r="I289" s="1764"/>
      <c r="J289" s="1764"/>
      <c r="K289" s="1764"/>
      <c r="L289" s="1764"/>
      <c r="M289" s="1768"/>
      <c r="N289" s="1764"/>
      <c r="O289" s="1764"/>
      <c r="P289" s="1764"/>
    </row>
    <row r="290" spans="3:16" ht="14.25" x14ac:dyDescent="0.45">
      <c r="C290" s="1764"/>
      <c r="D290" s="1764"/>
      <c r="E290" s="1764"/>
      <c r="F290" s="1764"/>
      <c r="G290" s="1764"/>
      <c r="H290" s="1764"/>
      <c r="I290" s="1764"/>
      <c r="J290" s="1764"/>
      <c r="K290" s="1764"/>
      <c r="L290" s="1764"/>
      <c r="M290" s="1768"/>
      <c r="N290" s="1764"/>
      <c r="O290" s="1764"/>
      <c r="P290" s="1764"/>
    </row>
    <row r="291" spans="3:16" ht="14.25" x14ac:dyDescent="0.45">
      <c r="C291" s="1764"/>
      <c r="D291" s="1764"/>
      <c r="E291" s="1764"/>
      <c r="F291" s="1764"/>
      <c r="G291" s="1764"/>
      <c r="H291" s="1764"/>
      <c r="I291" s="1764"/>
      <c r="J291" s="1764"/>
      <c r="K291" s="1764"/>
      <c r="L291" s="1764"/>
      <c r="M291" s="1768"/>
      <c r="N291" s="1764"/>
      <c r="O291" s="1764"/>
      <c r="P291" s="1764"/>
    </row>
    <row r="292" spans="3:16" ht="14.25" x14ac:dyDescent="0.45">
      <c r="C292" s="1764"/>
      <c r="D292" s="1764"/>
      <c r="E292" s="1764"/>
      <c r="F292" s="1764"/>
      <c r="G292" s="1764"/>
      <c r="H292" s="1764"/>
      <c r="I292" s="1764"/>
      <c r="J292" s="1764"/>
      <c r="K292" s="1764"/>
      <c r="L292" s="1764"/>
      <c r="M292" s="1768"/>
      <c r="N292" s="1764"/>
      <c r="O292" s="1764"/>
      <c r="P292" s="1764"/>
    </row>
    <row r="293" spans="3:16" ht="14.25" x14ac:dyDescent="0.45">
      <c r="C293" s="1764"/>
      <c r="D293" s="1764"/>
      <c r="E293" s="1764"/>
      <c r="F293" s="1764"/>
      <c r="G293" s="1764"/>
      <c r="H293" s="1764"/>
      <c r="I293" s="1764"/>
      <c r="J293" s="1764"/>
      <c r="K293" s="1764"/>
      <c r="L293" s="1764"/>
      <c r="M293" s="1768"/>
      <c r="N293" s="1764"/>
      <c r="O293" s="1764"/>
      <c r="P293" s="1764"/>
    </row>
    <row r="294" spans="3:16" ht="14.25" x14ac:dyDescent="0.45">
      <c r="C294" s="1764"/>
      <c r="D294" s="1764"/>
      <c r="E294" s="1764"/>
      <c r="F294" s="1764"/>
      <c r="G294" s="1764"/>
      <c r="H294" s="1764"/>
      <c r="I294" s="1764"/>
      <c r="J294" s="1764"/>
      <c r="K294" s="1764"/>
      <c r="L294" s="1764"/>
      <c r="M294" s="1768"/>
      <c r="N294" s="1764"/>
      <c r="O294" s="1764"/>
      <c r="P294" s="1764"/>
    </row>
    <row r="295" spans="3:16" ht="14.25" x14ac:dyDescent="0.45">
      <c r="C295" s="1764"/>
      <c r="D295" s="1764"/>
      <c r="E295" s="1764"/>
      <c r="F295" s="1764"/>
      <c r="G295" s="1764"/>
      <c r="H295" s="1764"/>
      <c r="I295" s="1764"/>
      <c r="J295" s="1764"/>
      <c r="K295" s="1764"/>
      <c r="L295" s="1764"/>
      <c r="M295" s="1768"/>
      <c r="N295" s="1764"/>
      <c r="O295" s="1764"/>
      <c r="P295" s="1764"/>
    </row>
    <row r="296" spans="3:16" ht="14.25" x14ac:dyDescent="0.45">
      <c r="C296" s="1764"/>
      <c r="D296" s="1764"/>
      <c r="E296" s="1764"/>
      <c r="F296" s="1764"/>
      <c r="G296" s="1764"/>
      <c r="H296" s="1764"/>
      <c r="I296" s="1764"/>
      <c r="J296" s="1764"/>
      <c r="K296" s="1764"/>
      <c r="L296" s="1764"/>
      <c r="M296" s="1768"/>
      <c r="N296" s="1764"/>
      <c r="O296" s="1764"/>
      <c r="P296" s="1764"/>
    </row>
  </sheetData>
  <sheetProtection algorithmName="SHA-512" hashValue="FrYLsUPV155Tfdpg1PGJRBHNH9rKa19rk6GuFfveFPmgbuh4vNqWXDNL7suO4uZr4r3Hpky89lwRPOa+XCKz1A==" saltValue="xBbKR0o4lHEnqgjABirc0g==" spinCount="100000" sheet="1" objects="1" scenarios="1"/>
  <mergeCells count="28">
    <mergeCell ref="C123:C125"/>
    <mergeCell ref="D123:D125"/>
    <mergeCell ref="E123:E125"/>
    <mergeCell ref="F123:I123"/>
    <mergeCell ref="J123:M123"/>
    <mergeCell ref="F124:H124"/>
    <mergeCell ref="I124:I125"/>
    <mergeCell ref="J124:K124"/>
    <mergeCell ref="L124:M124"/>
    <mergeCell ref="C166:C168"/>
    <mergeCell ref="D166:D168"/>
    <mergeCell ref="E166:E168"/>
    <mergeCell ref="F166:J166"/>
    <mergeCell ref="L166:P166"/>
    <mergeCell ref="F167:G167"/>
    <mergeCell ref="H167:J167"/>
    <mergeCell ref="L167:M167"/>
    <mergeCell ref="N167:P167"/>
    <mergeCell ref="E204:I204"/>
    <mergeCell ref="E205:I205"/>
    <mergeCell ref="E206:I206"/>
    <mergeCell ref="C210:C212"/>
    <mergeCell ref="D210:D212"/>
    <mergeCell ref="E210:E212"/>
    <mergeCell ref="F210:Q210"/>
    <mergeCell ref="F211:K211"/>
    <mergeCell ref="L211:M211"/>
    <mergeCell ref="N211:O211"/>
  </mergeCells>
  <dataValidations count="2">
    <dataValidation type="list" allowBlank="1" showInputMessage="1" showErrorMessage="1" sqref="I121:I122" xr:uid="{00000000-0002-0000-0700-000000000000}">
      <formula1>#REF!</formula1>
    </dataValidation>
    <dataValidation type="list" allowBlank="1" showInputMessage="1" showErrorMessage="1" sqref="F18 F121:H122 J121:L122 F12:F16 G12:G14" xr:uid="{00000000-0002-0000-0700-000001000000}">
      <formula1>#REF!</formula1>
    </dataValidation>
  </dataValidations>
  <pageMargins left="0.7" right="0.7" top="0.75" bottom="0.75" header="0.3" footer="0.3"/>
  <pageSetup paperSize="9" orientation="portrait" r:id="rId1"/>
  <ignoredErrors>
    <ignoredError sqref="L27:N27 L70:N70 L68:N68" formula="1"/>
  </ignoredErrors>
  <legacyDrawing r:id="rId2"/>
  <extLst>
    <ext xmlns:x14="http://schemas.microsoft.com/office/spreadsheetml/2009/9/main" uri="{CCE6A557-97BC-4b89-ADB6-D9C93CAAB3DF}">
      <x14:dataValidations xmlns:xm="http://schemas.microsoft.com/office/excel/2006/main" count="28">
        <x14:dataValidation type="list" allowBlank="1" showInputMessage="1" showErrorMessage="1" xr:uid="{00000000-0002-0000-0700-000002000000}">
          <x14:formula1>
            <xm:f>Lookups!$V$4:$V$10</xm:f>
          </x14:formula1>
          <xm:sqref>G54:G59</xm:sqref>
        </x14:dataValidation>
        <x14:dataValidation type="list" allowBlank="1" showInputMessage="1" showErrorMessage="1" xr:uid="{00000000-0002-0000-0700-000003000000}">
          <x14:formula1>
            <xm:f>Lookups!$M$11:$M$12</xm:f>
          </x14:formula1>
          <xm:sqref>D93:D95</xm:sqref>
        </x14:dataValidation>
        <x14:dataValidation type="list" allowBlank="1" showInputMessage="1" showErrorMessage="1" xr:uid="{00000000-0002-0000-0700-000004000000}">
          <x14:formula1>
            <xm:f>Lookups!$P$11:$P$12</xm:f>
          </x14:formula1>
          <xm:sqref>E93:E95</xm:sqref>
        </x14:dataValidation>
        <x14:dataValidation type="list" allowBlank="1" showInputMessage="1" showErrorMessage="1" xr:uid="{00000000-0002-0000-0700-000005000000}">
          <x14:formula1>
            <xm:f>Lookups!$AC$4:$AC$16</xm:f>
          </x14:formula1>
          <xm:sqref>F93</xm:sqref>
        </x14:dataValidation>
        <x14:dataValidation type="list" allowBlank="1" showInputMessage="1" showErrorMessage="1" xr:uid="{00000000-0002-0000-0700-000006000000}">
          <x14:formula1>
            <xm:f>Lookups!$AE$4:$AE$6</xm:f>
          </x14:formula1>
          <xm:sqref>F94:F95</xm:sqref>
        </x14:dataValidation>
        <x14:dataValidation type="list" allowBlank="1" showInputMessage="1" showErrorMessage="1" xr:uid="{00000000-0002-0000-0700-000007000000}">
          <x14:formula1>
            <xm:f>Lookups!$B$4:$B$8</xm:f>
          </x14:formula1>
          <xm:sqref>B4</xm:sqref>
        </x14:dataValidation>
        <x14:dataValidation type="list" allowBlank="1" showInputMessage="1" showErrorMessage="1" xr:uid="{00000000-0002-0000-0700-000008000000}">
          <x14:formula1>
            <xm:f>Lookups!$M$4:$M$10</xm:f>
          </x14:formula1>
          <xm:sqref>D54:D59 D66:D72 D79:D85 D12:D16 D23:D33 D43:D47</xm:sqref>
        </x14:dataValidation>
        <x14:dataValidation type="list" allowBlank="1" showInputMessage="1" showErrorMessage="1" xr:uid="{00000000-0002-0000-0700-000009000000}">
          <x14:formula1>
            <xm:f>Lookups!$P$4:$P$10</xm:f>
          </x14:formula1>
          <xm:sqref>E54:E59 E66:E72 E79:E85 E12:E16 E23:E33 E43:E47</xm:sqref>
        </x14:dataValidation>
        <x14:dataValidation type="list" allowBlank="1" showInputMessage="1" showErrorMessage="1" xr:uid="{00000000-0002-0000-0700-00000A000000}">
          <x14:formula1>
            <xm:f>Lookups!$L$4:$L$10</xm:f>
          </x14:formula1>
          <xm:sqref>C54:C59 C66:C72 C79:C85 C12:C16 C23:C33 C43:C47</xm:sqref>
        </x14:dataValidation>
        <x14:dataValidation type="list" allowBlank="1" showInputMessage="1" showErrorMessage="1" xr:uid="{00000000-0002-0000-0700-00000B000000}">
          <x14:formula1>
            <xm:f>Lookups!$AK$4:$AK$46</xm:f>
          </x14:formula1>
          <xm:sqref>H12:H14 H57:H59 H54:H55 H93:H95</xm:sqref>
        </x14:dataValidation>
        <x14:dataValidation type="list" allowBlank="1" showInputMessage="1" showErrorMessage="1" xr:uid="{00000000-0002-0000-0700-00000C000000}">
          <x14:formula1>
            <xm:f>Lookups!$C$4:$C$7</xm:f>
          </x14:formula1>
          <xm:sqref>I54:I59 I66:I72 I79:I85 I93:I95 I12:I16 I23:I33 I43:I47</xm:sqref>
        </x14:dataValidation>
        <x14:dataValidation type="list" allowBlank="1" showInputMessage="1" showErrorMessage="1" xr:uid="{00000000-0002-0000-0700-00000D000000}">
          <x14:formula1>
            <xm:f>Lookups!$A$4:$A$8</xm:f>
          </x14:formula1>
          <xm:sqref>J54:J59 J66:J72 J79:J85 J93:J95 J12:J16 J23:J33 J47</xm:sqref>
        </x14:dataValidation>
        <x14:dataValidation type="list" allowBlank="1" showInputMessage="1" showErrorMessage="1" xr:uid="{00000000-0002-0000-0700-00000E000000}">
          <x14:formula1>
            <xm:f>Lookups!$J$4:$J$5</xm:f>
          </x14:formula1>
          <xm:sqref>B54:B59 B66:B72 B79:B85 B12:B16 B23:B33 B43:B47</xm:sqref>
        </x14:dataValidation>
        <x14:dataValidation type="list" allowBlank="1" showInputMessage="1" showErrorMessage="1" xr:uid="{00000000-0002-0000-0700-00000F000000}">
          <x14:formula1>
            <xm:f>Lookups!$U$4:$U$10</xm:f>
          </x14:formula1>
          <xm:sqref>F54:F59</xm:sqref>
        </x14:dataValidation>
        <x14:dataValidation type="list" allowBlank="1" showInputMessage="1" showErrorMessage="1" xr:uid="{00000000-0002-0000-0700-000010000000}">
          <x14:formula1>
            <xm:f>Lookups!$J$5</xm:f>
          </x14:formula1>
          <xm:sqref>B93:B95</xm:sqref>
        </x14:dataValidation>
        <x14:dataValidation type="list" allowBlank="1" showInputMessage="1" showErrorMessage="1" xr:uid="{00000000-0002-0000-0700-000011000000}">
          <x14:formula1>
            <xm:f>Lookups!$L$11:$L$12</xm:f>
          </x14:formula1>
          <xm:sqref>C93:C95</xm:sqref>
        </x14:dataValidation>
        <x14:dataValidation type="list" allowBlank="1" showInputMessage="1" showErrorMessage="1" xr:uid="{00000000-0002-0000-0700-000012000000}">
          <x14:formula1>
            <xm:f>Lookups!$AD$4:$AD$17</xm:f>
          </x14:formula1>
          <xm:sqref>G93</xm:sqref>
        </x14:dataValidation>
        <x14:dataValidation type="list" allowBlank="1" showInputMessage="1" showErrorMessage="1" xr:uid="{00000000-0002-0000-0700-000013000000}">
          <x14:formula1>
            <xm:f>Lookups!$AF$4:$AF$6</xm:f>
          </x14:formula1>
          <xm:sqref>G94:G95</xm:sqref>
        </x14:dataValidation>
        <x14:dataValidation type="list" allowBlank="1" showInputMessage="1" showErrorMessage="1" xr:uid="{00000000-0002-0000-0700-000014000000}">
          <x14:formula1>
            <xm:f>Lookups!$AK$4:$AK$47</xm:f>
          </x14:formula1>
          <xm:sqref>H56</xm:sqref>
        </x14:dataValidation>
        <x14:dataValidation type="list" allowBlank="1" showInputMessage="1" showErrorMessage="1" xr:uid="{00000000-0002-0000-0700-000015000000}">
          <x14:formula1>
            <xm:f>Lookups!$R$4:$R$11</xm:f>
          </x14:formula1>
          <xm:sqref>G23:G33</xm:sqref>
        </x14:dataValidation>
        <x14:dataValidation type="list" allowBlank="1" showInputMessage="1" showErrorMessage="1" xr:uid="{00000000-0002-0000-0700-000016000000}">
          <x14:formula1>
            <xm:f>Lookups!$W$4:$W$7</xm:f>
          </x14:formula1>
          <xm:sqref>F66:F72</xm:sqref>
        </x14:dataValidation>
        <x14:dataValidation type="list" allowBlank="1" showInputMessage="1" showErrorMessage="1" xr:uid="{00000000-0002-0000-0700-000017000000}">
          <x14:formula1>
            <xm:f>Lookups!$X$4:$X$7</xm:f>
          </x14:formula1>
          <xm:sqref>G66:G72</xm:sqref>
        </x14:dataValidation>
        <x14:dataValidation type="list" allowBlank="1" showInputMessage="1" showErrorMessage="1" xr:uid="{00000000-0002-0000-0700-000018000000}">
          <x14:formula1>
            <xm:f>Lookups!$Z$4:$Z$8</xm:f>
          </x14:formula1>
          <xm:sqref>G79:G85</xm:sqref>
        </x14:dataValidation>
        <x14:dataValidation type="list" allowBlank="1" showInputMessage="1" showErrorMessage="1" xr:uid="{00000000-0002-0000-0700-000019000000}">
          <x14:formula1>
            <xm:f>Lookups!$Y$4:$Y$8</xm:f>
          </x14:formula1>
          <xm:sqref>F79:F85</xm:sqref>
        </x14:dataValidation>
        <x14:dataValidation type="list" allowBlank="1" showInputMessage="1" showErrorMessage="1" xr:uid="{00000000-0002-0000-0700-00001A000000}">
          <x14:formula1>
            <xm:f>Lookups!$T$4:$T$18</xm:f>
          </x14:formula1>
          <xm:sqref>G43:G47</xm:sqref>
        </x14:dataValidation>
        <x14:dataValidation type="list" allowBlank="1" showInputMessage="1" showErrorMessage="1" xr:uid="{00000000-0002-0000-0700-00001B000000}">
          <x14:formula1>
            <xm:f>Lookups!$S$4:$S$18</xm:f>
          </x14:formula1>
          <xm:sqref>F43:F47</xm:sqref>
        </x14:dataValidation>
        <x14:dataValidation type="list" allowBlank="1" showInputMessage="1" showErrorMessage="1" xr:uid="{00000000-0002-0000-0700-00001C000000}">
          <x14:formula1>
            <xm:f>Lookups!$AL$4:$AL$15</xm:f>
          </x14:formula1>
          <xm:sqref>G15:G16</xm:sqref>
        </x14:dataValidation>
        <x14:dataValidation type="list" allowBlank="1" showInputMessage="1" showErrorMessage="1" xr:uid="{00000000-0002-0000-0700-00001D000000}">
          <x14:formula1>
            <xm:f>Lookups!$AK$4:$AK$48</xm:f>
          </x14:formula1>
          <xm:sqref>H23:H33 H15:H16 H46:H47 H66:H72 H79:H85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CCFFFF"/>
  </sheetPr>
  <dimension ref="A1:IY519"/>
  <sheetViews>
    <sheetView tabSelected="1" topLeftCell="B305" zoomScaleNormal="100" workbookViewId="0">
      <selection activeCell="F309" sqref="F309"/>
    </sheetView>
  </sheetViews>
  <sheetFormatPr defaultColWidth="9.1328125" defaultRowHeight="14.25" x14ac:dyDescent="0.45"/>
  <cols>
    <col min="1" max="1" width="24" style="1207" customWidth="1"/>
    <col min="2" max="2" width="9.1328125" style="1207"/>
    <col min="3" max="3" width="15.59765625" style="1207" customWidth="1"/>
    <col min="4" max="4" width="15.3984375" style="1207" customWidth="1"/>
    <col min="5" max="5" width="16.73046875" style="1207" customWidth="1"/>
    <col min="6" max="6" width="15.1328125" style="1207" customWidth="1"/>
    <col min="7" max="7" width="22.265625" style="1207" customWidth="1"/>
    <col min="8" max="8" width="20.86328125" style="1207" customWidth="1"/>
    <col min="9" max="9" width="12.3984375" style="1207" customWidth="1"/>
    <col min="10" max="10" width="11.3984375" style="1207" customWidth="1"/>
    <col min="11" max="11" width="17.73046875" style="1207" customWidth="1"/>
    <col min="12" max="12" width="17.3984375" style="1207" customWidth="1"/>
    <col min="13" max="13" width="17.265625" style="1207" customWidth="1"/>
    <col min="14" max="14" width="15" style="1207" customWidth="1"/>
    <col min="15" max="15" width="13.73046875" style="1207" customWidth="1"/>
    <col min="16" max="16" width="19.265625" style="1207" customWidth="1"/>
    <col min="17" max="17" width="30.1328125" style="1207" customWidth="1"/>
    <col min="18" max="18" width="19.86328125" style="1207" customWidth="1"/>
    <col min="19" max="19" width="12.1328125" style="1207" customWidth="1"/>
    <col min="20" max="20" width="28.3984375" style="1207" customWidth="1"/>
    <col min="21" max="21" width="9.86328125" style="1207" bestFit="1" customWidth="1"/>
    <col min="22" max="22" width="14.1328125" style="1207" customWidth="1"/>
    <col min="23" max="23" width="9.86328125" style="1207" customWidth="1"/>
    <col min="24" max="24" width="12.59765625" style="1207" customWidth="1"/>
    <col min="25" max="25" width="16" style="1207" bestFit="1" customWidth="1"/>
    <col min="26" max="26" width="12.1328125" style="1207" customWidth="1"/>
    <col min="27" max="27" width="9.1328125" style="1207"/>
    <col min="28" max="28" width="11" style="1207" customWidth="1"/>
    <col min="29" max="29" width="9.1328125" style="1207"/>
    <col min="30" max="30" width="15.1328125" style="1207" customWidth="1"/>
    <col min="31" max="31" width="10.3984375" style="1207" customWidth="1"/>
    <col min="32" max="32" width="12.265625" style="1207" customWidth="1"/>
    <col min="33" max="36" width="9.1328125" style="1207"/>
    <col min="37" max="37" width="12.73046875" style="1207" customWidth="1"/>
    <col min="38" max="40" width="9.1328125" style="1207"/>
    <col min="41" max="41" width="12" style="1207" customWidth="1"/>
    <col min="42" max="16384" width="9.1328125" style="1207"/>
  </cols>
  <sheetData>
    <row r="1" spans="1:40" s="888" customFormat="1" ht="14.65" thickTop="1" x14ac:dyDescent="0.45">
      <c r="A1" s="999"/>
      <c r="B1" s="1000"/>
      <c r="C1" s="1000"/>
      <c r="D1" s="1001"/>
      <c r="G1" s="1736"/>
      <c r="H1" s="1736"/>
      <c r="I1" s="1736"/>
      <c r="J1" s="1736"/>
      <c r="K1" s="1736"/>
      <c r="L1" s="1736"/>
      <c r="M1" s="1736"/>
      <c r="N1" s="1736"/>
      <c r="O1" s="1736"/>
      <c r="P1" s="1736"/>
      <c r="Q1" s="1736"/>
      <c r="R1" s="1736"/>
      <c r="S1" s="1736"/>
      <c r="T1" s="1736"/>
      <c r="U1" s="1736"/>
      <c r="V1" s="1737"/>
      <c r="W1" s="1207"/>
      <c r="X1" s="1207"/>
      <c r="Y1" s="1207"/>
      <c r="Z1" s="1207"/>
      <c r="AA1" s="1207"/>
      <c r="AB1" s="1207"/>
      <c r="AC1" s="1207"/>
      <c r="AD1" s="1207"/>
      <c r="AE1" s="1207"/>
      <c r="AF1" s="1207"/>
      <c r="AG1" s="1207"/>
      <c r="AH1" s="1207"/>
      <c r="AI1" s="1207"/>
      <c r="AJ1" s="1207"/>
      <c r="AK1" s="1207"/>
      <c r="AL1" s="1207"/>
      <c r="AM1" s="1207"/>
      <c r="AN1" s="1207"/>
    </row>
    <row r="2" spans="1:40" s="888" customFormat="1" x14ac:dyDescent="0.45">
      <c r="A2" s="1002" t="s">
        <v>380</v>
      </c>
      <c r="B2" s="1024" t="s">
        <v>1909</v>
      </c>
      <c r="C2" s="887"/>
      <c r="D2" s="1004"/>
      <c r="G2" s="1736"/>
      <c r="H2" s="1736"/>
      <c r="I2" s="1736"/>
      <c r="J2" s="1736"/>
      <c r="K2" s="1736"/>
      <c r="L2" s="1736"/>
      <c r="M2" s="1736"/>
      <c r="N2" s="1736"/>
      <c r="O2" s="1736"/>
      <c r="P2" s="1736"/>
      <c r="Q2" s="1736"/>
      <c r="R2" s="1736"/>
      <c r="S2" s="1736"/>
      <c r="T2" s="1736"/>
      <c r="U2" s="1736"/>
      <c r="V2" s="1737"/>
      <c r="W2" s="1737"/>
      <c r="X2" s="1737"/>
      <c r="Y2" s="1737"/>
      <c r="Z2" s="1737"/>
      <c r="AA2" s="1737"/>
      <c r="AB2" s="1737"/>
      <c r="AC2" s="1737"/>
      <c r="AD2" s="1737"/>
      <c r="AE2" s="1737"/>
      <c r="AF2" s="1737"/>
      <c r="AG2" s="1737"/>
      <c r="AH2" s="1737"/>
      <c r="AI2" s="1737"/>
      <c r="AJ2" s="1737"/>
      <c r="AK2" s="1737"/>
      <c r="AL2" s="1737"/>
      <c r="AM2" s="1737"/>
      <c r="AN2" s="1737"/>
    </row>
    <row r="3" spans="1:40" s="888" customFormat="1" x14ac:dyDescent="0.45">
      <c r="A3" s="1025" t="s">
        <v>568</v>
      </c>
      <c r="B3" s="1003">
        <v>2018</v>
      </c>
      <c r="C3" s="887"/>
      <c r="D3" s="1004"/>
      <c r="G3" s="1736"/>
      <c r="H3" s="1736"/>
      <c r="I3" s="1736"/>
      <c r="J3" s="1736"/>
      <c r="K3" s="1736"/>
      <c r="L3" s="1736"/>
      <c r="M3" s="1736"/>
      <c r="N3" s="1736"/>
      <c r="O3" s="1736"/>
      <c r="P3" s="1736"/>
      <c r="Q3" s="1736"/>
      <c r="R3" s="1736"/>
      <c r="S3" s="1736"/>
      <c r="T3" s="1736"/>
      <c r="U3" s="1736"/>
      <c r="V3" s="1736"/>
      <c r="W3" s="1736"/>
      <c r="X3" s="1736"/>
      <c r="Y3" s="1736"/>
      <c r="Z3" s="1736"/>
      <c r="AA3" s="1736"/>
      <c r="AB3" s="1736"/>
      <c r="AC3" s="1736"/>
      <c r="AD3" s="1736"/>
      <c r="AE3" s="1736"/>
      <c r="AF3" s="1736"/>
      <c r="AG3" s="1736"/>
      <c r="AH3" s="1736"/>
      <c r="AI3" s="1736"/>
      <c r="AJ3" s="1736"/>
      <c r="AK3" s="1736"/>
      <c r="AL3" s="1736"/>
      <c r="AM3" s="1736"/>
      <c r="AN3" s="1736"/>
    </row>
    <row r="4" spans="1:40" s="888" customFormat="1" x14ac:dyDescent="0.45">
      <c r="A4" s="1005" t="s">
        <v>397</v>
      </c>
      <c r="B4" s="1006" t="s">
        <v>309</v>
      </c>
      <c r="C4" s="259"/>
      <c r="D4" s="1007"/>
      <c r="G4" s="1736"/>
      <c r="H4" s="1736"/>
      <c r="I4" s="1736"/>
      <c r="J4" s="1736"/>
      <c r="K4" s="1736"/>
      <c r="L4" s="1736"/>
      <c r="M4" s="1736"/>
      <c r="N4" s="1736"/>
      <c r="O4" s="1736"/>
      <c r="P4" s="1736"/>
      <c r="Q4" s="1736"/>
      <c r="R4" s="1736"/>
      <c r="S4" s="1736"/>
      <c r="T4" s="1736"/>
      <c r="U4" s="1736"/>
      <c r="V4" s="1736"/>
      <c r="W4" s="1736"/>
      <c r="X4" s="1736"/>
      <c r="Y4" s="1736"/>
      <c r="Z4" s="1736"/>
      <c r="AA4" s="1736"/>
      <c r="AB4" s="1736"/>
      <c r="AC4" s="1736"/>
      <c r="AD4" s="1736"/>
      <c r="AE4" s="1736"/>
      <c r="AF4" s="1736"/>
      <c r="AG4" s="1736"/>
      <c r="AH4" s="1736"/>
      <c r="AI4" s="1736"/>
      <c r="AJ4" s="1736"/>
      <c r="AK4" s="1736"/>
      <c r="AL4" s="1736"/>
      <c r="AM4" s="1736"/>
      <c r="AN4" s="1736"/>
    </row>
    <row r="5" spans="1:40" s="888" customFormat="1" x14ac:dyDescent="0.45">
      <c r="A5" s="2044" t="s">
        <v>2317</v>
      </c>
      <c r="B5" s="259"/>
      <c r="C5" s="259"/>
      <c r="D5" s="1007"/>
      <c r="G5" s="1787"/>
      <c r="H5" s="1736"/>
      <c r="I5" s="1736"/>
      <c r="J5" s="1736"/>
      <c r="K5" s="1736"/>
      <c r="L5" s="1736"/>
      <c r="M5" s="1736"/>
      <c r="N5" s="1736"/>
      <c r="O5" s="1736"/>
      <c r="P5" s="1736"/>
      <c r="Q5" s="1736"/>
      <c r="R5" s="1736"/>
      <c r="S5" s="1736"/>
      <c r="T5" s="1736"/>
      <c r="U5" s="1736"/>
      <c r="V5" s="1736"/>
      <c r="W5" s="1736"/>
      <c r="X5" s="1736"/>
      <c r="Y5" s="1736"/>
      <c r="Z5" s="1736"/>
      <c r="AA5" s="1736"/>
      <c r="AB5" s="1736"/>
      <c r="AC5" s="1736"/>
      <c r="AD5" s="1736"/>
      <c r="AE5" s="1736"/>
      <c r="AF5" s="1736"/>
      <c r="AG5" s="1736"/>
      <c r="AH5" s="1736"/>
      <c r="AI5" s="1736"/>
      <c r="AJ5" s="1736"/>
      <c r="AK5" s="1736"/>
      <c r="AL5" s="1736"/>
      <c r="AM5" s="1736"/>
      <c r="AN5" s="1736"/>
    </row>
    <row r="6" spans="1:40" s="888" customFormat="1" ht="14.65" thickBot="1" x14ac:dyDescent="0.5">
      <c r="A6" s="2045" t="s">
        <v>2318</v>
      </c>
      <c r="B6" s="1008"/>
      <c r="C6" s="1009"/>
      <c r="D6" s="1010"/>
      <c r="G6" s="1736"/>
      <c r="H6" s="1736"/>
      <c r="I6" s="1736"/>
      <c r="J6" s="1736"/>
      <c r="K6" s="1736"/>
      <c r="L6" s="1736"/>
      <c r="M6" s="1736"/>
      <c r="N6" s="1736"/>
      <c r="O6" s="1736"/>
      <c r="P6" s="1736"/>
      <c r="Q6" s="1736"/>
      <c r="R6" s="1736"/>
      <c r="S6" s="1736"/>
      <c r="T6" s="1736"/>
      <c r="U6" s="1736"/>
      <c r="V6" s="1736"/>
      <c r="W6" s="1736"/>
      <c r="X6" s="1736"/>
      <c r="Y6" s="1736"/>
      <c r="Z6" s="1736"/>
      <c r="AA6" s="1736"/>
      <c r="AB6" s="1736"/>
      <c r="AC6" s="1736"/>
      <c r="AD6" s="1736"/>
      <c r="AE6" s="1736"/>
      <c r="AF6" s="1736"/>
      <c r="AG6" s="1736"/>
      <c r="AH6" s="1736"/>
      <c r="AI6" s="1736"/>
      <c r="AJ6" s="1736"/>
      <c r="AK6" s="1736"/>
      <c r="AL6" s="1736"/>
      <c r="AM6" s="1736"/>
      <c r="AN6" s="1736"/>
    </row>
    <row r="7" spans="1:40" s="888" customFormat="1" ht="14.65" thickTop="1" x14ac:dyDescent="0.45">
      <c r="C7" s="1736"/>
      <c r="D7" s="1736"/>
      <c r="E7" s="1736"/>
      <c r="F7" s="1736"/>
      <c r="G7" s="1736"/>
      <c r="H7" s="1736"/>
      <c r="I7" s="1736"/>
      <c r="J7" s="1736"/>
      <c r="K7" s="1736"/>
      <c r="L7" s="1736"/>
      <c r="M7" s="1736"/>
      <c r="N7" s="1736"/>
      <c r="O7" s="1736"/>
      <c r="P7" s="1736"/>
      <c r="Q7" s="1736"/>
      <c r="R7" s="1736"/>
      <c r="S7" s="1736"/>
      <c r="T7" s="1736"/>
      <c r="U7" s="1736"/>
      <c r="V7" s="1736"/>
      <c r="W7" s="1736"/>
      <c r="X7" s="1736"/>
      <c r="Y7" s="1736"/>
      <c r="Z7" s="1736"/>
      <c r="AA7" s="1736"/>
      <c r="AB7" s="1736"/>
      <c r="AC7" s="1736"/>
      <c r="AD7" s="1736"/>
      <c r="AE7" s="1736"/>
      <c r="AF7" s="1736"/>
      <c r="AG7" s="1736"/>
      <c r="AH7" s="1736"/>
      <c r="AI7" s="1736"/>
      <c r="AJ7" s="1736"/>
      <c r="AK7" s="1736"/>
      <c r="AL7" s="1736"/>
      <c r="AM7" s="1736"/>
      <c r="AN7" s="1736"/>
    </row>
    <row r="8" spans="1:40" s="888" customFormat="1" x14ac:dyDescent="0.45">
      <c r="C8" s="1736"/>
      <c r="D8" s="1736"/>
      <c r="E8" s="1736"/>
      <c r="F8" s="1736"/>
      <c r="G8" s="1736"/>
      <c r="H8" s="1736"/>
      <c r="I8" s="1736"/>
      <c r="J8" s="1736"/>
      <c r="K8" s="1736"/>
      <c r="L8" s="1736"/>
      <c r="M8" s="1736"/>
      <c r="N8" s="1736"/>
      <c r="O8" s="1736"/>
      <c r="P8" s="1736"/>
      <c r="Q8" s="1736"/>
      <c r="R8" s="1736"/>
      <c r="S8" s="1736"/>
      <c r="T8" s="1736"/>
      <c r="U8" s="1736"/>
      <c r="V8" s="1736"/>
      <c r="W8" s="1736"/>
      <c r="X8" s="1736"/>
      <c r="Y8" s="1736"/>
      <c r="Z8" s="1736"/>
      <c r="AA8" s="1736"/>
      <c r="AB8" s="1736"/>
      <c r="AC8" s="1736"/>
      <c r="AD8" s="1736"/>
      <c r="AE8" s="1736"/>
      <c r="AF8" s="1736"/>
      <c r="AG8" s="1736"/>
      <c r="AH8" s="1736"/>
      <c r="AI8" s="1736"/>
      <c r="AJ8" s="1736"/>
      <c r="AK8" s="1736"/>
      <c r="AL8" s="1736"/>
      <c r="AM8" s="1736"/>
      <c r="AN8" s="1736"/>
    </row>
    <row r="9" spans="1:40" s="888" customFormat="1" ht="14.65" thickBot="1" x14ac:dyDescent="0.5">
      <c r="B9" s="1682"/>
      <c r="C9" s="1736"/>
      <c r="D9" s="1736"/>
      <c r="E9" s="1736"/>
      <c r="F9" s="1736"/>
      <c r="G9" s="1736"/>
      <c r="H9" s="1736"/>
      <c r="I9" s="1736"/>
      <c r="J9" s="1736"/>
      <c r="K9" s="1736"/>
      <c r="L9" s="1736"/>
      <c r="M9" s="1736"/>
      <c r="N9" s="1736"/>
      <c r="O9" s="1736"/>
      <c r="P9" s="1736"/>
      <c r="Q9" s="1736"/>
      <c r="R9" s="1736"/>
      <c r="S9" s="1736"/>
      <c r="T9" s="1736"/>
      <c r="U9" s="1736"/>
      <c r="V9" s="1736"/>
      <c r="W9" s="1736"/>
      <c r="X9" s="1736"/>
      <c r="Y9" s="1736"/>
      <c r="Z9" s="1736"/>
      <c r="AA9" s="1736"/>
      <c r="AB9" s="1736"/>
      <c r="AC9" s="1736"/>
      <c r="AD9" s="1736"/>
      <c r="AE9" s="1736"/>
      <c r="AF9" s="1736"/>
      <c r="AG9" s="1736"/>
      <c r="AH9" s="1736"/>
      <c r="AI9" s="1736"/>
      <c r="AJ9" s="1736"/>
      <c r="AK9" s="1736"/>
      <c r="AL9" s="1736"/>
      <c r="AM9" s="1736"/>
      <c r="AN9" s="1736"/>
    </row>
    <row r="10" spans="1:40" s="888" customFormat="1" ht="15" thickBot="1" x14ac:dyDescent="0.55000000000000004">
      <c r="B10" s="251" t="s">
        <v>1356</v>
      </c>
      <c r="C10" s="253"/>
      <c r="D10" s="262"/>
      <c r="E10" s="245"/>
      <c r="F10" s="243"/>
      <c r="G10" s="245"/>
      <c r="H10" s="246"/>
      <c r="I10" s="246"/>
      <c r="J10" s="245"/>
      <c r="K10" s="245"/>
      <c r="L10" s="252"/>
      <c r="M10" s="248" t="s">
        <v>881</v>
      </c>
      <c r="N10" s="252"/>
      <c r="O10" s="252"/>
      <c r="P10" s="253"/>
      <c r="Q10" s="1736"/>
      <c r="R10" s="1736"/>
      <c r="S10" s="1736"/>
      <c r="T10" s="1736"/>
      <c r="U10" s="1736"/>
      <c r="V10" s="1736"/>
      <c r="W10" s="1736"/>
      <c r="X10" s="1736"/>
      <c r="Y10" s="1736"/>
      <c r="Z10" s="1736"/>
      <c r="AA10" s="1736"/>
      <c r="AB10" s="1736"/>
      <c r="AC10" s="1736"/>
      <c r="AD10" s="1736"/>
      <c r="AE10" s="1736"/>
      <c r="AF10" s="1736"/>
      <c r="AG10" s="1736"/>
      <c r="AH10" s="1736"/>
      <c r="AI10" s="1736"/>
      <c r="AJ10" s="1736"/>
      <c r="AK10" s="1736"/>
      <c r="AL10" s="1736"/>
      <c r="AM10" s="1736"/>
      <c r="AN10" s="1736"/>
    </row>
    <row r="11" spans="1:40" s="888" customFormat="1" ht="40.15" thickBot="1" x14ac:dyDescent="0.5">
      <c r="B11" s="678" t="s">
        <v>1271</v>
      </c>
      <c r="C11" s="617" t="s">
        <v>1270</v>
      </c>
      <c r="D11" s="268" t="s">
        <v>521</v>
      </c>
      <c r="E11" s="618" t="s">
        <v>522</v>
      </c>
      <c r="F11" s="617" t="s">
        <v>1280</v>
      </c>
      <c r="G11" s="618" t="s">
        <v>1278</v>
      </c>
      <c r="H11" s="268" t="s">
        <v>1268</v>
      </c>
      <c r="I11" s="247" t="s">
        <v>574</v>
      </c>
      <c r="J11" s="242" t="s">
        <v>584</v>
      </c>
      <c r="K11" s="269" t="s">
        <v>804</v>
      </c>
      <c r="L11" s="249" t="s">
        <v>798</v>
      </c>
      <c r="M11" s="249" t="s">
        <v>799</v>
      </c>
      <c r="N11" s="249" t="s">
        <v>800</v>
      </c>
      <c r="O11" s="249" t="s">
        <v>801</v>
      </c>
      <c r="P11" s="250" t="s">
        <v>802</v>
      </c>
      <c r="Q11" s="1736"/>
      <c r="R11" s="1736"/>
      <c r="S11" s="1736"/>
      <c r="T11" s="1736"/>
      <c r="U11" s="1736"/>
      <c r="V11" s="1736"/>
      <c r="W11" s="1736"/>
      <c r="X11" s="1736"/>
      <c r="Y11" s="1736"/>
      <c r="Z11" s="1736"/>
      <c r="AA11" s="1736"/>
      <c r="AB11" s="1736"/>
      <c r="AC11" s="1736"/>
      <c r="AD11" s="1736"/>
      <c r="AE11" s="1736"/>
      <c r="AF11" s="1736"/>
      <c r="AG11" s="1736"/>
      <c r="AH11" s="1736"/>
      <c r="AI11" s="1736"/>
      <c r="AJ11" s="1736"/>
      <c r="AK11" s="1736"/>
      <c r="AL11" s="1736"/>
      <c r="AM11" s="1736"/>
      <c r="AN11" s="1736"/>
    </row>
    <row r="12" spans="1:40" s="888" customFormat="1" ht="26.25" customHeight="1" x14ac:dyDescent="0.45">
      <c r="B12" s="1036" t="s">
        <v>1279</v>
      </c>
      <c r="C12" s="1037" t="s">
        <v>1191</v>
      </c>
      <c r="D12" s="1038" t="s">
        <v>1217</v>
      </c>
      <c r="E12" s="1038" t="s">
        <v>1247</v>
      </c>
      <c r="F12" s="1038" t="s">
        <v>1361</v>
      </c>
      <c r="G12" s="1039" t="s">
        <v>1362</v>
      </c>
      <c r="H12" s="1040" t="s">
        <v>872</v>
      </c>
      <c r="I12" s="1041" t="s">
        <v>321</v>
      </c>
      <c r="J12" s="1157"/>
      <c r="K12" s="1328"/>
      <c r="L12" s="1316">
        <v>2147711.61577533</v>
      </c>
      <c r="M12" s="1316">
        <f>86.7152935652773*GWP_CH4</f>
        <v>2167.8823391319329</v>
      </c>
      <c r="N12" s="1316">
        <f>85.1242082740079*GWP_N2O</f>
        <v>25367.014065654355</v>
      </c>
      <c r="O12" s="1313"/>
      <c r="P12" s="1317">
        <f>SUM(L12:N12)</f>
        <v>2175246.5121801165</v>
      </c>
      <c r="Q12" s="1736"/>
      <c r="R12" s="1736"/>
      <c r="S12" s="1736"/>
      <c r="T12" s="1736"/>
      <c r="U12" s="1736"/>
      <c r="V12" s="1736"/>
      <c r="W12" s="1736"/>
      <c r="X12" s="1736"/>
      <c r="Y12" s="1736"/>
      <c r="Z12" s="1736"/>
      <c r="AA12" s="1736"/>
      <c r="AB12" s="1736"/>
      <c r="AC12" s="1736"/>
      <c r="AD12" s="1736"/>
      <c r="AE12" s="1736"/>
      <c r="AF12" s="1736"/>
      <c r="AG12" s="1736"/>
      <c r="AH12" s="1736"/>
      <c r="AI12" s="1736"/>
      <c r="AJ12" s="1736"/>
      <c r="AK12" s="1736"/>
      <c r="AL12" s="1736"/>
      <c r="AM12" s="1736"/>
      <c r="AN12" s="1736"/>
    </row>
    <row r="13" spans="1:40" s="888" customFormat="1" ht="26.25" x14ac:dyDescent="0.45">
      <c r="B13" s="1043" t="s">
        <v>1279</v>
      </c>
      <c r="C13" s="1044" t="s">
        <v>1191</v>
      </c>
      <c r="D13" s="1045" t="s">
        <v>1217</v>
      </c>
      <c r="E13" s="1045" t="s">
        <v>1247</v>
      </c>
      <c r="F13" s="1045" t="s">
        <v>1361</v>
      </c>
      <c r="G13" s="1046" t="s">
        <v>1362</v>
      </c>
      <c r="H13" s="1047" t="s">
        <v>604</v>
      </c>
      <c r="I13" s="1048" t="s">
        <v>321</v>
      </c>
      <c r="J13" s="1158"/>
      <c r="K13" s="1329"/>
      <c r="L13" s="1318">
        <v>1395787.0934970535</v>
      </c>
      <c r="M13" s="2119">
        <f>48.3997850369548*GWP_CH4</f>
        <v>1209.99462592387</v>
      </c>
      <c r="N13" s="2119">
        <f>47.5111848206535*GWP_N2O</f>
        <v>14158.333076554742</v>
      </c>
      <c r="O13" s="1314"/>
      <c r="P13" s="1319">
        <f t="shared" ref="P13:P24" si="0">SUM(L13:N13)</f>
        <v>1411155.4211995322</v>
      </c>
      <c r="Q13" s="1736"/>
      <c r="R13" s="1736"/>
      <c r="S13" s="1736"/>
      <c r="T13" s="1736"/>
      <c r="U13" s="1737"/>
      <c r="V13" s="1737"/>
      <c r="W13" s="1737"/>
      <c r="X13" s="1737"/>
      <c r="Y13" s="1736"/>
      <c r="Z13" s="1736"/>
      <c r="AA13" s="1736"/>
      <c r="AB13" s="1736"/>
      <c r="AC13" s="1736"/>
      <c r="AD13" s="1736"/>
      <c r="AE13" s="1736"/>
      <c r="AF13" s="1736"/>
      <c r="AG13" s="1736"/>
      <c r="AH13" s="1736"/>
      <c r="AI13" s="1736"/>
      <c r="AJ13" s="1736"/>
      <c r="AK13" s="1736"/>
      <c r="AL13" s="1736"/>
      <c r="AM13" s="1736"/>
      <c r="AN13" s="1736"/>
    </row>
    <row r="14" spans="1:40" s="888" customFormat="1" ht="26.25" x14ac:dyDescent="0.45">
      <c r="B14" s="1051" t="s">
        <v>1279</v>
      </c>
      <c r="C14" s="1052" t="s">
        <v>1191</v>
      </c>
      <c r="D14" s="1053" t="s">
        <v>1217</v>
      </c>
      <c r="E14" s="1053" t="s">
        <v>1247</v>
      </c>
      <c r="F14" s="1053" t="s">
        <v>1361</v>
      </c>
      <c r="G14" s="1054" t="s">
        <v>1362</v>
      </c>
      <c r="H14" s="1055" t="s">
        <v>16</v>
      </c>
      <c r="I14" s="1056" t="s">
        <v>272</v>
      </c>
      <c r="J14" s="1228"/>
      <c r="K14" s="2101">
        <v>8217674.4512590161</v>
      </c>
      <c r="L14" s="1324">
        <f>K14*EF_CO2_ElectGen_DCI*ConFact_0.001</f>
        <v>1898.6115052188832</v>
      </c>
      <c r="M14" s="2120">
        <f>K14*(EF_CH4_ElectGen_DCI+EF_CH4_ElectTDL_DCI)*ConFact_0.001</f>
        <v>6.4097860719820341</v>
      </c>
      <c r="N14" s="2120">
        <f>K14*(EF_N2O_ElectGen_DCI+EF_N2O_ElectTDL_DCI)*ConFact_0.001</f>
        <v>12.326511676888524</v>
      </c>
      <c r="O14" s="1314"/>
      <c r="P14" s="1320">
        <f t="shared" si="0"/>
        <v>1917.3478029677538</v>
      </c>
      <c r="Q14" s="1757"/>
      <c r="R14" s="1736"/>
      <c r="S14" s="1736"/>
      <c r="T14" s="1736"/>
      <c r="U14" s="1737"/>
      <c r="V14" s="1737"/>
      <c r="W14" s="1737"/>
      <c r="X14" s="1737"/>
      <c r="Y14" s="1736"/>
      <c r="Z14" s="1736"/>
      <c r="AA14" s="1736"/>
      <c r="AB14" s="1736"/>
      <c r="AC14" s="1736"/>
      <c r="AD14" s="1736"/>
      <c r="AE14" s="1736"/>
      <c r="AF14" s="1736"/>
      <c r="AG14" s="1736"/>
      <c r="AH14" s="1736"/>
      <c r="AI14" s="1736"/>
      <c r="AJ14" s="1736"/>
      <c r="AK14" s="1736"/>
      <c r="AL14" s="1736"/>
      <c r="AM14" s="1736"/>
      <c r="AN14" s="1736"/>
    </row>
    <row r="15" spans="1:40" s="888" customFormat="1" ht="26.25" x14ac:dyDescent="0.45">
      <c r="B15" s="1043" t="s">
        <v>1279</v>
      </c>
      <c r="C15" s="1046" t="s">
        <v>1191</v>
      </c>
      <c r="D15" s="1045" t="s">
        <v>1217</v>
      </c>
      <c r="E15" s="1045" t="s">
        <v>1247</v>
      </c>
      <c r="F15" s="1045" t="s">
        <v>1363</v>
      </c>
      <c r="G15" s="1046" t="s">
        <v>1364</v>
      </c>
      <c r="H15" s="1047" t="s">
        <v>872</v>
      </c>
      <c r="I15" s="1048" t="s">
        <v>321</v>
      </c>
      <c r="J15" s="1158"/>
      <c r="K15" s="1329"/>
      <c r="L15" s="1321">
        <v>14116.937379874849</v>
      </c>
      <c r="M15" s="1321">
        <f>0.417708218442715*GWP_CH4</f>
        <v>10.442705461067876</v>
      </c>
      <c r="N15" s="2119">
        <f>0.410246894256284*GWP_N2O</f>
        <v>122.25357448837264</v>
      </c>
      <c r="O15" s="1322"/>
      <c r="P15" s="1323">
        <f t="shared" si="0"/>
        <v>14249.633659824291</v>
      </c>
      <c r="Q15" s="1736"/>
      <c r="R15" s="1736"/>
      <c r="S15" s="1736"/>
      <c r="T15" s="1736"/>
      <c r="U15" s="1207"/>
      <c r="V15" s="1207"/>
      <c r="W15" s="1207"/>
      <c r="X15" s="1737"/>
      <c r="Y15" s="2040"/>
      <c r="Z15" s="1736"/>
      <c r="AA15" s="1736"/>
      <c r="AB15" s="1736"/>
      <c r="AC15" s="1736"/>
      <c r="AD15" s="1736"/>
      <c r="AE15" s="1736"/>
      <c r="AF15" s="1736"/>
      <c r="AG15" s="1736"/>
      <c r="AH15" s="1736"/>
      <c r="AI15" s="1736"/>
      <c r="AJ15" s="1736"/>
      <c r="AK15" s="1736"/>
      <c r="AL15" s="1736"/>
      <c r="AM15" s="1736"/>
      <c r="AN15" s="1736"/>
    </row>
    <row r="16" spans="1:40" s="888" customFormat="1" ht="26.25" x14ac:dyDescent="0.45">
      <c r="B16" s="1043" t="s">
        <v>1279</v>
      </c>
      <c r="C16" s="1044" t="s">
        <v>1191</v>
      </c>
      <c r="D16" s="1045" t="s">
        <v>1217</v>
      </c>
      <c r="E16" s="1045" t="s">
        <v>1247</v>
      </c>
      <c r="F16" s="1045" t="s">
        <v>1363</v>
      </c>
      <c r="G16" s="1046" t="s">
        <v>1364</v>
      </c>
      <c r="H16" s="1047" t="s">
        <v>604</v>
      </c>
      <c r="I16" s="1048" t="s">
        <v>321</v>
      </c>
      <c r="J16" s="1158"/>
      <c r="K16" s="1329"/>
      <c r="L16" s="1321">
        <v>643477.68217466271</v>
      </c>
      <c r="M16" s="1321">
        <f>25.4761728752519*GWP_CH4</f>
        <v>636.90432188129751</v>
      </c>
      <c r="N16" s="2119">
        <f>25.0358610154019*GWP_N2O</f>
        <v>7460.6865825897657</v>
      </c>
      <c r="O16" s="1322"/>
      <c r="P16" s="1323">
        <f t="shared" si="0"/>
        <v>651575.27307913371</v>
      </c>
      <c r="Q16" s="1736"/>
      <c r="R16" s="1736"/>
      <c r="S16" s="1736"/>
      <c r="T16" s="1736"/>
      <c r="U16" s="1737"/>
      <c r="V16" s="1737"/>
      <c r="W16" s="1737"/>
      <c r="X16" s="1737"/>
      <c r="Y16" s="1736"/>
      <c r="Z16" s="1736"/>
      <c r="AA16" s="1736"/>
      <c r="AB16" s="1736"/>
      <c r="AC16" s="1736"/>
      <c r="AD16" s="1736"/>
      <c r="AE16" s="1736"/>
      <c r="AF16" s="1736"/>
      <c r="AG16" s="1736"/>
      <c r="AH16" s="1736"/>
      <c r="AI16" s="1736"/>
      <c r="AJ16" s="1736"/>
      <c r="AK16" s="1736"/>
      <c r="AL16" s="1736"/>
      <c r="AM16" s="1736"/>
      <c r="AN16" s="1736"/>
    </row>
    <row r="17" spans="2:40" s="888" customFormat="1" ht="26.25" x14ac:dyDescent="0.45">
      <c r="B17" s="1051" t="s">
        <v>1279</v>
      </c>
      <c r="C17" s="1052" t="s">
        <v>1191</v>
      </c>
      <c r="D17" s="1053" t="s">
        <v>1217</v>
      </c>
      <c r="E17" s="1053" t="s">
        <v>1247</v>
      </c>
      <c r="F17" s="1053" t="s">
        <v>1363</v>
      </c>
      <c r="G17" s="1054" t="s">
        <v>1364</v>
      </c>
      <c r="H17" s="1055" t="s">
        <v>16</v>
      </c>
      <c r="I17" s="1056" t="s">
        <v>272</v>
      </c>
      <c r="J17" s="1228"/>
      <c r="K17" s="2101">
        <v>13106708.292558847</v>
      </c>
      <c r="L17" s="1324">
        <f>K17*EF_CO2_ElectGen_DCI*ConFact_0.001</f>
        <v>3028.1738839127961</v>
      </c>
      <c r="M17" s="1324">
        <f>K17*(EF_CH4_ElectGen_DCI+EF_CH4_ElectTDL_DCI)*ConFact_0.001</f>
        <v>10.223232468195901</v>
      </c>
      <c r="N17" s="2120">
        <f>K17*(EF_N2O_ElectGen_DCI+EF_N2O_ElectTDL_DCI)*ConFact_0.001</f>
        <v>19.660062438838271</v>
      </c>
      <c r="O17" s="1322"/>
      <c r="P17" s="1325">
        <f t="shared" si="0"/>
        <v>3058.0571788198304</v>
      </c>
      <c r="Q17" s="1736"/>
      <c r="R17" s="1736"/>
      <c r="S17" s="1736"/>
      <c r="T17" s="1736"/>
      <c r="U17" s="1737"/>
      <c r="V17" s="1737"/>
      <c r="W17" s="1737"/>
      <c r="X17" s="1737"/>
      <c r="Y17" s="1736"/>
      <c r="Z17" s="1736"/>
      <c r="AA17" s="1736"/>
      <c r="AB17" s="1736"/>
      <c r="AC17" s="1736"/>
      <c r="AD17" s="1736"/>
      <c r="AE17" s="1736"/>
      <c r="AF17" s="1736"/>
      <c r="AG17" s="1736"/>
      <c r="AH17" s="1736"/>
      <c r="AI17" s="1736"/>
      <c r="AJ17" s="1736"/>
      <c r="AK17" s="1736"/>
      <c r="AL17" s="1736"/>
      <c r="AM17" s="1736"/>
      <c r="AN17" s="1736"/>
    </row>
    <row r="18" spans="2:40" s="888" customFormat="1" ht="26.25" x14ac:dyDescent="0.45">
      <c r="B18" s="1043" t="s">
        <v>1279</v>
      </c>
      <c r="C18" s="1044" t="s">
        <v>1191</v>
      </c>
      <c r="D18" s="1045" t="s">
        <v>1217</v>
      </c>
      <c r="E18" s="1045" t="s">
        <v>1247</v>
      </c>
      <c r="F18" s="1045" t="s">
        <v>1365</v>
      </c>
      <c r="G18" s="1046" t="s">
        <v>1668</v>
      </c>
      <c r="H18" s="1047" t="s">
        <v>604</v>
      </c>
      <c r="I18" s="1048" t="s">
        <v>321</v>
      </c>
      <c r="J18" s="1158"/>
      <c r="K18" s="1329"/>
      <c r="L18" s="1321">
        <v>567470.83791683521</v>
      </c>
      <c r="M18" s="1321">
        <f>20.6385861055983*GWP_CH4</f>
        <v>515.96465263995754</v>
      </c>
      <c r="N18" s="2119">
        <f>20.3967307842224*GWP_N2O</f>
        <v>6078.2257736982747</v>
      </c>
      <c r="O18" s="1322"/>
      <c r="P18" s="1323">
        <f t="shared" si="0"/>
        <v>574065.02834317344</v>
      </c>
      <c r="Q18" s="1736"/>
      <c r="R18" s="1736"/>
      <c r="S18" s="1736"/>
      <c r="T18" s="1736"/>
      <c r="U18" s="1737"/>
      <c r="V18" s="1737"/>
      <c r="W18" s="1737"/>
      <c r="X18" s="1737"/>
      <c r="Y18" s="1736"/>
      <c r="Z18" s="1736"/>
      <c r="AA18" s="1736"/>
      <c r="AB18" s="1736"/>
      <c r="AC18" s="1736"/>
      <c r="AD18" s="1736"/>
      <c r="AE18" s="1736"/>
      <c r="AF18" s="1736"/>
      <c r="AG18" s="1736"/>
      <c r="AH18" s="1736"/>
      <c r="AI18" s="1736"/>
      <c r="AJ18" s="1736"/>
      <c r="AK18" s="1736"/>
      <c r="AL18" s="1736"/>
      <c r="AM18" s="1736"/>
      <c r="AN18" s="1736"/>
    </row>
    <row r="19" spans="2:40" s="888" customFormat="1" ht="26.25" x14ac:dyDescent="0.45">
      <c r="B19" s="1043" t="s">
        <v>1279</v>
      </c>
      <c r="C19" s="1044" t="s">
        <v>1191</v>
      </c>
      <c r="D19" s="1045" t="s">
        <v>1217</v>
      </c>
      <c r="E19" s="1045" t="s">
        <v>1247</v>
      </c>
      <c r="F19" s="1045" t="s">
        <v>1365</v>
      </c>
      <c r="G19" s="1046" t="s">
        <v>1669</v>
      </c>
      <c r="H19" s="1047" t="s">
        <v>604</v>
      </c>
      <c r="I19" s="1048" t="s">
        <v>321</v>
      </c>
      <c r="J19" s="1158"/>
      <c r="K19" s="1329"/>
      <c r="L19" s="1321">
        <v>296842.57025278214</v>
      </c>
      <c r="M19" s="1321">
        <f>8.97323693841431*GWP_CH4</f>
        <v>224.33092346035775</v>
      </c>
      <c r="N19" s="2119">
        <f>8.8640798648969*GWP_N2O</f>
        <v>2641.4957997392758</v>
      </c>
      <c r="O19" s="1322"/>
      <c r="P19" s="1323">
        <f t="shared" si="0"/>
        <v>299708.39697598177</v>
      </c>
      <c r="Q19" s="1736"/>
      <c r="R19" s="1736"/>
      <c r="S19" s="1736"/>
      <c r="T19" s="1736"/>
      <c r="U19" s="1737"/>
      <c r="V19" s="1737"/>
      <c r="W19" s="1737"/>
      <c r="X19" s="1737"/>
      <c r="Y19" s="1736"/>
      <c r="Z19" s="1736"/>
      <c r="AA19" s="1736"/>
      <c r="AB19" s="1736"/>
      <c r="AC19" s="1736"/>
      <c r="AD19" s="1736"/>
      <c r="AE19" s="1736"/>
      <c r="AF19" s="1736"/>
      <c r="AG19" s="1736"/>
      <c r="AH19" s="1736"/>
      <c r="AI19" s="1736"/>
      <c r="AJ19" s="1736"/>
      <c r="AK19" s="1736"/>
      <c r="AL19" s="1736"/>
      <c r="AM19" s="1736"/>
      <c r="AN19" s="1736"/>
    </row>
    <row r="20" spans="2:40" s="888" customFormat="1" ht="26.25" x14ac:dyDescent="0.45">
      <c r="B20" s="1043" t="s">
        <v>1279</v>
      </c>
      <c r="C20" s="1044" t="s">
        <v>1191</v>
      </c>
      <c r="D20" s="1045" t="s">
        <v>1217</v>
      </c>
      <c r="E20" s="1045" t="s">
        <v>1247</v>
      </c>
      <c r="F20" s="1045" t="s">
        <v>1365</v>
      </c>
      <c r="G20" s="1046" t="s">
        <v>1671</v>
      </c>
      <c r="H20" s="1047" t="s">
        <v>604</v>
      </c>
      <c r="I20" s="1048" t="s">
        <v>321</v>
      </c>
      <c r="J20" s="1158"/>
      <c r="K20" s="1329"/>
      <c r="L20" s="1321">
        <v>184562.79783393879</v>
      </c>
      <c r="M20" s="1321">
        <f>6.30958481899114*GWP_CH4</f>
        <v>157.73962047477849</v>
      </c>
      <c r="N20" s="2119">
        <f>6.17712807738638*GWP_N2O</f>
        <v>1840.7841670611413</v>
      </c>
      <c r="O20" s="1322"/>
      <c r="P20" s="1323">
        <f t="shared" si="0"/>
        <v>186561.32162147472</v>
      </c>
      <c r="Q20" s="1736"/>
      <c r="R20" s="1736"/>
      <c r="S20" s="1736"/>
      <c r="T20" s="1736"/>
      <c r="U20" s="1737"/>
      <c r="V20" s="1737"/>
      <c r="W20" s="1737"/>
      <c r="X20" s="1737"/>
      <c r="Y20" s="1736"/>
      <c r="Z20" s="1736"/>
      <c r="AA20" s="1736"/>
      <c r="AB20" s="1736"/>
      <c r="AC20" s="1736"/>
      <c r="AD20" s="1736"/>
      <c r="AE20" s="1736"/>
      <c r="AF20" s="1736"/>
      <c r="AG20" s="1736"/>
      <c r="AH20" s="1736"/>
      <c r="AI20" s="1736"/>
      <c r="AJ20" s="1736"/>
      <c r="AK20" s="1736"/>
      <c r="AL20" s="1736"/>
      <c r="AM20" s="1736"/>
      <c r="AN20" s="1736"/>
    </row>
    <row r="21" spans="2:40" s="888" customFormat="1" ht="26.25" x14ac:dyDescent="0.45">
      <c r="B21" s="1059" t="s">
        <v>1279</v>
      </c>
      <c r="C21" s="1060" t="s">
        <v>1191</v>
      </c>
      <c r="D21" s="1061" t="s">
        <v>1217</v>
      </c>
      <c r="E21" s="1061" t="s">
        <v>1247</v>
      </c>
      <c r="F21" s="1061" t="s">
        <v>1365</v>
      </c>
      <c r="G21" s="1060" t="s">
        <v>1670</v>
      </c>
      <c r="H21" s="1062" t="s">
        <v>604</v>
      </c>
      <c r="I21" s="1048" t="s">
        <v>321</v>
      </c>
      <c r="J21" s="1158"/>
      <c r="K21" s="1329"/>
      <c r="L21" s="1321">
        <v>573747.8020939139</v>
      </c>
      <c r="M21" s="1321">
        <f>24.1491849058635*GWP_CH4</f>
        <v>603.72962264658747</v>
      </c>
      <c r="N21" s="2119">
        <f>23.8829581972501*GWP_N2O</f>
        <v>7117.12154278053</v>
      </c>
      <c r="O21" s="1322"/>
      <c r="P21" s="1323">
        <f t="shared" si="0"/>
        <v>581468.65325934102</v>
      </c>
      <c r="Q21" s="1736"/>
      <c r="R21" s="1736"/>
      <c r="S21" s="1736"/>
      <c r="T21" s="1736"/>
      <c r="U21" s="1737"/>
      <c r="V21" s="1737"/>
      <c r="W21" s="1737"/>
      <c r="X21" s="1737"/>
      <c r="Y21" s="1736"/>
      <c r="Z21" s="1736"/>
      <c r="AA21" s="1736"/>
      <c r="AB21" s="1736"/>
      <c r="AC21" s="1736"/>
      <c r="AD21" s="1736"/>
      <c r="AE21" s="1736"/>
      <c r="AF21" s="1736"/>
      <c r="AG21" s="1736"/>
      <c r="AH21" s="1736"/>
      <c r="AI21" s="1736"/>
      <c r="AJ21" s="1736"/>
      <c r="AK21" s="1736"/>
      <c r="AL21" s="1736"/>
      <c r="AM21" s="1736"/>
      <c r="AN21" s="1736"/>
    </row>
    <row r="22" spans="2:40" s="888" customFormat="1" ht="26.25" x14ac:dyDescent="0.45">
      <c r="B22" s="1043" t="s">
        <v>1279</v>
      </c>
      <c r="C22" s="1044" t="s">
        <v>1191</v>
      </c>
      <c r="D22" s="1045" t="s">
        <v>1217</v>
      </c>
      <c r="E22" s="1045" t="s">
        <v>1247</v>
      </c>
      <c r="F22" s="1045" t="s">
        <v>1366</v>
      </c>
      <c r="G22" s="1063" t="s">
        <v>1367</v>
      </c>
      <c r="H22" s="1047" t="s">
        <v>872</v>
      </c>
      <c r="I22" s="1048" t="s">
        <v>321</v>
      </c>
      <c r="J22" s="1158"/>
      <c r="K22" s="1329"/>
      <c r="L22" s="1321">
        <v>68104.010734728668</v>
      </c>
      <c r="M22" s="1321">
        <f>2.89989474074906*GWP_CH4</f>
        <v>72.497368518726503</v>
      </c>
      <c r="N22" s="2119">
        <f>2.83796332788053*GWP_N2O</f>
        <v>845.71307170839793</v>
      </c>
      <c r="O22" s="1322"/>
      <c r="P22" s="1323">
        <f t="shared" si="0"/>
        <v>69022.22117495579</v>
      </c>
      <c r="Q22" s="1736"/>
      <c r="R22" s="1736"/>
      <c r="S22" s="1736"/>
      <c r="T22" s="1736"/>
      <c r="U22" s="1737"/>
      <c r="V22" s="1737"/>
      <c r="W22" s="1737"/>
      <c r="X22" s="1737"/>
      <c r="Y22" s="1736"/>
      <c r="Z22" s="1736"/>
      <c r="AA22" s="1736"/>
      <c r="AB22" s="1736"/>
      <c r="AC22" s="1736"/>
      <c r="AD22" s="1736"/>
      <c r="AE22" s="1736"/>
      <c r="AF22" s="1736"/>
      <c r="AG22" s="1736"/>
      <c r="AH22" s="1736"/>
      <c r="AI22" s="1736"/>
      <c r="AJ22" s="1736"/>
      <c r="AK22" s="1736"/>
      <c r="AL22" s="1736"/>
      <c r="AM22" s="1736"/>
      <c r="AN22" s="1736"/>
    </row>
    <row r="23" spans="2:40" s="888" customFormat="1" ht="26.25" x14ac:dyDescent="0.45">
      <c r="B23" s="1043" t="s">
        <v>1279</v>
      </c>
      <c r="C23" s="1044" t="s">
        <v>1191</v>
      </c>
      <c r="D23" s="1045" t="s">
        <v>1217</v>
      </c>
      <c r="E23" s="1045" t="s">
        <v>1247</v>
      </c>
      <c r="F23" s="1045" t="s">
        <v>1368</v>
      </c>
      <c r="G23" s="1063" t="s">
        <v>1661</v>
      </c>
      <c r="H23" s="1047" t="s">
        <v>604</v>
      </c>
      <c r="I23" s="1048" t="s">
        <v>321</v>
      </c>
      <c r="J23" s="1158"/>
      <c r="K23" s="1329"/>
      <c r="L23" s="1321">
        <v>254010.59148181736</v>
      </c>
      <c r="M23" s="1321">
        <f>10.746386694457*GWP_CH4</f>
        <v>268.65966736142497</v>
      </c>
      <c r="N23" s="2119">
        <f>10.5861637440441*GWP_N2O</f>
        <v>3154.6767957251418</v>
      </c>
      <c r="O23" s="1322"/>
      <c r="P23" s="1323">
        <f t="shared" si="0"/>
        <v>257433.9279449039</v>
      </c>
      <c r="Q23" s="1736"/>
      <c r="R23" s="1736"/>
      <c r="S23" s="1736"/>
      <c r="T23" s="1736"/>
      <c r="U23" s="1737"/>
      <c r="V23" s="1737"/>
      <c r="W23" s="1737"/>
      <c r="X23" s="1737"/>
      <c r="Y23" s="1736"/>
      <c r="Z23" s="1736"/>
      <c r="AA23" s="1736"/>
      <c r="AB23" s="1736"/>
      <c r="AC23" s="1736"/>
      <c r="AD23" s="1736"/>
      <c r="AE23" s="1736"/>
      <c r="AF23" s="1736"/>
      <c r="AG23" s="1736"/>
      <c r="AH23" s="1736"/>
      <c r="AI23" s="1736"/>
      <c r="AJ23" s="1736"/>
      <c r="AK23" s="1736"/>
      <c r="AL23" s="1736"/>
      <c r="AM23" s="1736"/>
      <c r="AN23" s="1736"/>
    </row>
    <row r="24" spans="2:40" s="888" customFormat="1" ht="26.65" thickBot="1" x14ac:dyDescent="0.5">
      <c r="B24" s="1064" t="s">
        <v>1279</v>
      </c>
      <c r="C24" s="1065" t="s">
        <v>1191</v>
      </c>
      <c r="D24" s="1066" t="s">
        <v>1217</v>
      </c>
      <c r="E24" s="1066" t="s">
        <v>1247</v>
      </c>
      <c r="F24" s="1066" t="s">
        <v>1368</v>
      </c>
      <c r="G24" s="1067" t="s">
        <v>1661</v>
      </c>
      <c r="H24" s="1068" t="s">
        <v>16</v>
      </c>
      <c r="I24" s="1069" t="s">
        <v>272</v>
      </c>
      <c r="J24" s="1229"/>
      <c r="K24" s="2102">
        <v>1653490.27585903</v>
      </c>
      <c r="L24" s="1326">
        <f>K24*EF_CO2_ElectGen_DCI*ConFact_0.001</f>
        <v>382.02239333447028</v>
      </c>
      <c r="M24" s="1326">
        <f>K24*(EF_CH4_ElectGen_DCI+EF_CH4_ElectTDL_DCI)*ConFact_0.001</f>
        <v>1.2897224151700437</v>
      </c>
      <c r="N24" s="2121">
        <f>K24*(EF_N2O_ElectGen_DCI+EF_N2O_ElectTDL_DCI)*ConFact_0.001</f>
        <v>2.4802354137885452</v>
      </c>
      <c r="O24" s="1315"/>
      <c r="P24" s="1327">
        <f t="shared" si="0"/>
        <v>385.79235116342886</v>
      </c>
      <c r="Q24" s="1747"/>
      <c r="R24" s="1736"/>
      <c r="S24" s="1736"/>
      <c r="T24" s="1736"/>
      <c r="U24" s="1737"/>
      <c r="V24" s="1737"/>
      <c r="W24" s="1737"/>
      <c r="X24" s="1737"/>
      <c r="Y24" s="1736"/>
      <c r="Z24" s="1736"/>
      <c r="AA24" s="1736"/>
      <c r="AB24" s="1736"/>
      <c r="AC24" s="1736"/>
      <c r="AD24" s="1736"/>
      <c r="AE24" s="1736"/>
      <c r="AF24" s="1736"/>
      <c r="AG24" s="1736"/>
      <c r="AH24" s="1736"/>
      <c r="AI24" s="1736"/>
      <c r="AJ24" s="1736"/>
      <c r="AK24" s="1736"/>
      <c r="AL24" s="1736"/>
      <c r="AM24" s="1736"/>
      <c r="AN24" s="1736"/>
    </row>
    <row r="25" spans="2:40" s="888" customFormat="1" x14ac:dyDescent="0.45">
      <c r="B25" s="1789"/>
      <c r="C25" s="1789"/>
      <c r="D25" s="1789"/>
      <c r="E25" s="1789"/>
      <c r="F25" s="1789"/>
      <c r="G25" s="1789"/>
      <c r="H25" s="1789"/>
      <c r="I25" s="1789"/>
      <c r="J25" s="1789"/>
      <c r="K25" s="1789"/>
      <c r="L25" s="1793"/>
      <c r="M25" s="1790"/>
      <c r="N25" s="1791"/>
      <c r="O25" s="1737"/>
      <c r="P25" s="1792"/>
      <c r="Q25" s="1736"/>
      <c r="R25" s="1736"/>
      <c r="S25" s="1736"/>
      <c r="T25" s="1736"/>
      <c r="U25" s="1737"/>
      <c r="V25" s="1737"/>
      <c r="W25" s="1737"/>
      <c r="X25" s="1737"/>
      <c r="Y25" s="1736"/>
      <c r="Z25" s="1736"/>
      <c r="AA25" s="1736"/>
      <c r="AB25" s="1736"/>
      <c r="AC25" s="1736"/>
      <c r="AD25" s="1736"/>
      <c r="AE25" s="1736"/>
      <c r="AF25" s="1736"/>
      <c r="AG25" s="1736"/>
      <c r="AH25" s="1736"/>
      <c r="AI25" s="1736"/>
      <c r="AJ25" s="1736"/>
      <c r="AK25" s="1736"/>
      <c r="AL25" s="1736"/>
      <c r="AM25" s="1736"/>
      <c r="AN25" s="1736"/>
    </row>
    <row r="26" spans="2:40" s="888" customFormat="1" x14ac:dyDescent="0.45">
      <c r="B26" s="1789"/>
      <c r="C26" s="1789"/>
      <c r="D26" s="1789"/>
      <c r="E26" s="1789"/>
      <c r="F26" s="1789"/>
      <c r="G26" s="1789"/>
      <c r="H26" s="1789"/>
      <c r="I26" s="1789"/>
      <c r="J26" s="1789"/>
      <c r="K26" s="1789"/>
      <c r="L26" s="1793"/>
      <c r="M26" s="1795"/>
      <c r="N26" s="1795"/>
      <c r="O26" s="1795"/>
      <c r="P26" s="1795"/>
      <c r="Q26" s="1736"/>
      <c r="R26" s="1736"/>
      <c r="S26" s="1736"/>
      <c r="T26" s="1736"/>
      <c r="U26" s="1736"/>
      <c r="V26" s="1736"/>
      <c r="W26" s="1736"/>
      <c r="X26" s="1736"/>
      <c r="Y26" s="1736"/>
      <c r="Z26" s="1736"/>
      <c r="AA26" s="1736"/>
      <c r="AB26" s="1736"/>
      <c r="AC26" s="1736"/>
      <c r="AD26" s="1736"/>
      <c r="AE26" s="1736"/>
      <c r="AF26" s="1736"/>
      <c r="AG26" s="1736"/>
      <c r="AH26" s="1736"/>
      <c r="AI26" s="1736"/>
      <c r="AJ26" s="1736"/>
      <c r="AK26" s="1736"/>
      <c r="AL26" s="1736"/>
      <c r="AM26" s="1736"/>
      <c r="AN26" s="1736"/>
    </row>
    <row r="27" spans="2:40" s="888" customFormat="1" ht="14.65" thickBot="1" x14ac:dyDescent="0.5">
      <c r="B27" s="1796"/>
      <c r="C27" s="1789"/>
      <c r="D27" s="1789"/>
      <c r="E27" s="1789"/>
      <c r="F27" s="1789"/>
      <c r="G27" s="1789"/>
      <c r="H27" s="1789"/>
      <c r="I27" s="1789"/>
      <c r="J27" s="1789"/>
      <c r="K27" s="1789"/>
      <c r="L27" s="1789"/>
      <c r="M27" s="1794"/>
      <c r="N27" s="1747"/>
      <c r="O27" s="1747"/>
      <c r="P27" s="1747"/>
      <c r="Q27" s="1736"/>
      <c r="R27" s="1736"/>
      <c r="S27" s="1736"/>
      <c r="T27" s="1736"/>
    </row>
    <row r="28" spans="2:40" s="888" customFormat="1" ht="15" thickBot="1" x14ac:dyDescent="0.55000000000000004">
      <c r="B28" s="251" t="s">
        <v>1384</v>
      </c>
      <c r="C28" s="253"/>
      <c r="D28" s="262"/>
      <c r="E28" s="245"/>
      <c r="F28" s="245"/>
      <c r="G28" s="245"/>
      <c r="H28" s="245"/>
      <c r="I28" s="246"/>
      <c r="J28" s="245"/>
      <c r="K28" s="245"/>
      <c r="L28" s="252"/>
      <c r="M28" s="248" t="s">
        <v>881</v>
      </c>
      <c r="N28" s="252"/>
      <c r="O28" s="252"/>
      <c r="P28" s="253"/>
      <c r="Q28" s="1736"/>
      <c r="R28" s="1736"/>
      <c r="S28" s="1736"/>
      <c r="T28" s="1736"/>
    </row>
    <row r="29" spans="2:40" s="888" customFormat="1" ht="40.15" thickBot="1" x14ac:dyDescent="0.5">
      <c r="B29" s="678" t="s">
        <v>1271</v>
      </c>
      <c r="C29" s="617" t="s">
        <v>1270</v>
      </c>
      <c r="D29" s="268" t="s">
        <v>521</v>
      </c>
      <c r="E29" s="618" t="s">
        <v>522</v>
      </c>
      <c r="F29" s="618" t="s">
        <v>1280</v>
      </c>
      <c r="G29" s="618" t="s">
        <v>1278</v>
      </c>
      <c r="H29" s="618" t="s">
        <v>1268</v>
      </c>
      <c r="I29" s="268" t="s">
        <v>574</v>
      </c>
      <c r="J29" s="618" t="s">
        <v>584</v>
      </c>
      <c r="K29" s="269" t="s">
        <v>804</v>
      </c>
      <c r="L29" s="260" t="s">
        <v>798</v>
      </c>
      <c r="M29" s="260" t="s">
        <v>799</v>
      </c>
      <c r="N29" s="260" t="s">
        <v>800</v>
      </c>
      <c r="O29" s="260" t="s">
        <v>801</v>
      </c>
      <c r="P29" s="261" t="s">
        <v>802</v>
      </c>
      <c r="Q29" s="1736"/>
      <c r="R29" s="1736"/>
      <c r="S29" s="1736"/>
      <c r="T29" s="1736"/>
    </row>
    <row r="30" spans="2:40" s="888" customFormat="1" ht="15" customHeight="1" x14ac:dyDescent="0.45">
      <c r="B30" s="1036" t="s">
        <v>1279</v>
      </c>
      <c r="C30" s="1037" t="s">
        <v>1193</v>
      </c>
      <c r="D30" s="1038" t="s">
        <v>1133</v>
      </c>
      <c r="E30" s="1038" t="s">
        <v>1133</v>
      </c>
      <c r="F30" s="1038"/>
      <c r="G30" s="1040" t="s">
        <v>878</v>
      </c>
      <c r="H30" s="1040" t="s">
        <v>604</v>
      </c>
      <c r="I30" s="1041" t="s">
        <v>321</v>
      </c>
      <c r="J30" s="1042"/>
      <c r="K30" s="1094">
        <f>F384</f>
        <v>204328969.70183089</v>
      </c>
      <c r="L30" s="1087">
        <f>K30*EF_CO2_GasOil_RailDiesel*ConFact_0.001</f>
        <v>51815.783426687296</v>
      </c>
      <c r="M30" s="1075">
        <f>K30*EF_CH4_GasOil_RailDiesel*ConFact_0.001</f>
        <v>53.125532122476031</v>
      </c>
      <c r="N30" s="1075">
        <f>K30*EF_N2O_GasOil_RailDiesel*ConFact_0.001</f>
        <v>584.38085334723644</v>
      </c>
      <c r="O30" s="2036"/>
      <c r="P30" s="1094">
        <f>L30+M30+N30</f>
        <v>52453.289812157003</v>
      </c>
      <c r="Q30" s="1736"/>
      <c r="R30" s="1736"/>
      <c r="S30" s="1736"/>
      <c r="T30" s="1736"/>
    </row>
    <row r="31" spans="2:40" s="888" customFormat="1" ht="15" customHeight="1" x14ac:dyDescent="0.45">
      <c r="B31" s="1051" t="s">
        <v>1279</v>
      </c>
      <c r="C31" s="1052" t="s">
        <v>1193</v>
      </c>
      <c r="D31" s="1053" t="s">
        <v>1133</v>
      </c>
      <c r="E31" s="1053" t="s">
        <v>1133</v>
      </c>
      <c r="F31" s="1053"/>
      <c r="G31" s="1055" t="s">
        <v>878</v>
      </c>
      <c r="H31" s="1071" t="s">
        <v>16</v>
      </c>
      <c r="I31" s="1056" t="s">
        <v>272</v>
      </c>
      <c r="J31" s="1057"/>
      <c r="K31" s="1330">
        <f>H384</f>
        <v>747030807.02724516</v>
      </c>
      <c r="L31" s="1331">
        <f>K31*(EF_CO2_ElectGen_DCI+EF_CO2_ElectTDL_DCI)*ConFact_0.001</f>
        <v>187437.49979120606</v>
      </c>
      <c r="M31" s="1073">
        <f>K31*(EF_CH4_ElectGen_DCI+EF_CH4_ElectTDL_DCI)*ConFact_0.001</f>
        <v>582.68402948125129</v>
      </c>
      <c r="N31" s="1073">
        <f>K31*(EF_N2O_ElectGen_DCI+EF_N2O_ElectTDL_DCI)*ConFact_0.001</f>
        <v>1120.5462105408678</v>
      </c>
      <c r="O31" s="2037"/>
      <c r="P31" s="1330">
        <f t="shared" ref="P31:P37" si="1">L31+M31+N31</f>
        <v>189140.73003122819</v>
      </c>
      <c r="Q31" s="1736"/>
      <c r="R31" s="1736"/>
      <c r="S31" s="1736"/>
      <c r="T31" s="1736"/>
    </row>
    <row r="32" spans="2:40" s="888" customFormat="1" x14ac:dyDescent="0.45">
      <c r="B32" s="1051" t="s">
        <v>1279</v>
      </c>
      <c r="C32" s="1052" t="s">
        <v>1193</v>
      </c>
      <c r="D32" s="1053" t="s">
        <v>1133</v>
      </c>
      <c r="E32" s="1053" t="s">
        <v>1133</v>
      </c>
      <c r="F32" s="1053"/>
      <c r="G32" s="1055" t="s">
        <v>874</v>
      </c>
      <c r="H32" s="1071" t="s">
        <v>16</v>
      </c>
      <c r="I32" s="1056" t="s">
        <v>272</v>
      </c>
      <c r="J32" s="1057"/>
      <c r="K32" s="1330">
        <f>P384</f>
        <v>1113189892.8999999</v>
      </c>
      <c r="L32" s="1331">
        <f>K32*(EF_CO2_ElectGen_DCI+EF_CO2_ElectTDL_DCI)*ConFact_0.001</f>
        <v>279310.47602753894</v>
      </c>
      <c r="M32" s="1073">
        <f>K32*(EF_CH4_ElectGen_DCI+EF_CH4_ElectTDL_DCI)*ConFact_0.001</f>
        <v>868.28811646199995</v>
      </c>
      <c r="N32" s="1073">
        <f>K32*(EF_N2O_ElectGen_DCI+EF_N2O_ElectTDL_DCI)*ConFact_0.001</f>
        <v>1669.7848393499999</v>
      </c>
      <c r="O32" s="2037"/>
      <c r="P32" s="1330">
        <f>L32+M32+N32</f>
        <v>281848.54898335092</v>
      </c>
      <c r="Q32" s="1736"/>
      <c r="R32" s="1736"/>
      <c r="S32" s="1736"/>
      <c r="T32" s="1736"/>
    </row>
    <row r="33" spans="2:23" s="888" customFormat="1" x14ac:dyDescent="0.45">
      <c r="B33" s="1051" t="s">
        <v>1279</v>
      </c>
      <c r="C33" s="1052" t="s">
        <v>1193</v>
      </c>
      <c r="D33" s="1053" t="s">
        <v>1133</v>
      </c>
      <c r="E33" s="1053" t="s">
        <v>1133</v>
      </c>
      <c r="F33" s="1053"/>
      <c r="G33" s="1055" t="s">
        <v>875</v>
      </c>
      <c r="H33" s="1071" t="s">
        <v>16</v>
      </c>
      <c r="I33" s="1056" t="s">
        <v>272</v>
      </c>
      <c r="J33" s="1057"/>
      <c r="K33" s="1330">
        <f>V384</f>
        <v>105055578</v>
      </c>
      <c r="L33" s="1331">
        <f>K33*(EF_CO2_ElectGen_DCI+EF_CO2_ElectTDL_DCI)*ConFact_0.001</f>
        <v>26359.495075979998</v>
      </c>
      <c r="M33" s="1073">
        <f>K33*(EF_CH4_ElectGen_DCI+EF_CH4_ElectTDL_DCI)*ConFact_0.001</f>
        <v>81.943350840000022</v>
      </c>
      <c r="N33" s="1073">
        <f>K33*(EF_N2O_ElectGen_DCI+EF_N2O_ElectTDL_DCI)*ConFact_0.001</f>
        <v>157.58336700000001</v>
      </c>
      <c r="O33" s="2038"/>
      <c r="P33" s="1330">
        <f t="shared" si="1"/>
        <v>26599.021793819997</v>
      </c>
      <c r="Q33" s="1736"/>
      <c r="R33" s="1736"/>
      <c r="S33" s="1736"/>
      <c r="T33" s="1736"/>
    </row>
    <row r="34" spans="2:23" s="888" customFormat="1" x14ac:dyDescent="0.45">
      <c r="B34" s="1043" t="s">
        <v>1279</v>
      </c>
      <c r="C34" s="1044" t="s">
        <v>1193</v>
      </c>
      <c r="D34" s="1045" t="s">
        <v>1133</v>
      </c>
      <c r="E34" s="1045" t="s">
        <v>1133</v>
      </c>
      <c r="F34" s="1045"/>
      <c r="G34" s="1047" t="s">
        <v>875</v>
      </c>
      <c r="H34" s="1076" t="s">
        <v>604</v>
      </c>
      <c r="I34" s="1048" t="s">
        <v>321</v>
      </c>
      <c r="J34" s="1049"/>
      <c r="K34" s="1095">
        <f>Z384</f>
        <v>13710826.816</v>
      </c>
      <c r="L34" s="1332">
        <f>K34*EF_CO2_GasOil_RailDiesel*ConFact_0.001</f>
        <v>3476.9285722694399</v>
      </c>
      <c r="M34" s="1078">
        <f>K34*EF_CH4_GasOil_RailDiesel*ConFact_0.001</f>
        <v>3.5648149721599998</v>
      </c>
      <c r="N34" s="1078">
        <f>K34*EF_N2O_GasOil_RailDiesel*ConFact_0.001</f>
        <v>39.21296469376</v>
      </c>
      <c r="O34" s="2038"/>
      <c r="P34" s="1095">
        <f t="shared" si="1"/>
        <v>3519.7063519353601</v>
      </c>
      <c r="Q34" s="1736"/>
      <c r="R34" s="1736"/>
      <c r="S34" s="1736"/>
      <c r="T34" s="1736"/>
    </row>
    <row r="35" spans="2:23" s="888" customFormat="1" x14ac:dyDescent="0.45">
      <c r="B35" s="1051" t="s">
        <v>1279</v>
      </c>
      <c r="C35" s="1052" t="s">
        <v>1193</v>
      </c>
      <c r="D35" s="1053" t="s">
        <v>1133</v>
      </c>
      <c r="E35" s="1053" t="s">
        <v>1133</v>
      </c>
      <c r="F35" s="1053"/>
      <c r="G35" s="1055" t="s">
        <v>723</v>
      </c>
      <c r="H35" s="1071" t="s">
        <v>16</v>
      </c>
      <c r="I35" s="1056" t="s">
        <v>272</v>
      </c>
      <c r="J35" s="1057"/>
      <c r="K35" s="1330">
        <f>R384</f>
        <v>61878809</v>
      </c>
      <c r="L35" s="1331">
        <f>K35*(EF_CO2_ElectGen_DCI+EF_CO2_ElectTDL_DCI)*ConFact_0.001</f>
        <v>15526.011966189997</v>
      </c>
      <c r="M35" s="1073">
        <f>K35*(EF_CH4_ElectGen_DCI+EF_CH4_ElectTDL_DCI)*ConFact_0.001</f>
        <v>48.265471020000007</v>
      </c>
      <c r="N35" s="1073">
        <f>K35*(EF_N2O_ElectGen_DCI+EF_N2O_ElectTDL_DCI)*ConFact_0.001</f>
        <v>92.818213499999999</v>
      </c>
      <c r="O35" s="2037"/>
      <c r="P35" s="1330">
        <f t="shared" si="1"/>
        <v>15667.095650709998</v>
      </c>
      <c r="Q35" s="1736"/>
      <c r="R35" s="1736"/>
      <c r="S35" s="1736"/>
      <c r="T35" s="1736"/>
    </row>
    <row r="36" spans="2:23" s="888" customFormat="1" x14ac:dyDescent="0.45">
      <c r="B36" s="1051" t="s">
        <v>1279</v>
      </c>
      <c r="C36" s="1052" t="s">
        <v>1193</v>
      </c>
      <c r="D36" s="1053" t="s">
        <v>1133</v>
      </c>
      <c r="E36" s="1053" t="s">
        <v>1133</v>
      </c>
      <c r="F36" s="1053"/>
      <c r="G36" s="1055" t="s">
        <v>876</v>
      </c>
      <c r="H36" s="1071" t="s">
        <v>16</v>
      </c>
      <c r="I36" s="1056" t="s">
        <v>272</v>
      </c>
      <c r="J36" s="1057"/>
      <c r="K36" s="1330">
        <f>T384</f>
        <v>15582144</v>
      </c>
      <c r="L36" s="1331">
        <f>K36*(EF_CO2_ElectGen_DCI+EF_CO2_ElectTDL_DCI)*ConFact_0.001</f>
        <v>3909.7157510399998</v>
      </c>
      <c r="M36" s="1073">
        <f>K36*(EF_CH4_ElectGen_DCI+EF_CH4_ElectTDL_DCI)*ConFact_0.001</f>
        <v>12.154072320000001</v>
      </c>
      <c r="N36" s="1073">
        <f>K36*(EF_N2O_ElectGen_DCI+EF_N2O_ElectTDL_DCI)*ConFact_0.001</f>
        <v>23.373215999999999</v>
      </c>
      <c r="O36" s="2037"/>
      <c r="P36" s="1330">
        <f t="shared" si="1"/>
        <v>3945.2430393599998</v>
      </c>
      <c r="Q36" s="1736"/>
      <c r="R36" s="1736"/>
      <c r="S36" s="1736"/>
      <c r="T36" s="1736"/>
    </row>
    <row r="37" spans="2:23" s="888" customFormat="1" ht="14.65" thickBot="1" x14ac:dyDescent="0.5">
      <c r="B37" s="1079" t="s">
        <v>1279</v>
      </c>
      <c r="C37" s="1080" t="s">
        <v>1193</v>
      </c>
      <c r="D37" s="1081" t="s">
        <v>1133</v>
      </c>
      <c r="E37" s="1081" t="s">
        <v>1133</v>
      </c>
      <c r="F37" s="1081"/>
      <c r="G37" s="1082" t="s">
        <v>873</v>
      </c>
      <c r="H37" s="1082" t="s">
        <v>604</v>
      </c>
      <c r="I37" s="1144" t="s">
        <v>321</v>
      </c>
      <c r="J37" s="1084"/>
      <c r="K37" s="1096">
        <f>L384</f>
        <v>99495943.660860986</v>
      </c>
      <c r="L37" s="1089">
        <f>K37*EF_CO2_GasOil_RailDiesel*ConFact_0.001</f>
        <v>25231.176352957737</v>
      </c>
      <c r="M37" s="1085">
        <f>K37*EF_CH4_GasOil_RailDiesel*ConFact_0.001</f>
        <v>25.868945351823857</v>
      </c>
      <c r="N37" s="1085">
        <f>K37*EF_N2O_GasOil_RailDiesel*ConFact_0.001</f>
        <v>284.55839887006243</v>
      </c>
      <c r="O37" s="2039"/>
      <c r="P37" s="1096">
        <f t="shared" si="1"/>
        <v>25541.603697179624</v>
      </c>
      <c r="Q37" s="1748"/>
      <c r="R37" s="1736"/>
      <c r="S37" s="1736"/>
      <c r="T37" s="1736"/>
      <c r="U37" s="1743"/>
      <c r="V37" s="1743"/>
      <c r="W37" s="2041"/>
    </row>
    <row r="38" spans="2:23" s="888" customFormat="1" x14ac:dyDescent="0.45">
      <c r="B38" s="1746"/>
      <c r="C38" s="1746"/>
      <c r="D38" s="1746"/>
      <c r="E38" s="1746"/>
      <c r="F38" s="1746"/>
      <c r="G38" s="1746"/>
      <c r="H38" s="1746"/>
      <c r="I38" s="1746"/>
      <c r="J38" s="1746"/>
      <c r="K38" s="2035"/>
      <c r="L38" s="1789"/>
      <c r="M38" s="1794"/>
      <c r="N38" s="1747"/>
      <c r="O38" s="1736"/>
      <c r="P38" s="1747"/>
      <c r="Q38" s="1736"/>
      <c r="R38" s="1736"/>
      <c r="S38" s="1736"/>
      <c r="T38" s="1736"/>
      <c r="U38" s="1743"/>
      <c r="V38" s="1743"/>
      <c r="W38" s="1743"/>
    </row>
    <row r="39" spans="2:23" s="888" customFormat="1" x14ac:dyDescent="0.45">
      <c r="B39" s="1746"/>
      <c r="C39" s="1746"/>
      <c r="D39" s="1746"/>
      <c r="E39" s="1746"/>
      <c r="F39" s="1746"/>
      <c r="G39" s="1746"/>
      <c r="H39" s="1746"/>
      <c r="I39" s="1746"/>
      <c r="J39" s="1746"/>
      <c r="K39" s="2035"/>
      <c r="L39" s="1789"/>
      <c r="M39" s="1794"/>
      <c r="N39" s="1747"/>
      <c r="O39" s="1736"/>
      <c r="P39" s="1747"/>
      <c r="Q39" s="1736"/>
      <c r="R39" s="1736"/>
      <c r="S39" s="1736"/>
      <c r="T39" s="1736"/>
    </row>
    <row r="40" spans="2:23" s="888" customFormat="1" x14ac:dyDescent="0.45">
      <c r="B40" s="1746"/>
      <c r="C40" s="1746"/>
      <c r="D40" s="1746"/>
      <c r="E40" s="1746"/>
      <c r="F40" s="1746"/>
      <c r="G40" s="1746"/>
      <c r="H40" s="1746"/>
      <c r="I40" s="1746"/>
      <c r="J40" s="1746"/>
      <c r="K40" s="1746"/>
      <c r="L40" s="1793"/>
      <c r="M40" s="1794"/>
      <c r="N40" s="1747"/>
      <c r="O40" s="1736"/>
      <c r="P40" s="1747"/>
      <c r="Q40" s="1736"/>
      <c r="R40" s="1736"/>
      <c r="S40" s="1736"/>
      <c r="T40" s="1736"/>
    </row>
    <row r="41" spans="2:23" s="888" customFormat="1" ht="14.65" thickBot="1" x14ac:dyDescent="0.5">
      <c r="B41" s="1796"/>
      <c r="C41" s="1746"/>
      <c r="D41" s="1746"/>
      <c r="E41" s="1746"/>
      <c r="F41" s="1746"/>
      <c r="G41" s="1746"/>
      <c r="H41" s="1746"/>
      <c r="I41" s="1746"/>
      <c r="J41" s="1746"/>
      <c r="K41" s="1746"/>
      <c r="L41" s="1789"/>
      <c r="M41" s="1794"/>
      <c r="N41" s="1747"/>
      <c r="O41" s="1736"/>
      <c r="P41" s="1747"/>
      <c r="Q41" s="1736"/>
      <c r="R41" s="1736"/>
      <c r="S41" s="1736"/>
      <c r="T41" s="1736"/>
    </row>
    <row r="42" spans="2:23" s="888" customFormat="1" ht="15" thickBot="1" x14ac:dyDescent="0.55000000000000004">
      <c r="B42" s="251" t="s">
        <v>1385</v>
      </c>
      <c r="C42" s="253"/>
      <c r="D42" s="262"/>
      <c r="E42" s="245"/>
      <c r="F42" s="245"/>
      <c r="G42" s="246"/>
      <c r="H42" s="245"/>
      <c r="I42" s="246"/>
      <c r="J42" s="245"/>
      <c r="K42" s="245"/>
      <c r="L42" s="252"/>
      <c r="M42" s="248" t="s">
        <v>881</v>
      </c>
      <c r="N42" s="252"/>
      <c r="O42" s="252"/>
      <c r="P42" s="253"/>
      <c r="Q42" s="1736"/>
      <c r="R42" s="1736"/>
      <c r="S42" s="1736"/>
      <c r="T42" s="1736"/>
    </row>
    <row r="43" spans="2:23" s="888" customFormat="1" ht="40.15" thickBot="1" x14ac:dyDescent="0.5">
      <c r="B43" s="676" t="s">
        <v>1271</v>
      </c>
      <c r="C43" s="241" t="s">
        <v>1270</v>
      </c>
      <c r="D43" s="247" t="s">
        <v>521</v>
      </c>
      <c r="E43" s="242" t="s">
        <v>522</v>
      </c>
      <c r="F43" s="242" t="s">
        <v>1280</v>
      </c>
      <c r="G43" s="247" t="s">
        <v>1278</v>
      </c>
      <c r="H43" s="242" t="s">
        <v>1268</v>
      </c>
      <c r="I43" s="247" t="s">
        <v>574</v>
      </c>
      <c r="J43" s="242" t="s">
        <v>584</v>
      </c>
      <c r="K43" s="257" t="s">
        <v>1673</v>
      </c>
      <c r="L43" s="249" t="s">
        <v>798</v>
      </c>
      <c r="M43" s="249" t="s">
        <v>799</v>
      </c>
      <c r="N43" s="249" t="s">
        <v>800</v>
      </c>
      <c r="O43" s="249" t="s">
        <v>801</v>
      </c>
      <c r="P43" s="250" t="s">
        <v>802</v>
      </c>
      <c r="Q43" s="1736"/>
      <c r="R43" s="1736"/>
      <c r="S43" s="1736"/>
      <c r="T43" s="1736"/>
    </row>
    <row r="44" spans="2:23" s="888" customFormat="1" ht="27" customHeight="1" x14ac:dyDescent="0.45">
      <c r="B44" s="1036" t="s">
        <v>1279</v>
      </c>
      <c r="C44" s="1037" t="s">
        <v>1194</v>
      </c>
      <c r="D44" s="1038" t="s">
        <v>1219</v>
      </c>
      <c r="E44" s="1038" t="s">
        <v>623</v>
      </c>
      <c r="F44" s="1038"/>
      <c r="G44" s="1040" t="s">
        <v>676</v>
      </c>
      <c r="H44" s="1086" t="s">
        <v>602</v>
      </c>
      <c r="I44" s="1041" t="s">
        <v>321</v>
      </c>
      <c r="J44" s="1042"/>
      <c r="K44" s="1094">
        <f>(F256+R256+AC256+AE256+AG256+AI256+AK256+AM256)</f>
        <v>208934.62564923119</v>
      </c>
      <c r="L44" s="1087">
        <f>K44*EF_CO2_ATF_Transport*ConFact_0.001</f>
        <v>658075.12236861407</v>
      </c>
      <c r="M44" s="1075">
        <f>K44*EF_CH4_ATF_Transport*ConFact_0.001</f>
        <v>407.42252001600087</v>
      </c>
      <c r="N44" s="1075">
        <f>K44*EF_N2O_ATF_Transport*ConFact_0.001</f>
        <v>6226.2518443470899</v>
      </c>
      <c r="O44" s="1134"/>
      <c r="P44" s="1094">
        <f t="shared" ref="P44:P45" si="2">L44+M44+N44</f>
        <v>664708.79673297715</v>
      </c>
      <c r="Q44" s="1736"/>
      <c r="R44" s="1736"/>
      <c r="S44" s="1736"/>
      <c r="T44" s="1736"/>
    </row>
    <row r="45" spans="2:23" s="888" customFormat="1" ht="36" customHeight="1" thickBot="1" x14ac:dyDescent="0.5">
      <c r="B45" s="1079" t="s">
        <v>1279</v>
      </c>
      <c r="C45" s="1080" t="s">
        <v>1194</v>
      </c>
      <c r="D45" s="1081" t="s">
        <v>1219</v>
      </c>
      <c r="E45" s="1081" t="s">
        <v>623</v>
      </c>
      <c r="F45" s="1081"/>
      <c r="G45" s="1082" t="s">
        <v>677</v>
      </c>
      <c r="H45" s="1088" t="s">
        <v>602</v>
      </c>
      <c r="I45" s="1144" t="s">
        <v>321</v>
      </c>
      <c r="J45" s="1084"/>
      <c r="K45" s="1096">
        <f>(G256+S256+AD256+AF256+AH256+AJ256+AL256+AN256)</f>
        <v>101859.69714572448</v>
      </c>
      <c r="L45" s="1089">
        <f>K45*EF_CO2_ATF_Transport*ConFact_0.001</f>
        <v>320824.43230897404</v>
      </c>
      <c r="M45" s="1085">
        <f>K45*EF_CH4_ATF_Transport*ConFact_0.001</f>
        <v>198.62640943416272</v>
      </c>
      <c r="N45" s="1085">
        <f>K45*EF_N2O_ATF_Transport*ConFact_0.001</f>
        <v>3035.4189749425896</v>
      </c>
      <c r="O45" s="1138"/>
      <c r="P45" s="1096">
        <f t="shared" si="2"/>
        <v>324058.47769335081</v>
      </c>
      <c r="Q45" s="1748"/>
      <c r="R45" s="1736"/>
      <c r="S45" s="1736"/>
      <c r="T45" s="1736"/>
      <c r="U45" s="1743"/>
      <c r="V45" s="1743"/>
      <c r="W45" s="2041"/>
    </row>
    <row r="46" spans="2:23" x14ac:dyDescent="0.45">
      <c r="B46" s="1797"/>
      <c r="C46" s="1797"/>
      <c r="D46" s="1797"/>
      <c r="E46" s="1797"/>
      <c r="F46" s="1797"/>
      <c r="G46" s="1797"/>
      <c r="H46" s="1797"/>
      <c r="I46" s="1797"/>
      <c r="J46" s="1797"/>
      <c r="K46" s="1797"/>
      <c r="L46" s="1797"/>
      <c r="M46" s="1797"/>
      <c r="N46" s="1797"/>
      <c r="P46" s="1797"/>
      <c r="Q46" s="1736"/>
      <c r="R46" s="1736"/>
      <c r="S46" s="1736"/>
      <c r="T46" s="1736"/>
    </row>
    <row r="47" spans="2:23" x14ac:dyDescent="0.45">
      <c r="B47" s="1797"/>
      <c r="C47" s="1797"/>
      <c r="D47" s="1797"/>
      <c r="E47" s="1797"/>
      <c r="F47" s="1797"/>
      <c r="G47" s="1797"/>
      <c r="H47" s="1797"/>
      <c r="I47" s="1797"/>
      <c r="J47" s="1797"/>
      <c r="K47" s="1797"/>
      <c r="L47" s="1797"/>
      <c r="M47" s="1798"/>
      <c r="N47" s="1799"/>
      <c r="P47" s="1797"/>
      <c r="Q47" s="1736"/>
      <c r="R47" s="1736"/>
      <c r="S47" s="1736"/>
      <c r="T47" s="1736"/>
    </row>
    <row r="48" spans="2:23" x14ac:dyDescent="0.45">
      <c r="B48" s="1797"/>
      <c r="C48" s="1797"/>
      <c r="D48" s="1797"/>
      <c r="E48" s="1797"/>
      <c r="F48" s="1797"/>
      <c r="G48" s="1797"/>
      <c r="H48" s="1797"/>
      <c r="I48" s="1797"/>
      <c r="J48" s="1797"/>
      <c r="K48" s="1797"/>
      <c r="L48" s="1797"/>
      <c r="M48" s="1797"/>
      <c r="N48" s="1797"/>
      <c r="P48" s="1797"/>
      <c r="Q48" s="1736"/>
      <c r="R48" s="1736"/>
      <c r="S48" s="1736"/>
      <c r="T48" s="1736"/>
    </row>
    <row r="49" spans="2:22" ht="14.65" thickBot="1" x14ac:dyDescent="0.5">
      <c r="B49" s="1797"/>
      <c r="C49" s="1797"/>
      <c r="D49" s="1797"/>
      <c r="E49" s="1797"/>
      <c r="F49" s="1797"/>
      <c r="G49" s="1797"/>
      <c r="H49" s="1797"/>
      <c r="I49" s="1797"/>
      <c r="J49" s="1797"/>
      <c r="K49" s="1797"/>
      <c r="L49" s="1797"/>
      <c r="M49" s="1797"/>
      <c r="N49" s="1797"/>
      <c r="P49" s="1797"/>
      <c r="Q49" s="1736"/>
      <c r="R49" s="1736"/>
      <c r="S49" s="1736"/>
      <c r="T49" s="1736"/>
    </row>
    <row r="50" spans="2:22" s="888" customFormat="1" ht="15" thickBot="1" x14ac:dyDescent="0.55000000000000004">
      <c r="B50" s="251" t="s">
        <v>1386</v>
      </c>
      <c r="C50" s="253"/>
      <c r="D50" s="262"/>
      <c r="E50" s="245"/>
      <c r="F50" s="245"/>
      <c r="G50" s="245"/>
      <c r="H50" s="245"/>
      <c r="I50" s="246"/>
      <c r="J50" s="245"/>
      <c r="K50" s="245"/>
      <c r="L50" s="252"/>
      <c r="M50" s="248" t="s">
        <v>881</v>
      </c>
      <c r="N50" s="252"/>
      <c r="O50" s="252"/>
      <c r="P50" s="253"/>
      <c r="Q50" s="1736"/>
      <c r="R50" s="1736"/>
      <c r="S50" s="1736"/>
      <c r="T50" s="1736"/>
    </row>
    <row r="51" spans="2:22" s="888" customFormat="1" ht="40.15" thickBot="1" x14ac:dyDescent="0.5">
      <c r="B51" s="910" t="s">
        <v>1271</v>
      </c>
      <c r="C51" s="617" t="s">
        <v>1270</v>
      </c>
      <c r="D51" s="268" t="s">
        <v>521</v>
      </c>
      <c r="E51" s="618" t="s">
        <v>522</v>
      </c>
      <c r="F51" s="618" t="s">
        <v>1280</v>
      </c>
      <c r="G51" s="618" t="s">
        <v>1278</v>
      </c>
      <c r="H51" s="618" t="s">
        <v>811</v>
      </c>
      <c r="I51" s="268" t="s">
        <v>574</v>
      </c>
      <c r="J51" s="618" t="s">
        <v>584</v>
      </c>
      <c r="K51" s="269" t="s">
        <v>804</v>
      </c>
      <c r="L51" s="260" t="s">
        <v>798</v>
      </c>
      <c r="M51" s="260" t="s">
        <v>799</v>
      </c>
      <c r="N51" s="260" t="s">
        <v>800</v>
      </c>
      <c r="O51" s="260" t="s">
        <v>801</v>
      </c>
      <c r="P51" s="261" t="s">
        <v>802</v>
      </c>
      <c r="Q51" s="1736"/>
      <c r="R51" s="1736"/>
      <c r="S51" s="1736"/>
      <c r="T51" s="1736"/>
    </row>
    <row r="52" spans="2:22" s="888" customFormat="1" ht="26.25" customHeight="1" x14ac:dyDescent="0.45">
      <c r="B52" s="1036" t="s">
        <v>1279</v>
      </c>
      <c r="C52" s="1037" t="s">
        <v>1192</v>
      </c>
      <c r="D52" s="1038" t="s">
        <v>1218</v>
      </c>
      <c r="E52" s="1038" t="s">
        <v>1248</v>
      </c>
      <c r="F52" s="1038"/>
      <c r="G52" s="1040" t="s">
        <v>880</v>
      </c>
      <c r="H52" s="1097"/>
      <c r="I52" s="1041" t="s">
        <v>321</v>
      </c>
      <c r="J52" s="1042"/>
      <c r="K52" s="1160">
        <f>F340</f>
        <v>31865450.22927928</v>
      </c>
      <c r="L52" s="1220">
        <f>K52*EF_CO2_Shipping*ConFact_g_to_tonnes</f>
        <v>18705.019284586935</v>
      </c>
      <c r="M52" s="1090">
        <f>H340*GWP_CH4</f>
        <v>13.290160506057674</v>
      </c>
      <c r="N52" s="1090">
        <f>I340*GWP_N2O</f>
        <v>278.70502052313043</v>
      </c>
      <c r="O52" s="1134"/>
      <c r="P52" s="1160">
        <f>SUM(L52:N52)</f>
        <v>18997.014465616125</v>
      </c>
      <c r="Q52" s="1736"/>
      <c r="R52" s="1736"/>
      <c r="S52" s="1736"/>
      <c r="T52" s="1736"/>
    </row>
    <row r="53" spans="2:22" s="888" customFormat="1" ht="26.65" thickBot="1" x14ac:dyDescent="0.5">
      <c r="B53" s="1079" t="s">
        <v>1279</v>
      </c>
      <c r="C53" s="1080" t="s">
        <v>1192</v>
      </c>
      <c r="D53" s="1081" t="s">
        <v>1218</v>
      </c>
      <c r="E53" s="1081" t="s">
        <v>1248</v>
      </c>
      <c r="F53" s="1081"/>
      <c r="G53" s="1082" t="s">
        <v>879</v>
      </c>
      <c r="H53" s="1100"/>
      <c r="I53" s="1144" t="s">
        <v>321</v>
      </c>
      <c r="J53" s="1333"/>
      <c r="K53" s="1119">
        <f>J340</f>
        <v>36453383.416055523</v>
      </c>
      <c r="L53" s="1292">
        <f>K53*EF_CO2_Shipping*ConFact_g_to_tonnes</f>
        <v>21398.136065224589</v>
      </c>
      <c r="M53" s="1092">
        <f>L340*GWP_CH4</f>
        <v>19.688621631907289</v>
      </c>
      <c r="N53" s="1092">
        <f>M340*GWP_N2O</f>
        <v>318.8322273718465</v>
      </c>
      <c r="O53" s="1138"/>
      <c r="P53" s="1162">
        <f>SUM(L53:N53)</f>
        <v>21736.656914228344</v>
      </c>
      <c r="Q53" s="1748"/>
      <c r="R53" s="1736"/>
      <c r="S53" s="1736"/>
      <c r="T53" s="1736"/>
      <c r="U53" s="1743"/>
      <c r="V53" s="1743"/>
    </row>
    <row r="54" spans="2:22" s="888" customFormat="1" x14ac:dyDescent="0.45">
      <c r="Q54" s="1748"/>
      <c r="R54" s="1736"/>
      <c r="S54" s="1736"/>
      <c r="T54" s="1736"/>
    </row>
    <row r="55" spans="2:22" s="888" customFormat="1" x14ac:dyDescent="0.45">
      <c r="P55" s="1743"/>
      <c r="Q55" s="1736"/>
      <c r="R55" s="1736"/>
      <c r="S55" s="1736"/>
      <c r="T55" s="1736"/>
    </row>
    <row r="56" spans="2:22" s="888" customFormat="1" x14ac:dyDescent="0.45">
      <c r="Q56" s="1736"/>
      <c r="R56" s="1736"/>
      <c r="S56" s="1736"/>
      <c r="T56" s="1736"/>
    </row>
    <row r="57" spans="2:22" s="888" customFormat="1" x14ac:dyDescent="0.45">
      <c r="Q57" s="1736"/>
      <c r="R57" s="1736"/>
      <c r="S57" s="1736"/>
      <c r="T57" s="1736"/>
    </row>
    <row r="58" spans="2:22" s="888" customFormat="1" ht="14.65" thickBot="1" x14ac:dyDescent="0.5">
      <c r="Q58" s="1736"/>
      <c r="R58" s="1736"/>
      <c r="S58" s="1736"/>
      <c r="T58" s="1736"/>
    </row>
    <row r="59" spans="2:22" s="888" customFormat="1" ht="15" thickBot="1" x14ac:dyDescent="0.55000000000000004">
      <c r="B59" s="251" t="s">
        <v>1387</v>
      </c>
      <c r="C59" s="253"/>
      <c r="D59" s="262"/>
      <c r="E59" s="245"/>
      <c r="F59" s="246"/>
      <c r="G59" s="245"/>
      <c r="H59" s="245"/>
      <c r="I59" s="246"/>
      <c r="J59" s="245"/>
      <c r="K59" s="245"/>
      <c r="L59" s="252"/>
      <c r="M59" s="248" t="s">
        <v>881</v>
      </c>
      <c r="N59" s="252"/>
      <c r="O59" s="252"/>
      <c r="P59" s="253"/>
      <c r="Q59" s="1736"/>
      <c r="R59" s="1736"/>
      <c r="S59" s="1736"/>
      <c r="T59" s="1736"/>
    </row>
    <row r="60" spans="2:22" s="888" customFormat="1" ht="40.15" thickBot="1" x14ac:dyDescent="0.5">
      <c r="B60" s="676" t="s">
        <v>1271</v>
      </c>
      <c r="C60" s="241" t="s">
        <v>1270</v>
      </c>
      <c r="D60" s="247" t="s">
        <v>521</v>
      </c>
      <c r="E60" s="242" t="s">
        <v>522</v>
      </c>
      <c r="F60" s="247" t="s">
        <v>1280</v>
      </c>
      <c r="G60" s="618" t="s">
        <v>1278</v>
      </c>
      <c r="H60" s="618" t="s">
        <v>1659</v>
      </c>
      <c r="I60" s="268" t="s">
        <v>574</v>
      </c>
      <c r="J60" s="242" t="s">
        <v>584</v>
      </c>
      <c r="K60" s="257" t="s">
        <v>1674</v>
      </c>
      <c r="L60" s="249" t="s">
        <v>798</v>
      </c>
      <c r="M60" s="249" t="s">
        <v>799</v>
      </c>
      <c r="N60" s="249" t="s">
        <v>800</v>
      </c>
      <c r="O60" s="249" t="s">
        <v>801</v>
      </c>
      <c r="P60" s="250" t="s">
        <v>802</v>
      </c>
      <c r="Q60" s="1736"/>
      <c r="R60" s="1736"/>
      <c r="S60" s="1736"/>
      <c r="T60" s="1736"/>
    </row>
    <row r="61" spans="2:22" s="888" customFormat="1" ht="28.5" x14ac:dyDescent="0.45">
      <c r="B61" s="1043" t="s">
        <v>1279</v>
      </c>
      <c r="C61" s="1044" t="s">
        <v>1195</v>
      </c>
      <c r="D61" s="1045" t="s">
        <v>1220</v>
      </c>
      <c r="E61" s="1045" t="s">
        <v>1138</v>
      </c>
      <c r="F61" s="1045" t="s">
        <v>1710</v>
      </c>
      <c r="G61" s="1040" t="s">
        <v>1658</v>
      </c>
      <c r="H61" s="1086" t="s">
        <v>1660</v>
      </c>
      <c r="I61" s="1041" t="s">
        <v>321</v>
      </c>
      <c r="J61" s="1042"/>
      <c r="K61" s="1124"/>
      <c r="L61" s="1093">
        <v>49479.47174487554</v>
      </c>
      <c r="M61" s="2122">
        <f>3.29820392831098*GWP_CH4</f>
        <v>82.455098207774498</v>
      </c>
      <c r="N61" s="2122">
        <f>28.5837915367189*GWP_N2O</f>
        <v>8517.9698779422324</v>
      </c>
      <c r="O61" s="1097"/>
      <c r="P61" s="1094">
        <f>L61+M61+N61</f>
        <v>58079.896721025551</v>
      </c>
      <c r="Q61" s="1736"/>
      <c r="R61" s="1736"/>
      <c r="S61" s="1736"/>
      <c r="T61" s="1736"/>
    </row>
    <row r="62" spans="2:22" s="888" customFormat="1" ht="28.5" x14ac:dyDescent="0.45">
      <c r="B62" s="1043" t="s">
        <v>1279</v>
      </c>
      <c r="C62" s="1044" t="s">
        <v>1195</v>
      </c>
      <c r="D62" s="1045" t="s">
        <v>1220</v>
      </c>
      <c r="E62" s="1045" t="s">
        <v>1138</v>
      </c>
      <c r="F62" s="1045" t="s">
        <v>1711</v>
      </c>
      <c r="G62" s="1047" t="s">
        <v>228</v>
      </c>
      <c r="H62" s="1076" t="s">
        <v>1660</v>
      </c>
      <c r="I62" s="1048" t="s">
        <v>321</v>
      </c>
      <c r="J62" s="1049"/>
      <c r="K62" s="1125"/>
      <c r="L62" s="1093">
        <v>150909.31271761144</v>
      </c>
      <c r="M62" s="2122">
        <f>4.21976858820739*GWP_CH4</f>
        <v>105.49421470518475</v>
      </c>
      <c r="N62" s="2122">
        <f>3.37322974042386*GWP_N2O</f>
        <v>1005.2224626463102</v>
      </c>
      <c r="O62" s="1099"/>
      <c r="P62" s="1095">
        <f t="shared" ref="P62:P68" si="3">L62+M62+N62</f>
        <v>152020.02939496294</v>
      </c>
      <c r="Q62" s="1736"/>
      <c r="R62" s="1736"/>
      <c r="S62" s="1736"/>
      <c r="T62" s="1736"/>
    </row>
    <row r="63" spans="2:22" s="888" customFormat="1" ht="39" customHeight="1" x14ac:dyDescent="0.45">
      <c r="B63" s="1043" t="s">
        <v>1279</v>
      </c>
      <c r="C63" s="1044" t="s">
        <v>1195</v>
      </c>
      <c r="D63" s="1045" t="s">
        <v>1220</v>
      </c>
      <c r="E63" s="1045" t="s">
        <v>1138</v>
      </c>
      <c r="F63" s="1045" t="s">
        <v>1656</v>
      </c>
      <c r="G63" s="1047" t="s">
        <v>678</v>
      </c>
      <c r="H63" s="1076" t="s">
        <v>67</v>
      </c>
      <c r="I63" s="1048" t="s">
        <v>321</v>
      </c>
      <c r="J63" s="1049"/>
      <c r="K63" s="1095">
        <f>(I256+U256)</f>
        <v>5801.8581542670772</v>
      </c>
      <c r="L63" s="1078">
        <f>K63*EF_CO2_DieselAvBio_Transport*ConFact_0.001</f>
        <v>17327.829563534051</v>
      </c>
      <c r="M63" s="1078">
        <f>K63*EF_CH4_DieselAvBio_Transport*ConFact_0.001</f>
        <v>1.740557446280123</v>
      </c>
      <c r="N63" s="1078">
        <f>K63*EF_N2O_DieselAvBio_Transport*ConFact_0.001</f>
        <v>241.99550361447979</v>
      </c>
      <c r="O63" s="1099"/>
      <c r="P63" s="1095">
        <f t="shared" si="3"/>
        <v>17571.565624594808</v>
      </c>
      <c r="Q63" s="1736"/>
      <c r="R63" s="1736"/>
      <c r="S63" s="1736"/>
      <c r="T63" s="1736"/>
    </row>
    <row r="64" spans="2:22" s="888" customFormat="1" ht="28.5" x14ac:dyDescent="0.45">
      <c r="B64" s="1043" t="s">
        <v>1279</v>
      </c>
      <c r="C64" s="1044" t="s">
        <v>1195</v>
      </c>
      <c r="D64" s="1045" t="s">
        <v>1220</v>
      </c>
      <c r="E64" s="1045" t="s">
        <v>1138</v>
      </c>
      <c r="F64" s="1045" t="s">
        <v>1657</v>
      </c>
      <c r="G64" s="1047" t="s">
        <v>678</v>
      </c>
      <c r="H64" s="1076" t="s">
        <v>52</v>
      </c>
      <c r="I64" s="1048" t="s">
        <v>321</v>
      </c>
      <c r="J64" s="1049"/>
      <c r="K64" s="1095">
        <f>(J256+V256)</f>
        <v>1.5530793333513377</v>
      </c>
      <c r="L64" s="1078">
        <f>K64*EF_CO2_LPG_Transport*ConFact_0.001</f>
        <v>4.5580082891061728</v>
      </c>
      <c r="M64" s="2103">
        <f>K64*EF_CH4_LPG_Transport*ConFact_0.001</f>
        <v>3.3235897733718631E-3</v>
      </c>
      <c r="N64" s="2103">
        <f>K64*EF_N2O_LPG_Transport*ConFact_0.001</f>
        <v>2.8887275600334886E-3</v>
      </c>
      <c r="O64" s="1099"/>
      <c r="P64" s="1095">
        <f t="shared" si="3"/>
        <v>4.5642206064395774</v>
      </c>
      <c r="Q64" s="1736"/>
      <c r="R64" s="1736"/>
      <c r="S64" s="1736"/>
      <c r="T64" s="1736"/>
    </row>
    <row r="65" spans="2:23" s="888" customFormat="1" ht="26.25" x14ac:dyDescent="0.45">
      <c r="B65" s="1043" t="s">
        <v>1279</v>
      </c>
      <c r="C65" s="1044" t="s">
        <v>1195</v>
      </c>
      <c r="D65" s="1045" t="s">
        <v>1220</v>
      </c>
      <c r="E65" s="1045" t="s">
        <v>1138</v>
      </c>
      <c r="F65" s="1045" t="s">
        <v>1657</v>
      </c>
      <c r="G65" s="1047" t="s">
        <v>678</v>
      </c>
      <c r="H65" s="1076" t="s">
        <v>604</v>
      </c>
      <c r="I65" s="1048" t="s">
        <v>321</v>
      </c>
      <c r="J65" s="1049"/>
      <c r="K65" s="1095">
        <f>(H256+T256)</f>
        <v>1114.286166482409</v>
      </c>
      <c r="L65" s="1078">
        <f>K65*EF_CO2_DieselAvBio_Transport*ConFact_0.001</f>
        <v>3327.9270648163629</v>
      </c>
      <c r="M65" s="1078">
        <f>K65*EF_CH4_DieselAvBio_Transport*ConFact_0.001</f>
        <v>0.33428584994472271</v>
      </c>
      <c r="N65" s="1078">
        <f>K65*EF_N2O_DieselAvBio_Transport*ConFact_0.001</f>
        <v>46.476876003981282</v>
      </c>
      <c r="O65" s="1099"/>
      <c r="P65" s="1095">
        <f t="shared" si="3"/>
        <v>3374.7382266702889</v>
      </c>
      <c r="Q65" s="1736"/>
      <c r="R65" s="1736"/>
      <c r="S65" s="1736"/>
      <c r="T65" s="1736"/>
    </row>
    <row r="66" spans="2:23" s="888" customFormat="1" ht="26.25" x14ac:dyDescent="0.45">
      <c r="B66" s="1043" t="s">
        <v>1279</v>
      </c>
      <c r="C66" s="1044" t="s">
        <v>1195</v>
      </c>
      <c r="D66" s="1045" t="s">
        <v>1220</v>
      </c>
      <c r="E66" s="1045" t="s">
        <v>1138</v>
      </c>
      <c r="F66" s="1045" t="s">
        <v>1657</v>
      </c>
      <c r="G66" s="1047" t="s">
        <v>678</v>
      </c>
      <c r="H66" s="1076" t="s">
        <v>603</v>
      </c>
      <c r="I66" s="1048" t="s">
        <v>321</v>
      </c>
      <c r="J66" s="1049"/>
      <c r="K66" s="1095">
        <f>(K256+W256)</f>
        <v>84.639738293288417</v>
      </c>
      <c r="L66" s="1078">
        <f>K66*EF_CO2_PetrolAvBio_Transport*ConFact_0.001</f>
        <v>247.55599935497585</v>
      </c>
      <c r="M66" s="1078">
        <f>K66*EF_CH4_PetrolAvBio_Transport*ConFact_0.001</f>
        <v>0.76852882370305886</v>
      </c>
      <c r="N66" s="1078">
        <f>K66*EF_N2O_PetrolAvBio_Transport*ConFact_0.001</f>
        <v>0.69066026447323348</v>
      </c>
      <c r="O66" s="1099"/>
      <c r="P66" s="1095">
        <f t="shared" si="3"/>
        <v>249.01518844315214</v>
      </c>
      <c r="Q66" s="1736"/>
      <c r="R66" s="1736"/>
      <c r="S66" s="1736"/>
      <c r="T66" s="1736"/>
    </row>
    <row r="67" spans="2:23" s="888" customFormat="1" ht="26.25" x14ac:dyDescent="0.45">
      <c r="B67" s="1043" t="s">
        <v>1279</v>
      </c>
      <c r="C67" s="1044" t="s">
        <v>1195</v>
      </c>
      <c r="D67" s="1045" t="s">
        <v>1220</v>
      </c>
      <c r="E67" s="1045" t="s">
        <v>1138</v>
      </c>
      <c r="F67" s="1045" t="s">
        <v>1657</v>
      </c>
      <c r="G67" s="1047" t="s">
        <v>679</v>
      </c>
      <c r="H67" s="1076" t="s">
        <v>604</v>
      </c>
      <c r="I67" s="1048" t="s">
        <v>321</v>
      </c>
      <c r="J67" s="1049"/>
      <c r="K67" s="1095">
        <f>(L256+X256)</f>
        <v>1373115.9066910488</v>
      </c>
      <c r="L67" s="1078">
        <f>K67*EF_CO2_DieselAvBio_Trans_kg_l*ConFact_0.001</f>
        <v>3447.5095692473501</v>
      </c>
      <c r="M67" s="1078">
        <f>K67*EF_CH4_DieselAvBio_Trans_kg_l*ConFact_0.001</f>
        <v>0.34327897667276219</v>
      </c>
      <c r="N67" s="1078">
        <f>K67*EF_N2O_DieselAvBio_Trans_kg_l*ConFact_0.001</f>
        <v>48.141443688588176</v>
      </c>
      <c r="O67" s="1099"/>
      <c r="P67" s="1095">
        <f t="shared" si="3"/>
        <v>3495.9942919126106</v>
      </c>
      <c r="Q67" s="1736"/>
      <c r="R67" s="1736"/>
      <c r="S67" s="1736"/>
      <c r="T67" s="1736"/>
    </row>
    <row r="68" spans="2:23" s="888" customFormat="1" ht="26.65" thickBot="1" x14ac:dyDescent="0.5">
      <c r="B68" s="1079" t="s">
        <v>1279</v>
      </c>
      <c r="C68" s="1080" t="s">
        <v>1195</v>
      </c>
      <c r="D68" s="1081" t="s">
        <v>1220</v>
      </c>
      <c r="E68" s="1081" t="s">
        <v>1138</v>
      </c>
      <c r="F68" s="1081" t="s">
        <v>1657</v>
      </c>
      <c r="G68" s="1082" t="s">
        <v>679</v>
      </c>
      <c r="H68" s="1088" t="s">
        <v>603</v>
      </c>
      <c r="I68" s="1144" t="s">
        <v>321</v>
      </c>
      <c r="J68" s="1084"/>
      <c r="K68" s="1096">
        <f>(M256+Y256)</f>
        <v>1286547.4519679684</v>
      </c>
      <c r="L68" s="1085">
        <f>K68*EF_CO2_PetrolAvBio_Trans_kg_l*ConFact_0.001</f>
        <v>2772.9214541756019</v>
      </c>
      <c r="M68" s="1085">
        <f>K68*EF_CH4_PetrolAvBio_Trans_kg_l*ConFact_0.001</f>
        <v>8.6070024536657073</v>
      </c>
      <c r="N68" s="1085">
        <f>K68*EF_N2O_PetrolAvBio_Trans_kg_l*ConFact_0.001</f>
        <v>7.7321501863274902</v>
      </c>
      <c r="O68" s="1100"/>
      <c r="P68" s="1096">
        <f t="shared" si="3"/>
        <v>2789.2606068155951</v>
      </c>
      <c r="Q68" s="1757"/>
      <c r="R68" s="1736"/>
      <c r="S68" s="1736"/>
      <c r="T68" s="1736"/>
      <c r="U68" s="1743"/>
      <c r="W68" s="1743"/>
    </row>
    <row r="69" spans="2:23" s="888" customFormat="1" x14ac:dyDescent="0.45">
      <c r="Q69" s="1736"/>
      <c r="R69" s="1736"/>
      <c r="S69" s="1736"/>
      <c r="T69" s="1736"/>
    </row>
    <row r="70" spans="2:23" s="888" customFormat="1" x14ac:dyDescent="0.45">
      <c r="P70" s="1743"/>
      <c r="Q70" s="1736"/>
      <c r="R70" s="1736"/>
      <c r="S70" s="1736"/>
      <c r="T70" s="1736"/>
    </row>
    <row r="71" spans="2:23" s="888" customFormat="1" x14ac:dyDescent="0.45">
      <c r="Q71" s="1736"/>
      <c r="R71" s="1736"/>
      <c r="S71" s="1736"/>
      <c r="T71" s="1736"/>
    </row>
    <row r="72" spans="2:23" s="888" customFormat="1" x14ac:dyDescent="0.45">
      <c r="Q72" s="1736"/>
      <c r="R72" s="1736"/>
      <c r="S72" s="1736"/>
      <c r="T72" s="1736"/>
    </row>
    <row r="73" spans="2:23" s="888" customFormat="1" x14ac:dyDescent="0.45">
      <c r="Q73" s="1736"/>
      <c r="R73" s="1736"/>
      <c r="S73" s="1736"/>
      <c r="T73" s="1736"/>
    </row>
    <row r="74" spans="2:23" s="888" customFormat="1" x14ac:dyDescent="0.45">
      <c r="Q74" s="1736"/>
      <c r="R74" s="1736"/>
      <c r="S74" s="1736"/>
      <c r="T74" s="1736"/>
    </row>
    <row r="75" spans="2:23" s="888" customFormat="1" x14ac:dyDescent="0.45">
      <c r="Q75" s="1736"/>
      <c r="R75" s="1736"/>
      <c r="S75" s="1736"/>
      <c r="T75" s="1736"/>
    </row>
    <row r="76" spans="2:23" s="888" customFormat="1" x14ac:dyDescent="0.45">
      <c r="Q76" s="1736"/>
      <c r="R76" s="1736"/>
      <c r="S76" s="1736"/>
      <c r="T76" s="1736"/>
    </row>
    <row r="77" spans="2:23" s="888" customFormat="1" x14ac:dyDescent="0.45">
      <c r="Q77" s="1736"/>
      <c r="R77" s="1736"/>
      <c r="S77" s="1736"/>
      <c r="T77" s="1736"/>
    </row>
    <row r="78" spans="2:23" s="888" customFormat="1" x14ac:dyDescent="0.45">
      <c r="Q78" s="1736"/>
      <c r="R78" s="1736"/>
      <c r="S78" s="1736"/>
      <c r="T78" s="1736"/>
    </row>
    <row r="79" spans="2:23" s="888" customFormat="1" x14ac:dyDescent="0.45">
      <c r="Q79" s="1736"/>
      <c r="R79" s="1736"/>
      <c r="S79" s="1736"/>
      <c r="T79" s="1736"/>
    </row>
    <row r="80" spans="2:23" s="888" customFormat="1" x14ac:dyDescent="0.45">
      <c r="Q80" s="1736"/>
      <c r="R80" s="1736"/>
      <c r="S80" s="1736"/>
      <c r="T80" s="1736"/>
    </row>
    <row r="81" spans="17:20" s="888" customFormat="1" x14ac:dyDescent="0.45">
      <c r="Q81" s="1736"/>
      <c r="R81" s="1736"/>
      <c r="S81" s="1736"/>
      <c r="T81" s="1736"/>
    </row>
    <row r="82" spans="17:20" s="888" customFormat="1" x14ac:dyDescent="0.45">
      <c r="Q82" s="1736"/>
      <c r="R82" s="1736"/>
      <c r="S82" s="1736"/>
      <c r="T82" s="1736"/>
    </row>
    <row r="83" spans="17:20" s="888" customFormat="1" x14ac:dyDescent="0.45">
      <c r="Q83" s="1736"/>
      <c r="R83" s="1736"/>
      <c r="S83" s="1736"/>
      <c r="T83" s="1736"/>
    </row>
    <row r="84" spans="17:20" s="888" customFormat="1" x14ac:dyDescent="0.45">
      <c r="Q84" s="1736"/>
      <c r="R84" s="1736"/>
      <c r="S84" s="1736"/>
      <c r="T84" s="1736"/>
    </row>
    <row r="85" spans="17:20" s="888" customFormat="1" x14ac:dyDescent="0.45">
      <c r="Q85" s="1736"/>
      <c r="R85" s="1736"/>
      <c r="S85" s="1736"/>
      <c r="T85" s="1736"/>
    </row>
    <row r="86" spans="17:20" s="888" customFormat="1" x14ac:dyDescent="0.45">
      <c r="Q86" s="1736"/>
      <c r="R86" s="1736"/>
      <c r="S86" s="1736"/>
      <c r="T86" s="1736"/>
    </row>
    <row r="87" spans="17:20" s="888" customFormat="1" x14ac:dyDescent="0.45">
      <c r="Q87" s="1736"/>
      <c r="R87" s="1736"/>
      <c r="S87" s="1736"/>
      <c r="T87" s="1736"/>
    </row>
    <row r="88" spans="17:20" s="888" customFormat="1" x14ac:dyDescent="0.45">
      <c r="Q88" s="1736"/>
      <c r="R88" s="1736"/>
      <c r="S88" s="1736"/>
      <c r="T88" s="1736"/>
    </row>
    <row r="89" spans="17:20" s="888" customFormat="1" x14ac:dyDescent="0.45">
      <c r="Q89" s="1736"/>
      <c r="R89" s="1736"/>
      <c r="S89" s="1736"/>
      <c r="T89" s="1736"/>
    </row>
    <row r="90" spans="17:20" s="888" customFormat="1" x14ac:dyDescent="0.45">
      <c r="Q90" s="1736"/>
      <c r="R90" s="1736"/>
      <c r="S90" s="1736"/>
      <c r="T90" s="1736"/>
    </row>
    <row r="91" spans="17:20" s="888" customFormat="1" x14ac:dyDescent="0.45"/>
    <row r="92" spans="17:20" s="888" customFormat="1" x14ac:dyDescent="0.45"/>
    <row r="93" spans="17:20" s="888" customFormat="1" x14ac:dyDescent="0.45"/>
    <row r="94" spans="17:20" s="888" customFormat="1" x14ac:dyDescent="0.45"/>
    <row r="95" spans="17:20" s="888" customFormat="1" x14ac:dyDescent="0.45"/>
    <row r="96" spans="17:20" s="888" customFormat="1" x14ac:dyDescent="0.45"/>
    <row r="97" s="888" customFormat="1" x14ac:dyDescent="0.45"/>
    <row r="98" s="888" customFormat="1" x14ac:dyDescent="0.45"/>
    <row r="99" s="888" customFormat="1" x14ac:dyDescent="0.45"/>
    <row r="100" s="888" customFormat="1" x14ac:dyDescent="0.45"/>
    <row r="101" s="888" customFormat="1" x14ac:dyDescent="0.45"/>
    <row r="102" s="888" customFormat="1" x14ac:dyDescent="0.45"/>
    <row r="103" s="888" customFormat="1" x14ac:dyDescent="0.45"/>
    <row r="104" s="888" customFormat="1" x14ac:dyDescent="0.45"/>
    <row r="105" s="888" customFormat="1" x14ac:dyDescent="0.45"/>
    <row r="106" s="888" customFormat="1" x14ac:dyDescent="0.45"/>
    <row r="107" s="888" customFormat="1" x14ac:dyDescent="0.45"/>
    <row r="108" s="888" customFormat="1" x14ac:dyDescent="0.45"/>
    <row r="109" s="888" customFormat="1" x14ac:dyDescent="0.45"/>
    <row r="110" s="888" customFormat="1" x14ac:dyDescent="0.45"/>
    <row r="111" s="888" customFormat="1" x14ac:dyDescent="0.45"/>
    <row r="112" s="888" customFormat="1" x14ac:dyDescent="0.45"/>
    <row r="113" s="888" customFormat="1" x14ac:dyDescent="0.45"/>
    <row r="114" s="888" customFormat="1" x14ac:dyDescent="0.45"/>
    <row r="115" s="888" customFormat="1" x14ac:dyDescent="0.45"/>
    <row r="116" s="888" customFormat="1" x14ac:dyDescent="0.45"/>
    <row r="117" s="888" customFormat="1" x14ac:dyDescent="0.45"/>
    <row r="118" s="888" customFormat="1" x14ac:dyDescent="0.45"/>
    <row r="119" s="888" customFormat="1" x14ac:dyDescent="0.45"/>
    <row r="120" s="888" customFormat="1" x14ac:dyDescent="0.45"/>
    <row r="121" s="888" customFormat="1" x14ac:dyDescent="0.45"/>
    <row r="122" s="888" customFormat="1" x14ac:dyDescent="0.45"/>
    <row r="123" s="888" customFormat="1" x14ac:dyDescent="0.45"/>
    <row r="124" s="888" customFormat="1" x14ac:dyDescent="0.45"/>
    <row r="125" s="888" customFormat="1" x14ac:dyDescent="0.45"/>
    <row r="126" s="888" customFormat="1" x14ac:dyDescent="0.45"/>
    <row r="127" s="888" customFormat="1" x14ac:dyDescent="0.45"/>
    <row r="128" s="888" customFormat="1" x14ac:dyDescent="0.45"/>
    <row r="129" s="888" customFormat="1" x14ac:dyDescent="0.45"/>
    <row r="130" s="888" customFormat="1" x14ac:dyDescent="0.45"/>
    <row r="131" s="888" customFormat="1" x14ac:dyDescent="0.45"/>
    <row r="132" s="888" customFormat="1" x14ac:dyDescent="0.45"/>
    <row r="133" s="888" customFormat="1" x14ac:dyDescent="0.45"/>
    <row r="134" s="888" customFormat="1" x14ac:dyDescent="0.45"/>
    <row r="135" s="888" customFormat="1" x14ac:dyDescent="0.45"/>
    <row r="136" s="888" customFormat="1" x14ac:dyDescent="0.45"/>
    <row r="137" s="888" customFormat="1" x14ac:dyDescent="0.45"/>
    <row r="138" s="888" customFormat="1" x14ac:dyDescent="0.45"/>
    <row r="139" s="888" customFormat="1" x14ac:dyDescent="0.45"/>
    <row r="140" s="888" customFormat="1" x14ac:dyDescent="0.45"/>
    <row r="141" s="888" customFormat="1" x14ac:dyDescent="0.45"/>
    <row r="142" s="888" customFormat="1" x14ac:dyDescent="0.45"/>
    <row r="143" s="888" customFormat="1" x14ac:dyDescent="0.45"/>
    <row r="144" s="888" customFormat="1" x14ac:dyDescent="0.45"/>
    <row r="145" s="888" customFormat="1" x14ac:dyDescent="0.45"/>
    <row r="146" s="888" customFormat="1" x14ac:dyDescent="0.45"/>
    <row r="147" s="888" customFormat="1" x14ac:dyDescent="0.45"/>
    <row r="148" s="888" customFormat="1" x14ac:dyDescent="0.45"/>
    <row r="149" s="888" customFormat="1" x14ac:dyDescent="0.45"/>
    <row r="150" s="888" customFormat="1" x14ac:dyDescent="0.45"/>
    <row r="151" s="888" customFormat="1" x14ac:dyDescent="0.45"/>
    <row r="152" s="888" customFormat="1" x14ac:dyDescent="0.45"/>
    <row r="153" s="888" customFormat="1" x14ac:dyDescent="0.45"/>
    <row r="154" s="888" customFormat="1" x14ac:dyDescent="0.45"/>
    <row r="155" s="888" customFormat="1" x14ac:dyDescent="0.45"/>
    <row r="156" s="888" customFormat="1" x14ac:dyDescent="0.45"/>
    <row r="157" s="888" customFormat="1" x14ac:dyDescent="0.45"/>
    <row r="158" s="888" customFormat="1" x14ac:dyDescent="0.45"/>
    <row r="159" s="888" customFormat="1" x14ac:dyDescent="0.45"/>
    <row r="160" s="888" customFormat="1" x14ac:dyDescent="0.45"/>
    <row r="161" spans="3:257" s="888" customFormat="1" x14ac:dyDescent="0.45"/>
    <row r="162" spans="3:257" s="888" customFormat="1" x14ac:dyDescent="0.45"/>
    <row r="163" spans="3:257" s="888" customFormat="1" x14ac:dyDescent="0.45"/>
    <row r="164" spans="3:257" s="888" customFormat="1" x14ac:dyDescent="0.45"/>
    <row r="165" spans="3:257" s="888" customFormat="1" x14ac:dyDescent="0.45"/>
    <row r="166" spans="3:257" s="888" customFormat="1" x14ac:dyDescent="0.45"/>
    <row r="167" spans="3:257" s="888" customFormat="1" x14ac:dyDescent="0.45"/>
    <row r="168" spans="3:257" s="888" customFormat="1" x14ac:dyDescent="0.45"/>
    <row r="169" spans="3:257" s="888" customFormat="1" x14ac:dyDescent="0.45"/>
    <row r="170" spans="3:257" s="888" customFormat="1" x14ac:dyDescent="0.45"/>
    <row r="171" spans="3:257" s="888" customFormat="1" x14ac:dyDescent="0.45"/>
    <row r="172" spans="3:257" s="888" customFormat="1" x14ac:dyDescent="0.45"/>
    <row r="173" spans="3:257" s="888" customFormat="1" x14ac:dyDescent="0.45"/>
    <row r="174" spans="3:257" s="888" customFormat="1" x14ac:dyDescent="0.45"/>
    <row r="175" spans="3:257" s="888" customFormat="1" x14ac:dyDescent="0.45">
      <c r="C175" s="1740" t="s">
        <v>616</v>
      </c>
      <c r="U175" s="1800"/>
      <c r="V175" s="1800"/>
      <c r="W175" s="1800"/>
      <c r="X175" s="1800"/>
      <c r="Y175" s="1801"/>
      <c r="Z175" s="1801"/>
      <c r="AA175" s="1801"/>
      <c r="AB175" s="1801"/>
      <c r="AC175" s="1801"/>
      <c r="AD175" s="1801"/>
      <c r="AE175" s="1801"/>
      <c r="AF175" s="1801"/>
      <c r="AG175" s="1801"/>
      <c r="AH175" s="1801"/>
      <c r="AI175" s="1801"/>
      <c r="AJ175" s="1801"/>
      <c r="AK175" s="1801"/>
      <c r="AL175" s="1802"/>
      <c r="AM175" s="1802"/>
      <c r="AN175" s="1802"/>
      <c r="AO175" s="1802"/>
      <c r="AP175" s="1802"/>
      <c r="AQ175" s="1802"/>
      <c r="AR175" s="1802"/>
      <c r="AS175" s="1802"/>
      <c r="AT175" s="1802"/>
      <c r="AU175" s="1802"/>
      <c r="AV175" s="1802"/>
      <c r="AW175" s="1802"/>
      <c r="AX175" s="1802"/>
      <c r="AY175" s="1802"/>
      <c r="AZ175" s="1802"/>
      <c r="BA175" s="1802"/>
      <c r="BB175" s="1802"/>
      <c r="BC175" s="1802"/>
      <c r="BD175" s="1802"/>
      <c r="BE175" s="1802"/>
      <c r="BF175" s="1802"/>
      <c r="BG175" s="1802"/>
      <c r="BH175" s="1802"/>
      <c r="BI175" s="1802"/>
      <c r="BJ175" s="1802"/>
      <c r="BK175" s="1802"/>
      <c r="BL175" s="1802"/>
      <c r="BM175" s="1802"/>
      <c r="BN175" s="1802"/>
      <c r="BO175" s="1802"/>
      <c r="BP175" s="1802"/>
      <c r="BQ175" s="1802"/>
      <c r="BR175" s="1802"/>
      <c r="BS175" s="1802"/>
      <c r="BT175" s="1802"/>
      <c r="BU175" s="1802"/>
      <c r="BV175" s="1802"/>
      <c r="BW175" s="1802"/>
      <c r="BX175" s="1802"/>
      <c r="BY175" s="1802"/>
      <c r="BZ175" s="1802"/>
      <c r="CA175" s="1802"/>
      <c r="CB175" s="1802"/>
      <c r="CC175" s="1802"/>
      <c r="CD175" s="1802"/>
      <c r="CE175" s="1802"/>
      <c r="CF175" s="1802"/>
      <c r="CG175" s="1802"/>
      <c r="CH175" s="1802"/>
      <c r="CI175" s="1802"/>
      <c r="CJ175" s="1802"/>
      <c r="CK175" s="1802"/>
      <c r="CL175" s="1802"/>
      <c r="CM175" s="1802"/>
      <c r="CN175" s="1802"/>
      <c r="CO175" s="1802"/>
      <c r="CP175" s="1802"/>
      <c r="CQ175" s="1802"/>
      <c r="CR175" s="1802"/>
      <c r="CS175" s="1802"/>
      <c r="CT175" s="1802"/>
      <c r="CU175" s="1802"/>
      <c r="CV175" s="1802"/>
      <c r="CW175" s="1802"/>
      <c r="CX175" s="1802"/>
      <c r="CY175" s="1802"/>
      <c r="CZ175" s="1802"/>
      <c r="DA175" s="1802"/>
      <c r="DB175" s="1802"/>
      <c r="DC175" s="1802"/>
      <c r="DD175" s="1802"/>
      <c r="DE175" s="1802"/>
      <c r="DF175" s="1802"/>
      <c r="DG175" s="1802"/>
      <c r="DH175" s="1802"/>
      <c r="DI175" s="1802"/>
      <c r="DJ175" s="1802"/>
      <c r="DK175" s="1802"/>
      <c r="DL175" s="1802"/>
      <c r="DM175" s="1802"/>
      <c r="DN175" s="1802"/>
      <c r="DO175" s="1802"/>
      <c r="DP175" s="1802"/>
      <c r="DQ175" s="1802"/>
      <c r="DR175" s="1802"/>
      <c r="DS175" s="1802"/>
      <c r="DT175" s="1802"/>
      <c r="DU175" s="1802"/>
      <c r="DV175" s="1802"/>
      <c r="DW175" s="1802"/>
      <c r="DX175" s="1802"/>
      <c r="DY175" s="1802"/>
      <c r="DZ175" s="1802"/>
      <c r="EA175" s="1802"/>
      <c r="EB175" s="1802"/>
      <c r="EC175" s="1802"/>
      <c r="ED175" s="1802"/>
      <c r="EE175" s="1802"/>
      <c r="EF175" s="1802"/>
      <c r="EG175" s="1802"/>
      <c r="EH175" s="1802"/>
      <c r="EI175" s="1802"/>
      <c r="EJ175" s="1802"/>
      <c r="EK175" s="1802"/>
      <c r="EL175" s="1802"/>
      <c r="EM175" s="1802"/>
      <c r="EN175" s="1802"/>
      <c r="EO175" s="1802"/>
      <c r="EP175" s="1802"/>
      <c r="EQ175" s="1802"/>
      <c r="ER175" s="1802"/>
      <c r="ES175" s="1802"/>
      <c r="ET175" s="1802"/>
      <c r="EU175" s="1802"/>
      <c r="EV175" s="1802"/>
      <c r="EW175" s="1802"/>
      <c r="EX175" s="1802"/>
      <c r="EY175" s="1802"/>
      <c r="EZ175" s="1802"/>
      <c r="FA175" s="1802"/>
      <c r="FB175" s="1802"/>
      <c r="FC175" s="1802"/>
      <c r="FD175" s="1802"/>
      <c r="FE175" s="1802"/>
      <c r="FF175" s="1802"/>
      <c r="FG175" s="1802"/>
      <c r="FH175" s="1802"/>
      <c r="FI175" s="1802"/>
      <c r="FJ175" s="1802"/>
      <c r="FK175" s="1802"/>
      <c r="FL175" s="1802"/>
      <c r="FM175" s="1802"/>
      <c r="FN175" s="1802"/>
      <c r="FO175" s="1802"/>
      <c r="FP175" s="1802"/>
      <c r="FQ175" s="1802"/>
      <c r="FR175" s="1802"/>
      <c r="FS175" s="1802"/>
      <c r="FT175" s="1802"/>
      <c r="FU175" s="1802"/>
      <c r="FV175" s="1802"/>
      <c r="FW175" s="1802"/>
      <c r="FX175" s="1802"/>
      <c r="FY175" s="1802"/>
      <c r="FZ175" s="1802"/>
      <c r="GA175" s="1802"/>
      <c r="GB175" s="1802"/>
      <c r="GC175" s="1802"/>
      <c r="GD175" s="1802"/>
      <c r="GE175" s="1802"/>
      <c r="GF175" s="1802"/>
      <c r="GG175" s="1802"/>
      <c r="GH175" s="1802"/>
      <c r="GI175" s="1802"/>
      <c r="GJ175" s="1802"/>
      <c r="GK175" s="1802"/>
      <c r="GL175" s="1802"/>
      <c r="GM175" s="1802"/>
      <c r="GN175" s="1802"/>
      <c r="GO175" s="1802"/>
      <c r="GP175" s="1802"/>
      <c r="GQ175" s="1802"/>
      <c r="GR175" s="1802"/>
      <c r="GS175" s="1802"/>
      <c r="GT175" s="1802"/>
      <c r="GU175" s="1802"/>
      <c r="GV175" s="1802"/>
      <c r="GW175" s="1802"/>
      <c r="GX175" s="1802"/>
      <c r="GY175" s="1802"/>
      <c r="GZ175" s="1802"/>
      <c r="HA175" s="1802"/>
      <c r="HB175" s="1802"/>
      <c r="HC175" s="1802"/>
      <c r="HD175" s="1802"/>
      <c r="HE175" s="1802"/>
      <c r="HF175" s="1802"/>
      <c r="HG175" s="1802"/>
      <c r="HH175" s="1802"/>
      <c r="HI175" s="1802"/>
      <c r="HJ175" s="1802"/>
      <c r="HK175" s="1802"/>
      <c r="HL175" s="1802"/>
      <c r="HM175" s="1802"/>
      <c r="HN175" s="1802"/>
      <c r="HO175" s="1802"/>
      <c r="HP175" s="1802"/>
      <c r="HQ175" s="1802"/>
      <c r="HR175" s="1802"/>
      <c r="HS175" s="1802"/>
      <c r="HT175" s="1802"/>
      <c r="HU175" s="1802"/>
      <c r="HV175" s="1802"/>
      <c r="HW175" s="1802"/>
      <c r="HX175" s="1802"/>
      <c r="HY175" s="1802"/>
      <c r="HZ175" s="1802"/>
      <c r="IA175" s="1802"/>
      <c r="IB175" s="1802"/>
      <c r="IC175" s="1802"/>
      <c r="ID175" s="1802"/>
      <c r="IE175" s="1802"/>
      <c r="IF175" s="1802"/>
      <c r="IG175" s="1802"/>
      <c r="IH175" s="1802"/>
      <c r="II175" s="1802"/>
      <c r="IJ175" s="1802"/>
      <c r="IK175" s="1802"/>
      <c r="IL175" s="1802"/>
      <c r="IM175" s="1802"/>
      <c r="IN175" s="1802"/>
      <c r="IO175" s="1802"/>
      <c r="IP175" s="1802"/>
      <c r="IQ175" s="1802"/>
      <c r="IR175" s="1802"/>
      <c r="IS175" s="1802"/>
      <c r="IT175" s="1802"/>
      <c r="IU175" s="1802"/>
      <c r="IV175" s="1802"/>
      <c r="IW175" s="1802"/>
    </row>
    <row r="176" spans="3:257" s="888" customFormat="1" ht="24" x14ac:dyDescent="0.45">
      <c r="C176" s="1803" t="s">
        <v>617</v>
      </c>
      <c r="D176" s="1803" t="s">
        <v>865</v>
      </c>
      <c r="E176" s="1804"/>
      <c r="F176" s="1802"/>
      <c r="G176" s="1802"/>
      <c r="H176" s="1802"/>
      <c r="I176" s="1802"/>
      <c r="J176" s="1801"/>
      <c r="K176" s="1802"/>
      <c r="L176" s="1802"/>
      <c r="M176" s="1802"/>
      <c r="N176" s="1802"/>
      <c r="O176" s="1802"/>
      <c r="P176" s="1801"/>
      <c r="Q176" s="1801"/>
      <c r="R176" s="1801"/>
      <c r="S176" s="1801"/>
      <c r="T176" s="1800"/>
      <c r="U176" s="1800"/>
      <c r="V176" s="1800"/>
      <c r="W176" s="1800"/>
      <c r="X176" s="1800"/>
      <c r="Y176" s="1801"/>
      <c r="Z176" s="1801"/>
      <c r="AA176" s="1801"/>
      <c r="AB176" s="1801"/>
      <c r="AC176" s="1801"/>
      <c r="AD176" s="1801"/>
      <c r="AE176" s="1801"/>
      <c r="AF176" s="1801"/>
      <c r="AG176" s="1801"/>
      <c r="AH176" s="1801"/>
      <c r="AI176" s="1801"/>
      <c r="AJ176" s="1801"/>
      <c r="AK176" s="1801"/>
      <c r="AL176" s="1802"/>
      <c r="AM176" s="1802"/>
      <c r="AN176" s="1802"/>
      <c r="AO176" s="1802"/>
      <c r="AP176" s="1802"/>
      <c r="AQ176" s="1802"/>
      <c r="AR176" s="1802"/>
      <c r="AS176" s="1802"/>
      <c r="AT176" s="1802"/>
      <c r="AU176" s="1802"/>
      <c r="AV176" s="1802"/>
      <c r="AW176" s="1802"/>
      <c r="AX176" s="1802"/>
      <c r="AY176" s="1802"/>
      <c r="AZ176" s="1802"/>
      <c r="BA176" s="1802"/>
      <c r="BB176" s="1802"/>
      <c r="BC176" s="1802"/>
      <c r="BD176" s="1802"/>
      <c r="BE176" s="1802"/>
      <c r="BF176" s="1802"/>
      <c r="BG176" s="1802"/>
      <c r="BH176" s="1802"/>
      <c r="BI176" s="1802"/>
      <c r="BJ176" s="1802"/>
      <c r="BK176" s="1802"/>
      <c r="BL176" s="1802"/>
      <c r="BM176" s="1802"/>
      <c r="BN176" s="1802"/>
      <c r="BO176" s="1802"/>
      <c r="BP176" s="1802"/>
      <c r="BQ176" s="1802"/>
      <c r="BR176" s="1802"/>
      <c r="BS176" s="1802"/>
      <c r="BT176" s="1802"/>
      <c r="BU176" s="1802"/>
      <c r="BV176" s="1802"/>
      <c r="BW176" s="1802"/>
      <c r="BX176" s="1802"/>
      <c r="BY176" s="1802"/>
      <c r="BZ176" s="1802"/>
      <c r="CA176" s="1802"/>
      <c r="CB176" s="1802"/>
      <c r="CC176" s="1802"/>
      <c r="CD176" s="1802"/>
      <c r="CE176" s="1802"/>
      <c r="CF176" s="1802"/>
      <c r="CG176" s="1802"/>
      <c r="CH176" s="1802"/>
      <c r="CI176" s="1802"/>
      <c r="CJ176" s="1802"/>
      <c r="CK176" s="1802"/>
      <c r="CL176" s="1802"/>
      <c r="CM176" s="1802"/>
      <c r="CN176" s="1802"/>
      <c r="CO176" s="1802"/>
      <c r="CP176" s="1802"/>
      <c r="CQ176" s="1802"/>
      <c r="CR176" s="1802"/>
      <c r="CS176" s="1802"/>
      <c r="CT176" s="1802"/>
      <c r="CU176" s="1802"/>
      <c r="CV176" s="1802"/>
      <c r="CW176" s="1802"/>
      <c r="CX176" s="1802"/>
      <c r="CY176" s="1802"/>
      <c r="CZ176" s="1802"/>
      <c r="DA176" s="1802"/>
      <c r="DB176" s="1802"/>
      <c r="DC176" s="1802"/>
      <c r="DD176" s="1802"/>
      <c r="DE176" s="1802"/>
      <c r="DF176" s="1802"/>
      <c r="DG176" s="1802"/>
      <c r="DH176" s="1802"/>
      <c r="DI176" s="1802"/>
      <c r="DJ176" s="1802"/>
      <c r="DK176" s="1802"/>
      <c r="DL176" s="1802"/>
      <c r="DM176" s="1802"/>
      <c r="DN176" s="1802"/>
      <c r="DO176" s="1802"/>
      <c r="DP176" s="1802"/>
      <c r="DQ176" s="1802"/>
      <c r="DR176" s="1802"/>
      <c r="DS176" s="1802"/>
      <c r="DT176" s="1802"/>
      <c r="DU176" s="1802"/>
      <c r="DV176" s="1802"/>
      <c r="DW176" s="1802"/>
      <c r="DX176" s="1802"/>
      <c r="DY176" s="1802"/>
      <c r="DZ176" s="1802"/>
      <c r="EA176" s="1802"/>
      <c r="EB176" s="1802"/>
      <c r="EC176" s="1802"/>
      <c r="ED176" s="1802"/>
      <c r="EE176" s="1802"/>
      <c r="EF176" s="1802"/>
      <c r="EG176" s="1802"/>
      <c r="EH176" s="1802"/>
      <c r="EI176" s="1802"/>
      <c r="EJ176" s="1802"/>
      <c r="EK176" s="1802"/>
      <c r="EL176" s="1802"/>
      <c r="EM176" s="1802"/>
      <c r="EN176" s="1802"/>
      <c r="EO176" s="1802"/>
      <c r="EP176" s="1802"/>
      <c r="EQ176" s="1802"/>
      <c r="ER176" s="1802"/>
      <c r="ES176" s="1802"/>
      <c r="ET176" s="1802"/>
      <c r="EU176" s="1802"/>
      <c r="EV176" s="1802"/>
      <c r="EW176" s="1802"/>
      <c r="EX176" s="1802"/>
      <c r="EY176" s="1802"/>
      <c r="EZ176" s="1802"/>
      <c r="FA176" s="1802"/>
      <c r="FB176" s="1802"/>
      <c r="FC176" s="1802"/>
      <c r="FD176" s="1802"/>
      <c r="FE176" s="1802"/>
      <c r="FF176" s="1802"/>
      <c r="FG176" s="1802"/>
      <c r="FH176" s="1802"/>
      <c r="FI176" s="1802"/>
      <c r="FJ176" s="1802"/>
      <c r="FK176" s="1802"/>
      <c r="FL176" s="1802"/>
      <c r="FM176" s="1802"/>
      <c r="FN176" s="1802"/>
      <c r="FO176" s="1802"/>
      <c r="FP176" s="1802"/>
      <c r="FQ176" s="1802"/>
      <c r="FR176" s="1802"/>
      <c r="FS176" s="1802"/>
      <c r="FT176" s="1802"/>
      <c r="FU176" s="1802"/>
      <c r="FV176" s="1802"/>
      <c r="FW176" s="1802"/>
      <c r="FX176" s="1802"/>
      <c r="FY176" s="1802"/>
      <c r="FZ176" s="1802"/>
      <c r="GA176" s="1802"/>
      <c r="GB176" s="1802"/>
      <c r="GC176" s="1802"/>
      <c r="GD176" s="1802"/>
      <c r="GE176" s="1802"/>
      <c r="GF176" s="1802"/>
      <c r="GG176" s="1802"/>
      <c r="GH176" s="1802"/>
      <c r="GI176" s="1802"/>
      <c r="GJ176" s="1802"/>
      <c r="GK176" s="1802"/>
      <c r="GL176" s="1802"/>
      <c r="GM176" s="1802"/>
      <c r="GN176" s="1802"/>
      <c r="GO176" s="1802"/>
      <c r="GP176" s="1802"/>
      <c r="GQ176" s="1802"/>
      <c r="GR176" s="1802"/>
      <c r="GS176" s="1802"/>
      <c r="GT176" s="1802"/>
      <c r="GU176" s="1802"/>
      <c r="GV176" s="1802"/>
      <c r="GW176" s="1802"/>
      <c r="GX176" s="1802"/>
      <c r="GY176" s="1802"/>
      <c r="GZ176" s="1802"/>
      <c r="HA176" s="1802"/>
      <c r="HB176" s="1802"/>
      <c r="HC176" s="1802"/>
      <c r="HD176" s="1802"/>
      <c r="HE176" s="1802"/>
      <c r="HF176" s="1802"/>
      <c r="HG176" s="1802"/>
      <c r="HH176" s="1802"/>
      <c r="HI176" s="1802"/>
      <c r="HJ176" s="1802"/>
      <c r="HK176" s="1802"/>
      <c r="HL176" s="1802"/>
      <c r="HM176" s="1802"/>
      <c r="HN176" s="1802"/>
      <c r="HO176" s="1802"/>
      <c r="HP176" s="1802"/>
      <c r="HQ176" s="1802"/>
      <c r="HR176" s="1802"/>
      <c r="HS176" s="1802"/>
      <c r="HT176" s="1802"/>
      <c r="HU176" s="1802"/>
      <c r="HV176" s="1802"/>
      <c r="HW176" s="1802"/>
      <c r="HX176" s="1802"/>
      <c r="HY176" s="1802"/>
      <c r="HZ176" s="1802"/>
      <c r="IA176" s="1802"/>
      <c r="IB176" s="1802"/>
      <c r="IC176" s="1802"/>
      <c r="ID176" s="1802"/>
      <c r="IE176" s="1802"/>
      <c r="IF176" s="1802"/>
      <c r="IG176" s="1802"/>
      <c r="IH176" s="1802"/>
      <c r="II176" s="1802"/>
      <c r="IJ176" s="1802"/>
      <c r="IK176" s="1802"/>
      <c r="IL176" s="1802"/>
      <c r="IM176" s="1802"/>
      <c r="IN176" s="1802"/>
      <c r="IO176" s="1802"/>
      <c r="IP176" s="1802"/>
      <c r="IQ176" s="1802"/>
      <c r="IR176" s="1802"/>
      <c r="IS176" s="1802"/>
      <c r="IT176" s="1802"/>
      <c r="IU176" s="1802"/>
      <c r="IV176" s="1802"/>
      <c r="IW176" s="1802"/>
    </row>
    <row r="177" spans="3:257" s="888" customFormat="1" ht="14.65" thickBot="1" x14ac:dyDescent="0.5">
      <c r="C177" s="1802"/>
      <c r="D177" s="1805"/>
      <c r="E177" s="1806"/>
      <c r="F177" s="1806"/>
      <c r="G177" s="1806"/>
      <c r="H177" s="1806"/>
      <c r="I177" s="1806"/>
      <c r="J177" s="1806"/>
      <c r="K177" s="1806"/>
      <c r="L177" s="1806"/>
      <c r="M177" s="1806"/>
      <c r="N177" s="1806"/>
      <c r="O177" s="1806"/>
      <c r="P177" s="1806"/>
      <c r="Q177" s="1806"/>
      <c r="R177" s="1801"/>
      <c r="S177" s="1801"/>
      <c r="T177" s="1800"/>
      <c r="U177" s="1807"/>
      <c r="V177" s="1800"/>
      <c r="W177" s="1800"/>
      <c r="X177" s="1800"/>
      <c r="Y177" s="1801"/>
      <c r="Z177" s="1801"/>
      <c r="AA177" s="1801"/>
      <c r="AB177" s="1801"/>
      <c r="AC177" s="1801"/>
      <c r="AD177" s="1801"/>
      <c r="AE177" s="1801"/>
      <c r="AF177" s="1801"/>
      <c r="AG177" s="1801"/>
      <c r="AH177" s="1801"/>
      <c r="AI177" s="1801"/>
      <c r="AJ177" s="1801"/>
      <c r="AK177" s="1801"/>
      <c r="AL177" s="1802"/>
      <c r="AM177" s="1802"/>
      <c r="AN177" s="1802"/>
      <c r="AO177" s="1802"/>
      <c r="AP177" s="1802"/>
      <c r="AQ177" s="1802"/>
      <c r="AR177" s="1802"/>
      <c r="AS177" s="1802"/>
      <c r="AT177" s="1802"/>
      <c r="AU177" s="1802"/>
      <c r="AV177" s="1802"/>
      <c r="AW177" s="1802"/>
      <c r="AX177" s="1802"/>
      <c r="AY177" s="1802"/>
      <c r="AZ177" s="1802"/>
      <c r="BA177" s="1802"/>
      <c r="BB177" s="1802"/>
      <c r="BC177" s="1802"/>
      <c r="BD177" s="1802"/>
      <c r="BE177" s="1802"/>
      <c r="BF177" s="1802"/>
      <c r="BG177" s="1802"/>
      <c r="BH177" s="1802"/>
      <c r="BI177" s="1802"/>
      <c r="BJ177" s="1802"/>
      <c r="BK177" s="1802"/>
      <c r="BL177" s="1802"/>
      <c r="BM177" s="1802"/>
      <c r="BN177" s="1802"/>
      <c r="BO177" s="1802"/>
      <c r="BP177" s="1802"/>
      <c r="BQ177" s="1802"/>
      <c r="BR177" s="1802"/>
      <c r="BS177" s="1802"/>
      <c r="BT177" s="1802"/>
      <c r="BU177" s="1802"/>
      <c r="BV177" s="1802"/>
      <c r="BW177" s="1802"/>
      <c r="BX177" s="1802"/>
      <c r="BY177" s="1802"/>
      <c r="BZ177" s="1802"/>
      <c r="CA177" s="1802"/>
      <c r="CB177" s="1802"/>
      <c r="CC177" s="1802"/>
      <c r="CD177" s="1802"/>
      <c r="CE177" s="1802"/>
      <c r="CF177" s="1802"/>
      <c r="CG177" s="1802"/>
      <c r="CH177" s="1802"/>
      <c r="CI177" s="1802"/>
      <c r="CJ177" s="1802"/>
      <c r="CK177" s="1802"/>
      <c r="CL177" s="1802"/>
      <c r="CM177" s="1802"/>
      <c r="CN177" s="1802"/>
      <c r="CO177" s="1802"/>
      <c r="CP177" s="1802"/>
      <c r="CQ177" s="1802"/>
      <c r="CR177" s="1802"/>
      <c r="CS177" s="1802"/>
      <c r="CT177" s="1802"/>
      <c r="CU177" s="1802"/>
      <c r="CV177" s="1802"/>
      <c r="CW177" s="1802"/>
      <c r="CX177" s="1802"/>
      <c r="CY177" s="1802"/>
      <c r="CZ177" s="1802"/>
      <c r="DA177" s="1802"/>
      <c r="DB177" s="1802"/>
      <c r="DC177" s="1802"/>
      <c r="DD177" s="1802"/>
      <c r="DE177" s="1802"/>
      <c r="DF177" s="1802"/>
      <c r="DG177" s="1802"/>
      <c r="DH177" s="1802"/>
      <c r="DI177" s="1802"/>
      <c r="DJ177" s="1802"/>
      <c r="DK177" s="1802"/>
      <c r="DL177" s="1802"/>
      <c r="DM177" s="1802"/>
      <c r="DN177" s="1802"/>
      <c r="DO177" s="1802"/>
      <c r="DP177" s="1802"/>
      <c r="DQ177" s="1802"/>
      <c r="DR177" s="1802"/>
      <c r="DS177" s="1802"/>
      <c r="DT177" s="1802"/>
      <c r="DU177" s="1802"/>
      <c r="DV177" s="1802"/>
      <c r="DW177" s="1802"/>
      <c r="DX177" s="1802"/>
      <c r="DY177" s="1802"/>
      <c r="DZ177" s="1802"/>
      <c r="EA177" s="1802"/>
      <c r="EB177" s="1802"/>
      <c r="EC177" s="1802"/>
      <c r="ED177" s="1802"/>
      <c r="EE177" s="1802"/>
      <c r="EF177" s="1802"/>
      <c r="EG177" s="1802"/>
      <c r="EH177" s="1802"/>
      <c r="EI177" s="1802"/>
      <c r="EJ177" s="1802"/>
      <c r="EK177" s="1802"/>
      <c r="EL177" s="1802"/>
      <c r="EM177" s="1802"/>
      <c r="EN177" s="1802"/>
      <c r="EO177" s="1802"/>
      <c r="EP177" s="1802"/>
      <c r="EQ177" s="1802"/>
      <c r="ER177" s="1802"/>
      <c r="ES177" s="1802"/>
      <c r="ET177" s="1802"/>
      <c r="EU177" s="1802"/>
      <c r="EV177" s="1802"/>
      <c r="EW177" s="1802"/>
      <c r="EX177" s="1802"/>
      <c r="EY177" s="1802"/>
      <c r="EZ177" s="1802"/>
      <c r="FA177" s="1802"/>
      <c r="FB177" s="1802"/>
      <c r="FC177" s="1802"/>
      <c r="FD177" s="1802"/>
      <c r="FE177" s="1802"/>
      <c r="FF177" s="1802"/>
      <c r="FG177" s="1802"/>
      <c r="FH177" s="1802"/>
      <c r="FI177" s="1802"/>
      <c r="FJ177" s="1802"/>
      <c r="FK177" s="1802"/>
      <c r="FL177" s="1802"/>
      <c r="FM177" s="1802"/>
      <c r="FN177" s="1802"/>
      <c r="FO177" s="1802"/>
      <c r="FP177" s="1802"/>
      <c r="FQ177" s="1802"/>
      <c r="FR177" s="1802"/>
      <c r="FS177" s="1802"/>
      <c r="FT177" s="1802"/>
      <c r="FU177" s="1802"/>
      <c r="FV177" s="1802"/>
      <c r="FW177" s="1802"/>
      <c r="FX177" s="1802"/>
      <c r="FY177" s="1802"/>
      <c r="FZ177" s="1802"/>
      <c r="GA177" s="1802"/>
      <c r="GB177" s="1802"/>
      <c r="GC177" s="1802"/>
      <c r="GD177" s="1802"/>
      <c r="GE177" s="1802"/>
      <c r="GF177" s="1802"/>
      <c r="GG177" s="1802"/>
      <c r="GH177" s="1802"/>
      <c r="GI177" s="1802"/>
      <c r="GJ177" s="1802"/>
      <c r="GK177" s="1802"/>
      <c r="GL177" s="1802"/>
      <c r="GM177" s="1802"/>
      <c r="GN177" s="1802"/>
      <c r="GO177" s="1802"/>
      <c r="GP177" s="1802"/>
      <c r="GQ177" s="1802"/>
      <c r="GR177" s="1802"/>
      <c r="GS177" s="1802"/>
      <c r="GT177" s="1802"/>
      <c r="GU177" s="1802"/>
      <c r="GV177" s="1802"/>
      <c r="GW177" s="1802"/>
      <c r="GX177" s="1802"/>
      <c r="GY177" s="1802"/>
      <c r="GZ177" s="1802"/>
      <c r="HA177" s="1802"/>
      <c r="HB177" s="1802"/>
      <c r="HC177" s="1802"/>
      <c r="HD177" s="1802"/>
      <c r="HE177" s="1802"/>
      <c r="HF177" s="1802"/>
      <c r="HG177" s="1802"/>
      <c r="HH177" s="1802"/>
      <c r="HI177" s="1802"/>
      <c r="HJ177" s="1802"/>
      <c r="HK177" s="1802"/>
      <c r="HL177" s="1802"/>
      <c r="HM177" s="1802"/>
      <c r="HN177" s="1802"/>
      <c r="HO177" s="1802"/>
      <c r="HP177" s="1802"/>
      <c r="HQ177" s="1802"/>
      <c r="HR177" s="1802"/>
      <c r="HS177" s="1802"/>
      <c r="HT177" s="1802"/>
      <c r="HU177" s="1802"/>
      <c r="HV177" s="1802"/>
      <c r="HW177" s="1802"/>
      <c r="HX177" s="1802"/>
      <c r="HY177" s="1802"/>
      <c r="HZ177" s="1802"/>
      <c r="IA177" s="1802"/>
      <c r="IB177" s="1802"/>
      <c r="IC177" s="1802"/>
      <c r="ID177" s="1802"/>
      <c r="IE177" s="1802"/>
      <c r="IF177" s="1802"/>
      <c r="IG177" s="1802"/>
      <c r="IH177" s="1802"/>
      <c r="II177" s="1802"/>
      <c r="IJ177" s="1802"/>
      <c r="IK177" s="1802"/>
      <c r="IL177" s="1802"/>
      <c r="IM177" s="1802"/>
      <c r="IN177" s="1802"/>
      <c r="IO177" s="1802"/>
      <c r="IP177" s="1802"/>
      <c r="IQ177" s="1802"/>
      <c r="IR177" s="1802"/>
      <c r="IS177" s="1802"/>
      <c r="IT177" s="1802"/>
      <c r="IU177" s="1802"/>
      <c r="IV177" s="1802"/>
      <c r="IW177" s="1802"/>
    </row>
    <row r="178" spans="3:257" s="888" customFormat="1" ht="15.4" x14ac:dyDescent="0.55000000000000004">
      <c r="C178" s="51" t="s">
        <v>618</v>
      </c>
      <c r="D178" s="52" t="s">
        <v>619</v>
      </c>
      <c r="E178" s="53" t="s">
        <v>620</v>
      </c>
      <c r="F178" s="2391" t="s">
        <v>621</v>
      </c>
      <c r="G178" s="2369"/>
      <c r="H178" s="2369"/>
      <c r="I178" s="2369"/>
      <c r="J178" s="2392"/>
      <c r="K178" s="2341" t="s">
        <v>115</v>
      </c>
      <c r="L178" s="2309"/>
      <c r="M178" s="2309"/>
      <c r="N178" s="2309"/>
      <c r="O178" s="2309"/>
      <c r="P178" s="2341" t="s">
        <v>1838</v>
      </c>
      <c r="Q178" s="2309"/>
      <c r="R178" s="2342"/>
      <c r="S178" s="1807"/>
      <c r="T178" s="1807"/>
      <c r="U178" s="1807"/>
      <c r="V178" s="1840"/>
      <c r="W178" s="1840"/>
      <c r="X178" s="1840"/>
      <c r="Y178" s="1806"/>
      <c r="Z178" s="1806"/>
      <c r="AA178" s="1806"/>
      <c r="AB178" s="1806"/>
      <c r="AC178" s="1806"/>
      <c r="AD178" s="1806"/>
      <c r="AE178" s="1806"/>
      <c r="AF178" s="1806"/>
      <c r="AG178" s="1806"/>
      <c r="AH178" s="1806"/>
      <c r="AI178" s="1806"/>
      <c r="AJ178" s="1806"/>
      <c r="AK178" s="1806"/>
      <c r="AL178" s="1805"/>
      <c r="AM178" s="1805"/>
      <c r="AN178" s="1805"/>
      <c r="AO178" s="1805"/>
      <c r="AP178" s="1805"/>
      <c r="AQ178" s="1805"/>
      <c r="AR178" s="1805"/>
      <c r="AS178" s="1805"/>
      <c r="AT178" s="1805"/>
      <c r="AU178" s="1805"/>
      <c r="AV178" s="1805"/>
      <c r="AW178" s="1805"/>
      <c r="AX178" s="1805"/>
      <c r="AY178" s="1805"/>
      <c r="AZ178" s="1805"/>
      <c r="BA178" s="1805"/>
      <c r="BB178" s="1805"/>
      <c r="BC178" s="1805"/>
      <c r="BD178" s="1805"/>
      <c r="BE178" s="1805"/>
      <c r="BF178" s="1805"/>
      <c r="BG178" s="1805"/>
      <c r="BH178" s="1805"/>
      <c r="BI178" s="1805"/>
      <c r="BJ178" s="1805"/>
      <c r="BK178" s="1805"/>
      <c r="BL178" s="1805"/>
      <c r="BM178" s="1805"/>
      <c r="BN178" s="1805"/>
      <c r="BO178" s="1805"/>
      <c r="BP178" s="1805"/>
      <c r="BQ178" s="1805"/>
      <c r="BR178" s="1805"/>
      <c r="BS178" s="1805"/>
      <c r="BT178" s="1805"/>
      <c r="BU178" s="1805"/>
      <c r="BV178" s="1805"/>
      <c r="BW178" s="1805"/>
      <c r="BX178" s="1805"/>
      <c r="BY178" s="1805"/>
      <c r="BZ178" s="1805"/>
      <c r="CA178" s="1805"/>
      <c r="CB178" s="1805"/>
      <c r="CC178" s="1805"/>
      <c r="CD178" s="1805"/>
      <c r="CE178" s="1805"/>
      <c r="CF178" s="1805"/>
      <c r="CG178" s="1805"/>
      <c r="CH178" s="1805"/>
      <c r="CI178" s="1805"/>
      <c r="CJ178" s="1805"/>
      <c r="CK178" s="1805"/>
      <c r="CL178" s="1805"/>
      <c r="CM178" s="1805"/>
      <c r="CN178" s="1805"/>
      <c r="CO178" s="1805"/>
      <c r="CP178" s="1805"/>
      <c r="CQ178" s="1805"/>
      <c r="CR178" s="1805"/>
      <c r="CS178" s="1805"/>
      <c r="CT178" s="1805"/>
      <c r="CU178" s="1805"/>
      <c r="CV178" s="1805"/>
      <c r="CW178" s="1805"/>
      <c r="CX178" s="1805"/>
      <c r="CY178" s="1805"/>
      <c r="CZ178" s="1805"/>
      <c r="DA178" s="1805"/>
      <c r="DB178" s="1805"/>
      <c r="DC178" s="1805"/>
      <c r="DD178" s="1805"/>
      <c r="DE178" s="1805"/>
      <c r="DF178" s="1805"/>
      <c r="DG178" s="1805"/>
      <c r="DH178" s="1805"/>
      <c r="DI178" s="1805"/>
      <c r="DJ178" s="1805"/>
      <c r="DK178" s="1805"/>
      <c r="DL178" s="1805"/>
      <c r="DM178" s="1805"/>
      <c r="DN178" s="1805"/>
      <c r="DO178" s="1805"/>
      <c r="DP178" s="1805"/>
      <c r="DQ178" s="1805"/>
      <c r="DR178" s="1805"/>
      <c r="DS178" s="1805"/>
      <c r="DT178" s="1805"/>
      <c r="DU178" s="1805"/>
      <c r="DV178" s="1805"/>
      <c r="DW178" s="1805"/>
      <c r="DX178" s="1805"/>
      <c r="DY178" s="1805"/>
      <c r="DZ178" s="1805"/>
      <c r="EA178" s="1805"/>
      <c r="EB178" s="1805"/>
      <c r="EC178" s="1805"/>
      <c r="ED178" s="1805"/>
      <c r="EE178" s="1805"/>
      <c r="EF178" s="1805"/>
      <c r="EG178" s="1805"/>
      <c r="EH178" s="1805"/>
      <c r="EI178" s="1805"/>
      <c r="EJ178" s="1805"/>
      <c r="EK178" s="1805"/>
      <c r="EL178" s="1805"/>
      <c r="EM178" s="1805"/>
      <c r="EN178" s="1805"/>
      <c r="EO178" s="1805"/>
      <c r="EP178" s="1805"/>
      <c r="EQ178" s="1805"/>
      <c r="ER178" s="1805"/>
      <c r="ES178" s="1805"/>
      <c r="ET178" s="1805"/>
      <c r="EU178" s="1805"/>
      <c r="EV178" s="1805"/>
      <c r="EW178" s="1805"/>
      <c r="EX178" s="1805"/>
      <c r="EY178" s="1805"/>
      <c r="EZ178" s="1805"/>
      <c r="FA178" s="1805"/>
      <c r="FB178" s="1805"/>
      <c r="FC178" s="1805"/>
      <c r="FD178" s="1805"/>
      <c r="FE178" s="1805"/>
      <c r="FF178" s="1805"/>
      <c r="FG178" s="1805"/>
      <c r="FH178" s="1805"/>
      <c r="FI178" s="1805"/>
      <c r="FJ178" s="1805"/>
      <c r="FK178" s="1805"/>
      <c r="FL178" s="1805"/>
      <c r="FM178" s="1805"/>
      <c r="FN178" s="1805"/>
      <c r="FO178" s="1805"/>
      <c r="FP178" s="1805"/>
      <c r="FQ178" s="1805"/>
      <c r="FR178" s="1805"/>
      <c r="FS178" s="1805"/>
      <c r="FT178" s="1805"/>
      <c r="FU178" s="1805"/>
      <c r="FV178" s="1805"/>
      <c r="FW178" s="1805"/>
      <c r="FX178" s="1805"/>
      <c r="FY178" s="1805"/>
      <c r="FZ178" s="1805"/>
      <c r="GA178" s="1805"/>
      <c r="GB178" s="1805"/>
      <c r="GC178" s="1805"/>
      <c r="GD178" s="1805"/>
      <c r="GE178" s="1805"/>
      <c r="GF178" s="1805"/>
      <c r="GG178" s="1805"/>
      <c r="GH178" s="1805"/>
      <c r="GI178" s="1805"/>
      <c r="GJ178" s="1805"/>
      <c r="GK178" s="1805"/>
      <c r="GL178" s="1805"/>
      <c r="GM178" s="1805"/>
      <c r="GN178" s="1805"/>
      <c r="GO178" s="1805"/>
      <c r="GP178" s="1805"/>
      <c r="GQ178" s="1805"/>
      <c r="GR178" s="1805"/>
      <c r="GS178" s="1805"/>
      <c r="GT178" s="1805"/>
      <c r="GU178" s="1805"/>
      <c r="GV178" s="1805"/>
      <c r="GW178" s="1805"/>
      <c r="GX178" s="1805"/>
      <c r="GY178" s="1805"/>
      <c r="GZ178" s="1805"/>
      <c r="HA178" s="1805"/>
      <c r="HB178" s="1805"/>
      <c r="HC178" s="1805"/>
      <c r="HD178" s="1805"/>
      <c r="HE178" s="1805"/>
      <c r="HF178" s="1805"/>
      <c r="HG178" s="1805"/>
      <c r="HH178" s="1805"/>
      <c r="HI178" s="1805"/>
      <c r="HJ178" s="1805"/>
      <c r="HK178" s="1805"/>
      <c r="HL178" s="1805"/>
      <c r="HM178" s="1805"/>
      <c r="HN178" s="1805"/>
      <c r="HO178" s="1805"/>
      <c r="HP178" s="1805"/>
      <c r="HQ178" s="1805"/>
      <c r="HR178" s="1805"/>
      <c r="HS178" s="1805"/>
      <c r="HT178" s="1805"/>
      <c r="HU178" s="1805"/>
      <c r="HV178" s="1805"/>
      <c r="HW178" s="1805"/>
      <c r="HX178" s="1805"/>
      <c r="HY178" s="1805"/>
      <c r="HZ178" s="1805"/>
      <c r="IA178" s="1805"/>
      <c r="IB178" s="1805"/>
      <c r="IC178" s="1805"/>
      <c r="ID178" s="1805"/>
      <c r="IE178" s="1805"/>
      <c r="IF178" s="1805"/>
      <c r="IG178" s="1805"/>
      <c r="IH178" s="1805"/>
      <c r="II178" s="1805"/>
      <c r="IJ178" s="1805"/>
      <c r="IK178" s="1805"/>
      <c r="IL178" s="1805"/>
      <c r="IM178" s="1805"/>
      <c r="IN178" s="1805"/>
      <c r="IO178" s="1805"/>
      <c r="IP178" s="1805"/>
      <c r="IQ178" s="1805"/>
      <c r="IR178" s="1805"/>
      <c r="IS178" s="1805"/>
      <c r="IT178" s="1805"/>
      <c r="IU178" s="1805"/>
      <c r="IV178" s="1805"/>
      <c r="IW178" s="1805"/>
    </row>
    <row r="179" spans="3:257" s="888" customFormat="1" x14ac:dyDescent="0.45">
      <c r="C179" s="54"/>
      <c r="D179" s="55"/>
      <c r="E179" s="56"/>
      <c r="F179" s="57" t="s">
        <v>622</v>
      </c>
      <c r="G179" s="2357" t="s">
        <v>271</v>
      </c>
      <c r="H179" s="2358"/>
      <c r="I179" s="58" t="s">
        <v>623</v>
      </c>
      <c r="J179" s="59" t="s">
        <v>624</v>
      </c>
      <c r="K179" s="57" t="s">
        <v>368</v>
      </c>
      <c r="L179" s="2357" t="s">
        <v>271</v>
      </c>
      <c r="M179" s="2358"/>
      <c r="N179" s="58" t="s">
        <v>623</v>
      </c>
      <c r="O179" s="1016" t="s">
        <v>624</v>
      </c>
      <c r="P179" s="2388" t="s">
        <v>1712</v>
      </c>
      <c r="Q179" s="2389"/>
      <c r="R179" s="2390"/>
      <c r="S179" s="1807"/>
      <c r="T179" s="1841"/>
      <c r="U179" s="1807"/>
      <c r="V179" s="1840"/>
      <c r="W179" s="1840"/>
      <c r="X179" s="1840"/>
      <c r="Y179" s="1806"/>
      <c r="Z179" s="1806"/>
      <c r="AA179" s="1806"/>
      <c r="AB179" s="1806"/>
      <c r="AC179" s="1806"/>
      <c r="AD179" s="1806"/>
      <c r="AE179" s="1806"/>
      <c r="AF179" s="1806"/>
      <c r="AG179" s="1806"/>
      <c r="AH179" s="1806"/>
      <c r="AI179" s="1806"/>
      <c r="AJ179" s="1806"/>
      <c r="AK179" s="1806"/>
      <c r="AL179" s="1805"/>
      <c r="AM179" s="1805"/>
      <c r="AN179" s="1805"/>
      <c r="AO179" s="1805"/>
      <c r="AP179" s="1805"/>
      <c r="AQ179" s="1805"/>
      <c r="AR179" s="1805"/>
      <c r="AS179" s="1805"/>
      <c r="AT179" s="1805"/>
      <c r="AU179" s="1805"/>
      <c r="AV179" s="1805"/>
      <c r="AW179" s="1805"/>
      <c r="AX179" s="1805"/>
      <c r="AY179" s="1805"/>
      <c r="AZ179" s="1805"/>
      <c r="BA179" s="1805"/>
      <c r="BB179" s="1805"/>
      <c r="BC179" s="1805"/>
      <c r="BD179" s="1805"/>
      <c r="BE179" s="1805"/>
      <c r="BF179" s="1805"/>
      <c r="BG179" s="1805"/>
      <c r="BH179" s="1805"/>
      <c r="BI179" s="1805"/>
      <c r="BJ179" s="1805"/>
      <c r="BK179" s="1805"/>
      <c r="BL179" s="1805"/>
      <c r="BM179" s="1805"/>
      <c r="BN179" s="1805"/>
      <c r="BO179" s="1805"/>
      <c r="BP179" s="1805"/>
      <c r="BQ179" s="1805"/>
      <c r="BR179" s="1805"/>
      <c r="BS179" s="1805"/>
      <c r="BT179" s="1805"/>
      <c r="BU179" s="1805"/>
      <c r="BV179" s="1805"/>
      <c r="BW179" s="1805"/>
      <c r="BX179" s="1805"/>
      <c r="BY179" s="1805"/>
      <c r="BZ179" s="1805"/>
      <c r="CA179" s="1805"/>
      <c r="CB179" s="1805"/>
      <c r="CC179" s="1805"/>
      <c r="CD179" s="1805"/>
      <c r="CE179" s="1805"/>
      <c r="CF179" s="1805"/>
      <c r="CG179" s="1805"/>
      <c r="CH179" s="1805"/>
      <c r="CI179" s="1805"/>
      <c r="CJ179" s="1805"/>
      <c r="CK179" s="1805"/>
      <c r="CL179" s="1805"/>
      <c r="CM179" s="1805"/>
      <c r="CN179" s="1805"/>
      <c r="CO179" s="1805"/>
      <c r="CP179" s="1805"/>
      <c r="CQ179" s="1805"/>
      <c r="CR179" s="1805"/>
      <c r="CS179" s="1805"/>
      <c r="CT179" s="1805"/>
      <c r="CU179" s="1805"/>
      <c r="CV179" s="1805"/>
      <c r="CW179" s="1805"/>
      <c r="CX179" s="1805"/>
      <c r="CY179" s="1805"/>
      <c r="CZ179" s="1805"/>
      <c r="DA179" s="1805"/>
      <c r="DB179" s="1805"/>
      <c r="DC179" s="1805"/>
      <c r="DD179" s="1805"/>
      <c r="DE179" s="1805"/>
      <c r="DF179" s="1805"/>
      <c r="DG179" s="1805"/>
      <c r="DH179" s="1805"/>
      <c r="DI179" s="1805"/>
      <c r="DJ179" s="1805"/>
      <c r="DK179" s="1805"/>
      <c r="DL179" s="1805"/>
      <c r="DM179" s="1805"/>
      <c r="DN179" s="1805"/>
      <c r="DO179" s="1805"/>
      <c r="DP179" s="1805"/>
      <c r="DQ179" s="1805"/>
      <c r="DR179" s="1805"/>
      <c r="DS179" s="1805"/>
      <c r="DT179" s="1805"/>
      <c r="DU179" s="1805"/>
      <c r="DV179" s="1805"/>
      <c r="DW179" s="1805"/>
      <c r="DX179" s="1805"/>
      <c r="DY179" s="1805"/>
      <c r="DZ179" s="1805"/>
      <c r="EA179" s="1805"/>
      <c r="EB179" s="1805"/>
      <c r="EC179" s="1805"/>
      <c r="ED179" s="1805"/>
      <c r="EE179" s="1805"/>
      <c r="EF179" s="1805"/>
      <c r="EG179" s="1805"/>
      <c r="EH179" s="1805"/>
      <c r="EI179" s="1805"/>
      <c r="EJ179" s="1805"/>
      <c r="EK179" s="1805"/>
      <c r="EL179" s="1805"/>
      <c r="EM179" s="1805"/>
      <c r="EN179" s="1805"/>
      <c r="EO179" s="1805"/>
      <c r="EP179" s="1805"/>
      <c r="EQ179" s="1805"/>
      <c r="ER179" s="1805"/>
      <c r="ES179" s="1805"/>
      <c r="ET179" s="1805"/>
      <c r="EU179" s="1805"/>
      <c r="EV179" s="1805"/>
      <c r="EW179" s="1805"/>
      <c r="EX179" s="1805"/>
      <c r="EY179" s="1805"/>
      <c r="EZ179" s="1805"/>
      <c r="FA179" s="1805"/>
      <c r="FB179" s="1805"/>
      <c r="FC179" s="1805"/>
      <c r="FD179" s="1805"/>
      <c r="FE179" s="1805"/>
      <c r="FF179" s="1805"/>
      <c r="FG179" s="1805"/>
      <c r="FH179" s="1805"/>
      <c r="FI179" s="1805"/>
      <c r="FJ179" s="1805"/>
      <c r="FK179" s="1805"/>
      <c r="FL179" s="1805"/>
      <c r="FM179" s="1805"/>
      <c r="FN179" s="1805"/>
      <c r="FO179" s="1805"/>
      <c r="FP179" s="1805"/>
      <c r="FQ179" s="1805"/>
      <c r="FR179" s="1805"/>
      <c r="FS179" s="1805"/>
      <c r="FT179" s="1805"/>
      <c r="FU179" s="1805"/>
      <c r="FV179" s="1805"/>
      <c r="FW179" s="1805"/>
      <c r="FX179" s="1805"/>
      <c r="FY179" s="1805"/>
      <c r="FZ179" s="1805"/>
      <c r="GA179" s="1805"/>
      <c r="GB179" s="1805"/>
      <c r="GC179" s="1805"/>
      <c r="GD179" s="1805"/>
      <c r="GE179" s="1805"/>
      <c r="GF179" s="1805"/>
      <c r="GG179" s="1805"/>
      <c r="GH179" s="1805"/>
      <c r="GI179" s="1805"/>
      <c r="GJ179" s="1805"/>
      <c r="GK179" s="1805"/>
      <c r="GL179" s="1805"/>
      <c r="GM179" s="1805"/>
      <c r="GN179" s="1805"/>
      <c r="GO179" s="1805"/>
      <c r="GP179" s="1805"/>
      <c r="GQ179" s="1805"/>
      <c r="GR179" s="1805"/>
      <c r="GS179" s="1805"/>
      <c r="GT179" s="1805"/>
      <c r="GU179" s="1805"/>
      <c r="GV179" s="1805"/>
      <c r="GW179" s="1805"/>
      <c r="GX179" s="1805"/>
      <c r="GY179" s="1805"/>
      <c r="GZ179" s="1805"/>
      <c r="HA179" s="1805"/>
      <c r="HB179" s="1805"/>
      <c r="HC179" s="1805"/>
      <c r="HD179" s="1805"/>
      <c r="HE179" s="1805"/>
      <c r="HF179" s="1805"/>
      <c r="HG179" s="1805"/>
      <c r="HH179" s="1805"/>
      <c r="HI179" s="1805"/>
      <c r="HJ179" s="1805"/>
      <c r="HK179" s="1805"/>
      <c r="HL179" s="1805"/>
      <c r="HM179" s="1805"/>
      <c r="HN179" s="1805"/>
      <c r="HO179" s="1805"/>
      <c r="HP179" s="1805"/>
      <c r="HQ179" s="1805"/>
      <c r="HR179" s="1805"/>
      <c r="HS179" s="1805"/>
      <c r="HT179" s="1805"/>
      <c r="HU179" s="1805"/>
      <c r="HV179" s="1805"/>
      <c r="HW179" s="1805"/>
      <c r="HX179" s="1805"/>
      <c r="HY179" s="1805"/>
      <c r="HZ179" s="1805"/>
      <c r="IA179" s="1805"/>
      <c r="IB179" s="1805"/>
      <c r="IC179" s="1805"/>
      <c r="ID179" s="1805"/>
      <c r="IE179" s="1805"/>
      <c r="IF179" s="1805"/>
      <c r="IG179" s="1805"/>
      <c r="IH179" s="1805"/>
      <c r="II179" s="1805"/>
      <c r="IJ179" s="1805"/>
      <c r="IK179" s="1805"/>
      <c r="IL179" s="1805"/>
      <c r="IM179" s="1805"/>
      <c r="IN179" s="1805"/>
      <c r="IO179" s="1805"/>
      <c r="IP179" s="1805"/>
      <c r="IQ179" s="1805"/>
      <c r="IR179" s="1805"/>
      <c r="IS179" s="1805"/>
      <c r="IT179" s="1805"/>
      <c r="IU179" s="1805"/>
      <c r="IV179" s="1805"/>
      <c r="IW179" s="1805"/>
    </row>
    <row r="180" spans="3:257" s="888" customFormat="1" ht="15.75" thickBot="1" x14ac:dyDescent="0.6">
      <c r="C180" s="60"/>
      <c r="D180" s="61"/>
      <c r="E180" s="62"/>
      <c r="F180" s="63" t="s">
        <v>2378</v>
      </c>
      <c r="G180" s="64" t="s">
        <v>626</v>
      </c>
      <c r="H180" s="64" t="s">
        <v>627</v>
      </c>
      <c r="I180" s="64" t="s">
        <v>628</v>
      </c>
      <c r="J180" s="65" t="s">
        <v>625</v>
      </c>
      <c r="K180" s="63"/>
      <c r="L180" s="64" t="s">
        <v>604</v>
      </c>
      <c r="M180" s="64" t="s">
        <v>629</v>
      </c>
      <c r="N180" s="66"/>
      <c r="O180" s="162"/>
      <c r="P180" s="2080" t="s">
        <v>1658</v>
      </c>
      <c r="Q180" s="64" t="s">
        <v>228</v>
      </c>
      <c r="R180" s="65" t="s">
        <v>667</v>
      </c>
      <c r="S180" s="1807"/>
      <c r="T180" s="1841"/>
      <c r="U180" s="1842"/>
      <c r="V180" s="1843"/>
      <c r="W180" s="1800"/>
      <c r="X180" s="1800"/>
      <c r="Y180" s="1801"/>
      <c r="Z180" s="1801"/>
      <c r="AA180" s="1801"/>
      <c r="AB180" s="1801"/>
      <c r="AC180" s="1801"/>
      <c r="AD180" s="1801"/>
      <c r="AE180" s="1801"/>
      <c r="AF180" s="1801"/>
      <c r="AG180" s="1801"/>
      <c r="AH180" s="1801"/>
      <c r="AI180" s="1801"/>
      <c r="AJ180" s="1801"/>
      <c r="AK180" s="1801"/>
      <c r="AL180" s="1802"/>
      <c r="AM180" s="1802"/>
      <c r="AN180" s="1802"/>
      <c r="AO180" s="1802"/>
      <c r="AP180" s="1802"/>
      <c r="AQ180" s="1802"/>
      <c r="AR180" s="1802"/>
      <c r="AS180" s="1802"/>
      <c r="AT180" s="1802"/>
      <c r="AU180" s="1802"/>
      <c r="AV180" s="1802"/>
      <c r="AW180" s="1802"/>
      <c r="AX180" s="1802"/>
      <c r="AY180" s="1802"/>
      <c r="AZ180" s="1802"/>
      <c r="BA180" s="1802"/>
      <c r="BB180" s="1802"/>
      <c r="BC180" s="1802"/>
      <c r="BD180" s="1802"/>
      <c r="BE180" s="1802"/>
      <c r="BF180" s="1802"/>
      <c r="BG180" s="1802"/>
      <c r="BH180" s="1802"/>
      <c r="BI180" s="1802"/>
      <c r="BJ180" s="1802"/>
      <c r="BK180" s="1802"/>
      <c r="BL180" s="1802"/>
      <c r="BM180" s="1802"/>
      <c r="BN180" s="1802"/>
      <c r="BO180" s="1802"/>
      <c r="BP180" s="1802"/>
      <c r="BQ180" s="1802"/>
      <c r="BR180" s="1802"/>
      <c r="BS180" s="1802"/>
      <c r="BT180" s="1802"/>
      <c r="BU180" s="1802"/>
      <c r="BV180" s="1802"/>
      <c r="BW180" s="1802"/>
      <c r="BX180" s="1802"/>
      <c r="BY180" s="1802"/>
      <c r="BZ180" s="1802"/>
      <c r="CA180" s="1802"/>
      <c r="CB180" s="1802"/>
      <c r="CC180" s="1802"/>
      <c r="CD180" s="1802"/>
      <c r="CE180" s="1802"/>
      <c r="CF180" s="1802"/>
      <c r="CG180" s="1802"/>
      <c r="CH180" s="1802"/>
      <c r="CI180" s="1802"/>
      <c r="CJ180" s="1802"/>
      <c r="CK180" s="1802"/>
      <c r="CL180" s="1802"/>
      <c r="CM180" s="1802"/>
      <c r="CN180" s="1802"/>
      <c r="CO180" s="1802"/>
      <c r="CP180" s="1802"/>
      <c r="CQ180" s="1802"/>
      <c r="CR180" s="1802"/>
      <c r="CS180" s="1802"/>
      <c r="CT180" s="1802"/>
      <c r="CU180" s="1802"/>
      <c r="CV180" s="1802"/>
      <c r="CW180" s="1802"/>
      <c r="CX180" s="1802"/>
      <c r="CY180" s="1802"/>
      <c r="CZ180" s="1802"/>
      <c r="DA180" s="1802"/>
      <c r="DB180" s="1802"/>
      <c r="DC180" s="1802"/>
      <c r="DD180" s="1802"/>
      <c r="DE180" s="1802"/>
      <c r="DF180" s="1802"/>
      <c r="DG180" s="1802"/>
      <c r="DH180" s="1802"/>
      <c r="DI180" s="1802"/>
      <c r="DJ180" s="1802"/>
      <c r="DK180" s="1802"/>
      <c r="DL180" s="1802"/>
      <c r="DM180" s="1802"/>
      <c r="DN180" s="1802"/>
      <c r="DO180" s="1802"/>
      <c r="DP180" s="1802"/>
      <c r="DQ180" s="1802"/>
      <c r="DR180" s="1802"/>
      <c r="DS180" s="1802"/>
      <c r="DT180" s="1802"/>
      <c r="DU180" s="1802"/>
      <c r="DV180" s="1802"/>
      <c r="DW180" s="1802"/>
      <c r="DX180" s="1802"/>
      <c r="DY180" s="1802"/>
      <c r="DZ180" s="1802"/>
      <c r="EA180" s="1802"/>
      <c r="EB180" s="1802"/>
      <c r="EC180" s="1802"/>
      <c r="ED180" s="1802"/>
      <c r="EE180" s="1802"/>
      <c r="EF180" s="1802"/>
      <c r="EG180" s="1802"/>
      <c r="EH180" s="1802"/>
      <c r="EI180" s="1802"/>
      <c r="EJ180" s="1802"/>
      <c r="EK180" s="1802"/>
      <c r="EL180" s="1802"/>
      <c r="EM180" s="1802"/>
      <c r="EN180" s="1802"/>
      <c r="EO180" s="1802"/>
      <c r="EP180" s="1802"/>
      <c r="EQ180" s="1802"/>
      <c r="ER180" s="1802"/>
      <c r="ES180" s="1802"/>
      <c r="ET180" s="1802"/>
      <c r="EU180" s="1802"/>
      <c r="EV180" s="1802"/>
      <c r="EW180" s="1802"/>
      <c r="EX180" s="1802"/>
      <c r="EY180" s="1802"/>
      <c r="EZ180" s="1802"/>
      <c r="FA180" s="1802"/>
      <c r="FB180" s="1802"/>
      <c r="FC180" s="1802"/>
      <c r="FD180" s="1802"/>
      <c r="FE180" s="1802"/>
      <c r="FF180" s="1802"/>
      <c r="FG180" s="1802"/>
      <c r="FH180" s="1802"/>
      <c r="FI180" s="1802"/>
      <c r="FJ180" s="1802"/>
      <c r="FK180" s="1802"/>
      <c r="FL180" s="1802"/>
      <c r="FM180" s="1802"/>
      <c r="FN180" s="1802"/>
      <c r="FO180" s="1802"/>
      <c r="FP180" s="1802"/>
      <c r="FQ180" s="1802"/>
      <c r="FR180" s="1802"/>
      <c r="FS180" s="1802"/>
      <c r="FT180" s="1802"/>
      <c r="FU180" s="1802"/>
      <c r="FV180" s="1802"/>
      <c r="FW180" s="1802"/>
      <c r="FX180" s="1802"/>
      <c r="FY180" s="1802"/>
      <c r="FZ180" s="1802"/>
      <c r="GA180" s="1802"/>
      <c r="GB180" s="1802"/>
      <c r="GC180" s="1802"/>
      <c r="GD180" s="1802"/>
      <c r="GE180" s="1802"/>
      <c r="GF180" s="1802"/>
      <c r="GG180" s="1802"/>
      <c r="GH180" s="1802"/>
      <c r="GI180" s="1802"/>
      <c r="GJ180" s="1802"/>
      <c r="GK180" s="1802"/>
      <c r="GL180" s="1802"/>
      <c r="GM180" s="1802"/>
      <c r="GN180" s="1802"/>
      <c r="GO180" s="1802"/>
      <c r="GP180" s="1802"/>
      <c r="GQ180" s="1802"/>
      <c r="GR180" s="1802"/>
      <c r="GS180" s="1802"/>
      <c r="GT180" s="1802"/>
      <c r="GU180" s="1802"/>
      <c r="GV180" s="1802"/>
      <c r="GW180" s="1802"/>
      <c r="GX180" s="1802"/>
      <c r="GY180" s="1802"/>
      <c r="GZ180" s="1802"/>
      <c r="HA180" s="1802"/>
      <c r="HB180" s="1802"/>
      <c r="HC180" s="1802"/>
      <c r="HD180" s="1802"/>
      <c r="HE180" s="1802"/>
      <c r="HF180" s="1802"/>
      <c r="HG180" s="1802"/>
      <c r="HH180" s="1802"/>
      <c r="HI180" s="1802"/>
      <c r="HJ180" s="1802"/>
      <c r="HK180" s="1802"/>
      <c r="HL180" s="1802"/>
      <c r="HM180" s="1802"/>
      <c r="HN180" s="1802"/>
      <c r="HO180" s="1802"/>
      <c r="HP180" s="1802"/>
      <c r="HQ180" s="1802"/>
      <c r="HR180" s="1802"/>
      <c r="HS180" s="1802"/>
      <c r="HT180" s="1802"/>
      <c r="HU180" s="1802"/>
      <c r="HV180" s="1802"/>
      <c r="HW180" s="1802"/>
      <c r="HX180" s="1802"/>
      <c r="HY180" s="1802"/>
      <c r="HZ180" s="1802"/>
      <c r="IA180" s="1802"/>
      <c r="IB180" s="1802"/>
      <c r="IC180" s="1802"/>
      <c r="ID180" s="1802"/>
      <c r="IE180" s="1802"/>
      <c r="IF180" s="1802"/>
      <c r="IG180" s="1802"/>
      <c r="IH180" s="1802"/>
      <c r="II180" s="1802"/>
      <c r="IJ180" s="1802"/>
      <c r="IK180" s="1802"/>
      <c r="IL180" s="1802"/>
      <c r="IM180" s="1802"/>
      <c r="IN180" s="1802"/>
      <c r="IO180" s="1802"/>
      <c r="IP180" s="1802"/>
      <c r="IQ180" s="1802"/>
      <c r="IR180" s="1802"/>
      <c r="IS180" s="1802"/>
      <c r="IT180" s="1802"/>
      <c r="IU180" s="1802"/>
      <c r="IV180" s="1802"/>
      <c r="IW180" s="1802"/>
    </row>
    <row r="181" spans="3:257" s="888" customFormat="1" x14ac:dyDescent="0.45">
      <c r="C181" s="67" t="s">
        <v>528</v>
      </c>
      <c r="D181" s="68" t="s">
        <v>630</v>
      </c>
      <c r="E181" s="69"/>
      <c r="F181" s="70">
        <f>P391</f>
        <v>129550.16135895028</v>
      </c>
      <c r="G181" s="71">
        <f t="shared" ref="G181:G213" si="4">AC350</f>
        <v>1584.7709126825152</v>
      </c>
      <c r="H181" s="71">
        <f t="shared" ref="H181:H214" si="5">AE350</f>
        <v>11374.100563545788</v>
      </c>
      <c r="I181" s="71">
        <f t="shared" ref="I181:I213" si="6">AN267</f>
        <v>0</v>
      </c>
      <c r="J181" s="72">
        <f>O307</f>
        <v>4515.7400919912852</v>
      </c>
      <c r="K181" s="70">
        <f t="shared" ref="K181:K213" si="7">S431</f>
        <v>561110119.88499999</v>
      </c>
      <c r="L181" s="73">
        <f t="shared" ref="L181:L213" si="8">AB350</f>
        <v>6173389.8667076286</v>
      </c>
      <c r="M181" s="73">
        <f t="shared" ref="M181:M214" si="9">AD350</f>
        <v>44923182.446170032</v>
      </c>
      <c r="N181" s="74">
        <f t="shared" ref="N181:N212" si="10">AO223</f>
        <v>0</v>
      </c>
      <c r="O181" s="1017">
        <f>N307</f>
        <v>7692324.5069670752</v>
      </c>
      <c r="P181" s="2078">
        <v>1890.7575284063903</v>
      </c>
      <c r="Q181" s="1801">
        <v>5881.5045610586767</v>
      </c>
      <c r="R181" s="2079">
        <f>SUM(P181:Q181)</f>
        <v>7772.2620894650672</v>
      </c>
      <c r="S181" s="1844"/>
      <c r="T181" s="1842"/>
      <c r="U181" s="1842"/>
      <c r="V181" s="1843"/>
      <c r="W181" s="1800"/>
      <c r="X181" s="1800"/>
      <c r="Y181" s="1801"/>
      <c r="Z181" s="1801"/>
      <c r="AA181" s="1801"/>
      <c r="AB181" s="1801"/>
      <c r="AC181" s="1801"/>
      <c r="AD181" s="1801"/>
      <c r="AE181" s="1801"/>
      <c r="AF181" s="1801"/>
      <c r="AG181" s="1801"/>
      <c r="AH181" s="1801"/>
      <c r="AI181" s="1801"/>
      <c r="AJ181" s="1801"/>
      <c r="AK181" s="1801"/>
      <c r="AL181" s="1802"/>
      <c r="AM181" s="1802"/>
      <c r="AN181" s="1802"/>
      <c r="AO181" s="1802"/>
      <c r="AP181" s="1802"/>
      <c r="AQ181" s="1802"/>
      <c r="AR181" s="1802"/>
      <c r="AS181" s="1802"/>
      <c r="AT181" s="1802"/>
      <c r="AU181" s="1802"/>
      <c r="AV181" s="1802"/>
      <c r="AW181" s="1802"/>
      <c r="AX181" s="1802"/>
      <c r="AY181" s="1802"/>
      <c r="AZ181" s="1802"/>
      <c r="BA181" s="1802"/>
      <c r="BB181" s="1802"/>
      <c r="BC181" s="1802"/>
      <c r="BD181" s="1802"/>
      <c r="BE181" s="1802"/>
      <c r="BF181" s="1802"/>
      <c r="BG181" s="1802"/>
      <c r="BH181" s="1802"/>
      <c r="BI181" s="1802"/>
      <c r="BJ181" s="1802"/>
      <c r="BK181" s="1802"/>
      <c r="BL181" s="1802"/>
      <c r="BM181" s="1802"/>
      <c r="BN181" s="1802"/>
      <c r="BO181" s="1802"/>
      <c r="BP181" s="1802"/>
      <c r="BQ181" s="1802"/>
      <c r="BR181" s="1802"/>
      <c r="BS181" s="1802"/>
      <c r="BT181" s="1802"/>
      <c r="BU181" s="1802"/>
      <c r="BV181" s="1802"/>
      <c r="BW181" s="1802"/>
      <c r="BX181" s="1802"/>
      <c r="BY181" s="1802"/>
      <c r="BZ181" s="1802"/>
      <c r="CA181" s="1802"/>
      <c r="CB181" s="1802"/>
      <c r="CC181" s="1802"/>
      <c r="CD181" s="1802"/>
      <c r="CE181" s="1802"/>
      <c r="CF181" s="1802"/>
      <c r="CG181" s="1802"/>
      <c r="CH181" s="1802"/>
      <c r="CI181" s="1802"/>
      <c r="CJ181" s="1802"/>
      <c r="CK181" s="1802"/>
      <c r="CL181" s="1802"/>
      <c r="CM181" s="1802"/>
      <c r="CN181" s="1802"/>
      <c r="CO181" s="1802"/>
      <c r="CP181" s="1802"/>
      <c r="CQ181" s="1802"/>
      <c r="CR181" s="1802"/>
      <c r="CS181" s="1802"/>
      <c r="CT181" s="1802"/>
      <c r="CU181" s="1802"/>
      <c r="CV181" s="1802"/>
      <c r="CW181" s="1802"/>
      <c r="CX181" s="1802"/>
      <c r="CY181" s="1802"/>
      <c r="CZ181" s="1802"/>
      <c r="DA181" s="1802"/>
      <c r="DB181" s="1802"/>
      <c r="DC181" s="1802"/>
      <c r="DD181" s="1802"/>
      <c r="DE181" s="1802"/>
      <c r="DF181" s="1802"/>
      <c r="DG181" s="1802"/>
      <c r="DH181" s="1802"/>
      <c r="DI181" s="1802"/>
      <c r="DJ181" s="1802"/>
      <c r="DK181" s="1802"/>
      <c r="DL181" s="1802"/>
      <c r="DM181" s="1802"/>
      <c r="DN181" s="1802"/>
      <c r="DO181" s="1802"/>
      <c r="DP181" s="1802"/>
      <c r="DQ181" s="1802"/>
      <c r="DR181" s="1802"/>
      <c r="DS181" s="1802"/>
      <c r="DT181" s="1802"/>
      <c r="DU181" s="1802"/>
      <c r="DV181" s="1802"/>
      <c r="DW181" s="1802"/>
      <c r="DX181" s="1802"/>
      <c r="DY181" s="1802"/>
      <c r="DZ181" s="1802"/>
      <c r="EA181" s="1802"/>
      <c r="EB181" s="1802"/>
      <c r="EC181" s="1802"/>
      <c r="ED181" s="1802"/>
      <c r="EE181" s="1802"/>
      <c r="EF181" s="1802"/>
      <c r="EG181" s="1802"/>
      <c r="EH181" s="1802"/>
      <c r="EI181" s="1802"/>
      <c r="EJ181" s="1802"/>
      <c r="EK181" s="1802"/>
      <c r="EL181" s="1802"/>
      <c r="EM181" s="1802"/>
      <c r="EN181" s="1802"/>
      <c r="EO181" s="1802"/>
      <c r="EP181" s="1802"/>
      <c r="EQ181" s="1802"/>
      <c r="ER181" s="1802"/>
      <c r="ES181" s="1802"/>
      <c r="ET181" s="1802"/>
      <c r="EU181" s="1802"/>
      <c r="EV181" s="1802"/>
      <c r="EW181" s="1802"/>
      <c r="EX181" s="1802"/>
      <c r="EY181" s="1802"/>
      <c r="EZ181" s="1802"/>
      <c r="FA181" s="1802"/>
      <c r="FB181" s="1802"/>
      <c r="FC181" s="1802"/>
      <c r="FD181" s="1802"/>
      <c r="FE181" s="1802"/>
      <c r="FF181" s="1802"/>
      <c r="FG181" s="1802"/>
      <c r="FH181" s="1802"/>
      <c r="FI181" s="1802"/>
      <c r="FJ181" s="1802"/>
      <c r="FK181" s="1802"/>
      <c r="FL181" s="1802"/>
      <c r="FM181" s="1802"/>
      <c r="FN181" s="1802"/>
      <c r="FO181" s="1802"/>
      <c r="FP181" s="1802"/>
      <c r="FQ181" s="1802"/>
      <c r="FR181" s="1802"/>
      <c r="FS181" s="1802"/>
      <c r="FT181" s="1802"/>
      <c r="FU181" s="1802"/>
      <c r="FV181" s="1802"/>
      <c r="FW181" s="1802"/>
      <c r="FX181" s="1802"/>
      <c r="FY181" s="1802"/>
      <c r="FZ181" s="1802"/>
      <c r="GA181" s="1802"/>
      <c r="GB181" s="1802"/>
      <c r="GC181" s="1802"/>
      <c r="GD181" s="1802"/>
      <c r="GE181" s="1802"/>
      <c r="GF181" s="1802"/>
      <c r="GG181" s="1802"/>
      <c r="GH181" s="1802"/>
      <c r="GI181" s="1802"/>
      <c r="GJ181" s="1802"/>
      <c r="GK181" s="1802"/>
      <c r="GL181" s="1802"/>
      <c r="GM181" s="1802"/>
      <c r="GN181" s="1802"/>
      <c r="GO181" s="1802"/>
      <c r="GP181" s="1802"/>
      <c r="GQ181" s="1802"/>
      <c r="GR181" s="1802"/>
      <c r="GS181" s="1802"/>
      <c r="GT181" s="1802"/>
      <c r="GU181" s="1802"/>
      <c r="GV181" s="1802"/>
      <c r="GW181" s="1802"/>
      <c r="GX181" s="1802"/>
      <c r="GY181" s="1802"/>
      <c r="GZ181" s="1802"/>
      <c r="HA181" s="1802"/>
      <c r="HB181" s="1802"/>
      <c r="HC181" s="1802"/>
      <c r="HD181" s="1802"/>
      <c r="HE181" s="1802"/>
      <c r="HF181" s="1802"/>
      <c r="HG181" s="1802"/>
      <c r="HH181" s="1802"/>
      <c r="HI181" s="1802"/>
      <c r="HJ181" s="1802"/>
      <c r="HK181" s="1802"/>
      <c r="HL181" s="1802"/>
      <c r="HM181" s="1802"/>
      <c r="HN181" s="1802"/>
      <c r="HO181" s="1802"/>
      <c r="HP181" s="1802"/>
      <c r="HQ181" s="1802"/>
      <c r="HR181" s="1802"/>
      <c r="HS181" s="1802"/>
      <c r="HT181" s="1802"/>
      <c r="HU181" s="1802"/>
      <c r="HV181" s="1802"/>
      <c r="HW181" s="1802"/>
      <c r="HX181" s="1802"/>
      <c r="HY181" s="1802"/>
      <c r="HZ181" s="1802"/>
      <c r="IA181" s="1802"/>
      <c r="IB181" s="1802"/>
      <c r="IC181" s="1802"/>
      <c r="ID181" s="1802"/>
      <c r="IE181" s="1802"/>
      <c r="IF181" s="1802"/>
      <c r="IG181" s="1802"/>
      <c r="IH181" s="1802"/>
      <c r="II181" s="1802"/>
      <c r="IJ181" s="1802"/>
      <c r="IK181" s="1802"/>
      <c r="IL181" s="1802"/>
      <c r="IM181" s="1802"/>
      <c r="IN181" s="1802"/>
      <c r="IO181" s="1802"/>
      <c r="IP181" s="1802"/>
      <c r="IQ181" s="1802"/>
      <c r="IR181" s="1802"/>
      <c r="IS181" s="1802"/>
      <c r="IT181" s="1802"/>
      <c r="IU181" s="1802"/>
      <c r="IV181" s="1802"/>
      <c r="IW181" s="1802"/>
    </row>
    <row r="182" spans="3:257" s="888" customFormat="1" x14ac:dyDescent="0.45">
      <c r="C182" s="67" t="s">
        <v>529</v>
      </c>
      <c r="D182" s="68" t="s">
        <v>631</v>
      </c>
      <c r="E182" s="69"/>
      <c r="F182" s="70">
        <f t="shared" ref="F182:F213" si="11">P392</f>
        <v>374251.31358981092</v>
      </c>
      <c r="G182" s="71">
        <f t="shared" si="4"/>
        <v>5035.2704257157766</v>
      </c>
      <c r="H182" s="71">
        <f t="shared" si="5"/>
        <v>20337.079585633863</v>
      </c>
      <c r="I182" s="71">
        <f t="shared" si="6"/>
        <v>222.88547705120197</v>
      </c>
      <c r="J182" s="72">
        <f t="shared" ref="J182:J213" si="12">O308</f>
        <v>0</v>
      </c>
      <c r="K182" s="70">
        <f t="shared" si="7"/>
        <v>1400071577.266</v>
      </c>
      <c r="L182" s="73">
        <f t="shared" si="8"/>
        <v>19614625.163475428</v>
      </c>
      <c r="M182" s="73">
        <f t="shared" si="9"/>
        <v>80323391.862371594</v>
      </c>
      <c r="N182" s="71">
        <f t="shared" si="10"/>
        <v>899413.7047357402</v>
      </c>
      <c r="O182" s="1017">
        <f t="shared" ref="O182:O213" si="13">N308</f>
        <v>0</v>
      </c>
      <c r="P182" s="2078">
        <v>2171.0253962172151</v>
      </c>
      <c r="Q182" s="1801">
        <v>11626.126039282339</v>
      </c>
      <c r="R182" s="2079">
        <f t="shared" ref="R182:R213" si="14">SUM(P182:Q182)</f>
        <v>13797.151435499554</v>
      </c>
      <c r="S182" s="1844"/>
      <c r="T182" s="1842"/>
      <c r="U182" s="1842"/>
      <c r="V182" s="1843"/>
      <c r="W182" s="1800"/>
      <c r="X182" s="1800"/>
      <c r="Y182" s="1801"/>
      <c r="Z182" s="1801"/>
      <c r="AA182" s="1801"/>
      <c r="AB182" s="1801"/>
      <c r="AC182" s="1801"/>
      <c r="AD182" s="1801"/>
      <c r="AE182" s="1801"/>
      <c r="AF182" s="1801"/>
      <c r="AG182" s="1801"/>
      <c r="AH182" s="1801"/>
      <c r="AI182" s="1801"/>
      <c r="AJ182" s="1801"/>
      <c r="AK182" s="1801"/>
      <c r="AL182" s="1802"/>
      <c r="AM182" s="1802"/>
      <c r="AN182" s="1802"/>
      <c r="AO182" s="1802"/>
      <c r="AP182" s="1802"/>
      <c r="AQ182" s="1802"/>
      <c r="AR182" s="1802"/>
      <c r="AS182" s="1802"/>
      <c r="AT182" s="1802"/>
      <c r="AU182" s="1802"/>
      <c r="AV182" s="1802"/>
      <c r="AW182" s="1802"/>
      <c r="AX182" s="1802"/>
      <c r="AY182" s="1802"/>
      <c r="AZ182" s="1802"/>
      <c r="BA182" s="1802"/>
      <c r="BB182" s="1802"/>
      <c r="BC182" s="1802"/>
      <c r="BD182" s="1802"/>
      <c r="BE182" s="1802"/>
      <c r="BF182" s="1802"/>
      <c r="BG182" s="1802"/>
      <c r="BH182" s="1802"/>
      <c r="BI182" s="1802"/>
      <c r="BJ182" s="1802"/>
      <c r="BK182" s="1802"/>
      <c r="BL182" s="1802"/>
      <c r="BM182" s="1802"/>
      <c r="BN182" s="1802"/>
      <c r="BO182" s="1802"/>
      <c r="BP182" s="1802"/>
      <c r="BQ182" s="1802"/>
      <c r="BR182" s="1802"/>
      <c r="BS182" s="1802"/>
      <c r="BT182" s="1802"/>
      <c r="BU182" s="1802"/>
      <c r="BV182" s="1802"/>
      <c r="BW182" s="1802"/>
      <c r="BX182" s="1802"/>
      <c r="BY182" s="1802"/>
      <c r="BZ182" s="1802"/>
      <c r="CA182" s="1802"/>
      <c r="CB182" s="1802"/>
      <c r="CC182" s="1802"/>
      <c r="CD182" s="1802"/>
      <c r="CE182" s="1802"/>
      <c r="CF182" s="1802"/>
      <c r="CG182" s="1802"/>
      <c r="CH182" s="1802"/>
      <c r="CI182" s="1802"/>
      <c r="CJ182" s="1802"/>
      <c r="CK182" s="1802"/>
      <c r="CL182" s="1802"/>
      <c r="CM182" s="1802"/>
      <c r="CN182" s="1802"/>
      <c r="CO182" s="1802"/>
      <c r="CP182" s="1802"/>
      <c r="CQ182" s="1802"/>
      <c r="CR182" s="1802"/>
      <c r="CS182" s="1802"/>
      <c r="CT182" s="1802"/>
      <c r="CU182" s="1802"/>
      <c r="CV182" s="1802"/>
      <c r="CW182" s="1802"/>
      <c r="CX182" s="1802"/>
      <c r="CY182" s="1802"/>
      <c r="CZ182" s="1802"/>
      <c r="DA182" s="1802"/>
      <c r="DB182" s="1802"/>
      <c r="DC182" s="1802"/>
      <c r="DD182" s="1802"/>
      <c r="DE182" s="1802"/>
      <c r="DF182" s="1802"/>
      <c r="DG182" s="1802"/>
      <c r="DH182" s="1802"/>
      <c r="DI182" s="1802"/>
      <c r="DJ182" s="1802"/>
      <c r="DK182" s="1802"/>
      <c r="DL182" s="1802"/>
      <c r="DM182" s="1802"/>
      <c r="DN182" s="1802"/>
      <c r="DO182" s="1802"/>
      <c r="DP182" s="1802"/>
      <c r="DQ182" s="1802"/>
      <c r="DR182" s="1802"/>
      <c r="DS182" s="1802"/>
      <c r="DT182" s="1802"/>
      <c r="DU182" s="1802"/>
      <c r="DV182" s="1802"/>
      <c r="DW182" s="1802"/>
      <c r="DX182" s="1802"/>
      <c r="DY182" s="1802"/>
      <c r="DZ182" s="1802"/>
      <c r="EA182" s="1802"/>
      <c r="EB182" s="1802"/>
      <c r="EC182" s="1802"/>
      <c r="ED182" s="1802"/>
      <c r="EE182" s="1802"/>
      <c r="EF182" s="1802"/>
      <c r="EG182" s="1802"/>
      <c r="EH182" s="1802"/>
      <c r="EI182" s="1802"/>
      <c r="EJ182" s="1802"/>
      <c r="EK182" s="1802"/>
      <c r="EL182" s="1802"/>
      <c r="EM182" s="1802"/>
      <c r="EN182" s="1802"/>
      <c r="EO182" s="1802"/>
      <c r="EP182" s="1802"/>
      <c r="EQ182" s="1802"/>
      <c r="ER182" s="1802"/>
      <c r="ES182" s="1802"/>
      <c r="ET182" s="1802"/>
      <c r="EU182" s="1802"/>
      <c r="EV182" s="1802"/>
      <c r="EW182" s="1802"/>
      <c r="EX182" s="1802"/>
      <c r="EY182" s="1802"/>
      <c r="EZ182" s="1802"/>
      <c r="FA182" s="1802"/>
      <c r="FB182" s="1802"/>
      <c r="FC182" s="1802"/>
      <c r="FD182" s="1802"/>
      <c r="FE182" s="1802"/>
      <c r="FF182" s="1802"/>
      <c r="FG182" s="1802"/>
      <c r="FH182" s="1802"/>
      <c r="FI182" s="1802"/>
      <c r="FJ182" s="1802"/>
      <c r="FK182" s="1802"/>
      <c r="FL182" s="1802"/>
      <c r="FM182" s="1802"/>
      <c r="FN182" s="1802"/>
      <c r="FO182" s="1802"/>
      <c r="FP182" s="1802"/>
      <c r="FQ182" s="1802"/>
      <c r="FR182" s="1802"/>
      <c r="FS182" s="1802"/>
      <c r="FT182" s="1802"/>
      <c r="FU182" s="1802"/>
      <c r="FV182" s="1802"/>
      <c r="FW182" s="1802"/>
      <c r="FX182" s="1802"/>
      <c r="FY182" s="1802"/>
      <c r="FZ182" s="1802"/>
      <c r="GA182" s="1802"/>
      <c r="GB182" s="1802"/>
      <c r="GC182" s="1802"/>
      <c r="GD182" s="1802"/>
      <c r="GE182" s="1802"/>
      <c r="GF182" s="1802"/>
      <c r="GG182" s="1802"/>
      <c r="GH182" s="1802"/>
      <c r="GI182" s="1802"/>
      <c r="GJ182" s="1802"/>
      <c r="GK182" s="1802"/>
      <c r="GL182" s="1802"/>
      <c r="GM182" s="1802"/>
      <c r="GN182" s="1802"/>
      <c r="GO182" s="1802"/>
      <c r="GP182" s="1802"/>
      <c r="GQ182" s="1802"/>
      <c r="GR182" s="1802"/>
      <c r="GS182" s="1802"/>
      <c r="GT182" s="1802"/>
      <c r="GU182" s="1802"/>
      <c r="GV182" s="1802"/>
      <c r="GW182" s="1802"/>
      <c r="GX182" s="1802"/>
      <c r="GY182" s="1802"/>
      <c r="GZ182" s="1802"/>
      <c r="HA182" s="1802"/>
      <c r="HB182" s="1802"/>
      <c r="HC182" s="1802"/>
      <c r="HD182" s="1802"/>
      <c r="HE182" s="1802"/>
      <c r="HF182" s="1802"/>
      <c r="HG182" s="1802"/>
      <c r="HH182" s="1802"/>
      <c r="HI182" s="1802"/>
      <c r="HJ182" s="1802"/>
      <c r="HK182" s="1802"/>
      <c r="HL182" s="1802"/>
      <c r="HM182" s="1802"/>
      <c r="HN182" s="1802"/>
      <c r="HO182" s="1802"/>
      <c r="HP182" s="1802"/>
      <c r="HQ182" s="1802"/>
      <c r="HR182" s="1802"/>
      <c r="HS182" s="1802"/>
      <c r="HT182" s="1802"/>
      <c r="HU182" s="1802"/>
      <c r="HV182" s="1802"/>
      <c r="HW182" s="1802"/>
      <c r="HX182" s="1802"/>
      <c r="HY182" s="1802"/>
      <c r="HZ182" s="1802"/>
      <c r="IA182" s="1802"/>
      <c r="IB182" s="1802"/>
      <c r="IC182" s="1802"/>
      <c r="ID182" s="1802"/>
      <c r="IE182" s="1802"/>
      <c r="IF182" s="1802"/>
      <c r="IG182" s="1802"/>
      <c r="IH182" s="1802"/>
      <c r="II182" s="1802"/>
      <c r="IJ182" s="1802"/>
      <c r="IK182" s="1802"/>
      <c r="IL182" s="1802"/>
      <c r="IM182" s="1802"/>
      <c r="IN182" s="1802"/>
      <c r="IO182" s="1802"/>
      <c r="IP182" s="1802"/>
      <c r="IQ182" s="1802"/>
      <c r="IR182" s="1802"/>
      <c r="IS182" s="1802"/>
      <c r="IT182" s="1802"/>
      <c r="IU182" s="1802"/>
      <c r="IV182" s="1802"/>
      <c r="IW182" s="1802"/>
    </row>
    <row r="183" spans="3:257" s="888" customFormat="1" x14ac:dyDescent="0.45">
      <c r="C183" s="67" t="s">
        <v>530</v>
      </c>
      <c r="D183" s="68" t="s">
        <v>632</v>
      </c>
      <c r="E183" s="69"/>
      <c r="F183" s="70">
        <f t="shared" si="11"/>
        <v>183552.21619907129</v>
      </c>
      <c r="G183" s="71">
        <f t="shared" si="4"/>
        <v>819.34161849361112</v>
      </c>
      <c r="H183" s="71">
        <f t="shared" si="5"/>
        <v>5242.0121376598026</v>
      </c>
      <c r="I183" s="71">
        <f t="shared" si="6"/>
        <v>8479.8898434876282</v>
      </c>
      <c r="J183" s="72">
        <f t="shared" si="12"/>
        <v>2240.0520705547119</v>
      </c>
      <c r="K183" s="70">
        <f t="shared" si="7"/>
        <v>1649525616.9679999</v>
      </c>
      <c r="L183" s="73">
        <f t="shared" si="8"/>
        <v>3191701.2134066112</v>
      </c>
      <c r="M183" s="73">
        <f t="shared" si="9"/>
        <v>20703867.205102108</v>
      </c>
      <c r="N183" s="71">
        <f t="shared" si="10"/>
        <v>34219049.355692662</v>
      </c>
      <c r="O183" s="1017">
        <f t="shared" si="13"/>
        <v>3815795.6243671118</v>
      </c>
      <c r="P183" s="2078">
        <v>1523.1511077520836</v>
      </c>
      <c r="Q183" s="1801">
        <v>6618.4526865711323</v>
      </c>
      <c r="R183" s="2079">
        <f t="shared" si="14"/>
        <v>8141.6037943232159</v>
      </c>
      <c r="S183" s="1844"/>
      <c r="T183" s="1842"/>
      <c r="U183" s="1842"/>
      <c r="V183" s="1843"/>
      <c r="W183" s="1800"/>
      <c r="X183" s="1800"/>
      <c r="Y183" s="1801"/>
      <c r="Z183" s="1801"/>
      <c r="AA183" s="1801"/>
      <c r="AB183" s="1801"/>
      <c r="AC183" s="1801"/>
      <c r="AD183" s="1801"/>
      <c r="AE183" s="1801"/>
      <c r="AF183" s="1801"/>
      <c r="AG183" s="1801"/>
      <c r="AH183" s="1801"/>
      <c r="AI183" s="1801"/>
      <c r="AJ183" s="1801"/>
      <c r="AK183" s="1801"/>
      <c r="AL183" s="1802"/>
      <c r="AM183" s="1802"/>
      <c r="AN183" s="1802"/>
      <c r="AO183" s="1802"/>
      <c r="AP183" s="1802"/>
      <c r="AQ183" s="1802"/>
      <c r="AR183" s="1802"/>
      <c r="AS183" s="1802"/>
      <c r="AT183" s="1802"/>
      <c r="AU183" s="1802"/>
      <c r="AV183" s="1802"/>
      <c r="AW183" s="1802"/>
      <c r="AX183" s="1802"/>
      <c r="AY183" s="1802"/>
      <c r="AZ183" s="1802"/>
      <c r="BA183" s="1802"/>
      <c r="BB183" s="1802"/>
      <c r="BC183" s="1802"/>
      <c r="BD183" s="1802"/>
      <c r="BE183" s="1802"/>
      <c r="BF183" s="1802"/>
      <c r="BG183" s="1802"/>
      <c r="BH183" s="1802"/>
      <c r="BI183" s="1802"/>
      <c r="BJ183" s="1802"/>
      <c r="BK183" s="1802"/>
      <c r="BL183" s="1802"/>
      <c r="BM183" s="1802"/>
      <c r="BN183" s="1802"/>
      <c r="BO183" s="1802"/>
      <c r="BP183" s="1802"/>
      <c r="BQ183" s="1802"/>
      <c r="BR183" s="1802"/>
      <c r="BS183" s="1802"/>
      <c r="BT183" s="1802"/>
      <c r="BU183" s="1802"/>
      <c r="BV183" s="1802"/>
      <c r="BW183" s="1802"/>
      <c r="BX183" s="1802"/>
      <c r="BY183" s="1802"/>
      <c r="BZ183" s="1802"/>
      <c r="CA183" s="1802"/>
      <c r="CB183" s="1802"/>
      <c r="CC183" s="1802"/>
      <c r="CD183" s="1802"/>
      <c r="CE183" s="1802"/>
      <c r="CF183" s="1802"/>
      <c r="CG183" s="1802"/>
      <c r="CH183" s="1802"/>
      <c r="CI183" s="1802"/>
      <c r="CJ183" s="1802"/>
      <c r="CK183" s="1802"/>
      <c r="CL183" s="1802"/>
      <c r="CM183" s="1802"/>
      <c r="CN183" s="1802"/>
      <c r="CO183" s="1802"/>
      <c r="CP183" s="1802"/>
      <c r="CQ183" s="1802"/>
      <c r="CR183" s="1802"/>
      <c r="CS183" s="1802"/>
      <c r="CT183" s="1802"/>
      <c r="CU183" s="1802"/>
      <c r="CV183" s="1802"/>
      <c r="CW183" s="1802"/>
      <c r="CX183" s="1802"/>
      <c r="CY183" s="1802"/>
      <c r="CZ183" s="1802"/>
      <c r="DA183" s="1802"/>
      <c r="DB183" s="1802"/>
      <c r="DC183" s="1802"/>
      <c r="DD183" s="1802"/>
      <c r="DE183" s="1802"/>
      <c r="DF183" s="1802"/>
      <c r="DG183" s="1802"/>
      <c r="DH183" s="1802"/>
      <c r="DI183" s="1802"/>
      <c r="DJ183" s="1802"/>
      <c r="DK183" s="1802"/>
      <c r="DL183" s="1802"/>
      <c r="DM183" s="1802"/>
      <c r="DN183" s="1802"/>
      <c r="DO183" s="1802"/>
      <c r="DP183" s="1802"/>
      <c r="DQ183" s="1802"/>
      <c r="DR183" s="1802"/>
      <c r="DS183" s="1802"/>
      <c r="DT183" s="1802"/>
      <c r="DU183" s="1802"/>
      <c r="DV183" s="1802"/>
      <c r="DW183" s="1802"/>
      <c r="DX183" s="1802"/>
      <c r="DY183" s="1802"/>
      <c r="DZ183" s="1802"/>
      <c r="EA183" s="1802"/>
      <c r="EB183" s="1802"/>
      <c r="EC183" s="1802"/>
      <c r="ED183" s="1802"/>
      <c r="EE183" s="1802"/>
      <c r="EF183" s="1802"/>
      <c r="EG183" s="1802"/>
      <c r="EH183" s="1802"/>
      <c r="EI183" s="1802"/>
      <c r="EJ183" s="1802"/>
      <c r="EK183" s="1802"/>
      <c r="EL183" s="1802"/>
      <c r="EM183" s="1802"/>
      <c r="EN183" s="1802"/>
      <c r="EO183" s="1802"/>
      <c r="EP183" s="1802"/>
      <c r="EQ183" s="1802"/>
      <c r="ER183" s="1802"/>
      <c r="ES183" s="1802"/>
      <c r="ET183" s="1802"/>
      <c r="EU183" s="1802"/>
      <c r="EV183" s="1802"/>
      <c r="EW183" s="1802"/>
      <c r="EX183" s="1802"/>
      <c r="EY183" s="1802"/>
      <c r="EZ183" s="1802"/>
      <c r="FA183" s="1802"/>
      <c r="FB183" s="1802"/>
      <c r="FC183" s="1802"/>
      <c r="FD183" s="1802"/>
      <c r="FE183" s="1802"/>
      <c r="FF183" s="1802"/>
      <c r="FG183" s="1802"/>
      <c r="FH183" s="1802"/>
      <c r="FI183" s="1802"/>
      <c r="FJ183" s="1802"/>
      <c r="FK183" s="1802"/>
      <c r="FL183" s="1802"/>
      <c r="FM183" s="1802"/>
      <c r="FN183" s="1802"/>
      <c r="FO183" s="1802"/>
      <c r="FP183" s="1802"/>
      <c r="FQ183" s="1802"/>
      <c r="FR183" s="1802"/>
      <c r="FS183" s="1802"/>
      <c r="FT183" s="1802"/>
      <c r="FU183" s="1802"/>
      <c r="FV183" s="1802"/>
      <c r="FW183" s="1802"/>
      <c r="FX183" s="1802"/>
      <c r="FY183" s="1802"/>
      <c r="FZ183" s="1802"/>
      <c r="GA183" s="1802"/>
      <c r="GB183" s="1802"/>
      <c r="GC183" s="1802"/>
      <c r="GD183" s="1802"/>
      <c r="GE183" s="1802"/>
      <c r="GF183" s="1802"/>
      <c r="GG183" s="1802"/>
      <c r="GH183" s="1802"/>
      <c r="GI183" s="1802"/>
      <c r="GJ183" s="1802"/>
      <c r="GK183" s="1802"/>
      <c r="GL183" s="1802"/>
      <c r="GM183" s="1802"/>
      <c r="GN183" s="1802"/>
      <c r="GO183" s="1802"/>
      <c r="GP183" s="1802"/>
      <c r="GQ183" s="1802"/>
      <c r="GR183" s="1802"/>
      <c r="GS183" s="1802"/>
      <c r="GT183" s="1802"/>
      <c r="GU183" s="1802"/>
      <c r="GV183" s="1802"/>
      <c r="GW183" s="1802"/>
      <c r="GX183" s="1802"/>
      <c r="GY183" s="1802"/>
      <c r="GZ183" s="1802"/>
      <c r="HA183" s="1802"/>
      <c r="HB183" s="1802"/>
      <c r="HC183" s="1802"/>
      <c r="HD183" s="1802"/>
      <c r="HE183" s="1802"/>
      <c r="HF183" s="1802"/>
      <c r="HG183" s="1802"/>
      <c r="HH183" s="1802"/>
      <c r="HI183" s="1802"/>
      <c r="HJ183" s="1802"/>
      <c r="HK183" s="1802"/>
      <c r="HL183" s="1802"/>
      <c r="HM183" s="1802"/>
      <c r="HN183" s="1802"/>
      <c r="HO183" s="1802"/>
      <c r="HP183" s="1802"/>
      <c r="HQ183" s="1802"/>
      <c r="HR183" s="1802"/>
      <c r="HS183" s="1802"/>
      <c r="HT183" s="1802"/>
      <c r="HU183" s="1802"/>
      <c r="HV183" s="1802"/>
      <c r="HW183" s="1802"/>
      <c r="HX183" s="1802"/>
      <c r="HY183" s="1802"/>
      <c r="HZ183" s="1802"/>
      <c r="IA183" s="1802"/>
      <c r="IB183" s="1802"/>
      <c r="IC183" s="1802"/>
      <c r="ID183" s="1802"/>
      <c r="IE183" s="1802"/>
      <c r="IF183" s="1802"/>
      <c r="IG183" s="1802"/>
      <c r="IH183" s="1802"/>
      <c r="II183" s="1802"/>
      <c r="IJ183" s="1802"/>
      <c r="IK183" s="1802"/>
      <c r="IL183" s="1802"/>
      <c r="IM183" s="1802"/>
      <c r="IN183" s="1802"/>
      <c r="IO183" s="1802"/>
      <c r="IP183" s="1802"/>
      <c r="IQ183" s="1802"/>
      <c r="IR183" s="1802"/>
      <c r="IS183" s="1802"/>
      <c r="IT183" s="1802"/>
      <c r="IU183" s="1802"/>
      <c r="IV183" s="1802"/>
      <c r="IW183" s="1802"/>
    </row>
    <row r="184" spans="3:257" s="888" customFormat="1" x14ac:dyDescent="0.45">
      <c r="C184" s="67" t="s">
        <v>531</v>
      </c>
      <c r="D184" s="68" t="s">
        <v>633</v>
      </c>
      <c r="E184" s="69"/>
      <c r="F184" s="70">
        <f t="shared" si="11"/>
        <v>202294.69707157559</v>
      </c>
      <c r="G184" s="71">
        <f t="shared" si="4"/>
        <v>8314.0155915425294</v>
      </c>
      <c r="H184" s="71">
        <f t="shared" si="5"/>
        <v>25244.566227153064</v>
      </c>
      <c r="I184" s="71">
        <f t="shared" si="6"/>
        <v>309.66722514315052</v>
      </c>
      <c r="J184" s="72">
        <f t="shared" si="12"/>
        <v>0</v>
      </c>
      <c r="K184" s="70">
        <f t="shared" si="7"/>
        <v>1142858565.224</v>
      </c>
      <c r="L184" s="73">
        <f t="shared" si="8"/>
        <v>32386800.637071129</v>
      </c>
      <c r="M184" s="73">
        <f t="shared" si="9"/>
        <v>99706016.142632276</v>
      </c>
      <c r="N184" s="71">
        <f t="shared" si="10"/>
        <v>1249605.626557962</v>
      </c>
      <c r="O184" s="1017">
        <f t="shared" si="13"/>
        <v>0</v>
      </c>
      <c r="P184" s="2078">
        <v>1514.7481495310526</v>
      </c>
      <c r="Q184" s="1801">
        <v>4009.8596438734803</v>
      </c>
      <c r="R184" s="2079">
        <f t="shared" si="14"/>
        <v>5524.6077934045334</v>
      </c>
      <c r="S184" s="1844"/>
      <c r="T184" s="1842"/>
      <c r="U184" s="1842"/>
      <c r="V184" s="1843"/>
      <c r="W184" s="1800"/>
      <c r="X184" s="1800"/>
      <c r="Y184" s="1801"/>
      <c r="Z184" s="1801"/>
      <c r="AA184" s="1801"/>
      <c r="AB184" s="1801"/>
      <c r="AC184" s="1801"/>
      <c r="AD184" s="1801"/>
      <c r="AE184" s="1801"/>
      <c r="AF184" s="1801"/>
      <c r="AG184" s="1801"/>
      <c r="AH184" s="1801"/>
      <c r="AI184" s="1801"/>
      <c r="AJ184" s="1801"/>
      <c r="AK184" s="1801"/>
      <c r="AL184" s="1802"/>
      <c r="AM184" s="1802"/>
      <c r="AN184" s="1802"/>
      <c r="AO184" s="1802"/>
      <c r="AP184" s="1802"/>
      <c r="AQ184" s="1802"/>
      <c r="AR184" s="1802"/>
      <c r="AS184" s="1802"/>
      <c r="AT184" s="1802"/>
      <c r="AU184" s="1802"/>
      <c r="AV184" s="1802"/>
      <c r="AW184" s="1802"/>
      <c r="AX184" s="1802"/>
      <c r="AY184" s="1802"/>
      <c r="AZ184" s="1802"/>
      <c r="BA184" s="1802"/>
      <c r="BB184" s="1802"/>
      <c r="BC184" s="1802"/>
      <c r="BD184" s="1802"/>
      <c r="BE184" s="1802"/>
      <c r="BF184" s="1802"/>
      <c r="BG184" s="1802"/>
      <c r="BH184" s="1802"/>
      <c r="BI184" s="1802"/>
      <c r="BJ184" s="1802"/>
      <c r="BK184" s="1802"/>
      <c r="BL184" s="1802"/>
      <c r="BM184" s="1802"/>
      <c r="BN184" s="1802"/>
      <c r="BO184" s="1802"/>
      <c r="BP184" s="1802"/>
      <c r="BQ184" s="1802"/>
      <c r="BR184" s="1802"/>
      <c r="BS184" s="1802"/>
      <c r="BT184" s="1802"/>
      <c r="BU184" s="1802"/>
      <c r="BV184" s="1802"/>
      <c r="BW184" s="1802"/>
      <c r="BX184" s="1802"/>
      <c r="BY184" s="1802"/>
      <c r="BZ184" s="1802"/>
      <c r="CA184" s="1802"/>
      <c r="CB184" s="1802"/>
      <c r="CC184" s="1802"/>
      <c r="CD184" s="1802"/>
      <c r="CE184" s="1802"/>
      <c r="CF184" s="1802"/>
      <c r="CG184" s="1802"/>
      <c r="CH184" s="1802"/>
      <c r="CI184" s="1802"/>
      <c r="CJ184" s="1802"/>
      <c r="CK184" s="1802"/>
      <c r="CL184" s="1802"/>
      <c r="CM184" s="1802"/>
      <c r="CN184" s="1802"/>
      <c r="CO184" s="1802"/>
      <c r="CP184" s="1802"/>
      <c r="CQ184" s="1802"/>
      <c r="CR184" s="1802"/>
      <c r="CS184" s="1802"/>
      <c r="CT184" s="1802"/>
      <c r="CU184" s="1802"/>
      <c r="CV184" s="1802"/>
      <c r="CW184" s="1802"/>
      <c r="CX184" s="1802"/>
      <c r="CY184" s="1802"/>
      <c r="CZ184" s="1802"/>
      <c r="DA184" s="1802"/>
      <c r="DB184" s="1802"/>
      <c r="DC184" s="1802"/>
      <c r="DD184" s="1802"/>
      <c r="DE184" s="1802"/>
      <c r="DF184" s="1802"/>
      <c r="DG184" s="1802"/>
      <c r="DH184" s="1802"/>
      <c r="DI184" s="1802"/>
      <c r="DJ184" s="1802"/>
      <c r="DK184" s="1802"/>
      <c r="DL184" s="1802"/>
      <c r="DM184" s="1802"/>
      <c r="DN184" s="1802"/>
      <c r="DO184" s="1802"/>
      <c r="DP184" s="1802"/>
      <c r="DQ184" s="1802"/>
      <c r="DR184" s="1802"/>
      <c r="DS184" s="1802"/>
      <c r="DT184" s="1802"/>
      <c r="DU184" s="1802"/>
      <c r="DV184" s="1802"/>
      <c r="DW184" s="1802"/>
      <c r="DX184" s="1802"/>
      <c r="DY184" s="1802"/>
      <c r="DZ184" s="1802"/>
      <c r="EA184" s="1802"/>
      <c r="EB184" s="1802"/>
      <c r="EC184" s="1802"/>
      <c r="ED184" s="1802"/>
      <c r="EE184" s="1802"/>
      <c r="EF184" s="1802"/>
      <c r="EG184" s="1802"/>
      <c r="EH184" s="1802"/>
      <c r="EI184" s="1802"/>
      <c r="EJ184" s="1802"/>
      <c r="EK184" s="1802"/>
      <c r="EL184" s="1802"/>
      <c r="EM184" s="1802"/>
      <c r="EN184" s="1802"/>
      <c r="EO184" s="1802"/>
      <c r="EP184" s="1802"/>
      <c r="EQ184" s="1802"/>
      <c r="ER184" s="1802"/>
      <c r="ES184" s="1802"/>
      <c r="ET184" s="1802"/>
      <c r="EU184" s="1802"/>
      <c r="EV184" s="1802"/>
      <c r="EW184" s="1802"/>
      <c r="EX184" s="1802"/>
      <c r="EY184" s="1802"/>
      <c r="EZ184" s="1802"/>
      <c r="FA184" s="1802"/>
      <c r="FB184" s="1802"/>
      <c r="FC184" s="1802"/>
      <c r="FD184" s="1802"/>
      <c r="FE184" s="1802"/>
      <c r="FF184" s="1802"/>
      <c r="FG184" s="1802"/>
      <c r="FH184" s="1802"/>
      <c r="FI184" s="1802"/>
      <c r="FJ184" s="1802"/>
      <c r="FK184" s="1802"/>
      <c r="FL184" s="1802"/>
      <c r="FM184" s="1802"/>
      <c r="FN184" s="1802"/>
      <c r="FO184" s="1802"/>
      <c r="FP184" s="1802"/>
      <c r="FQ184" s="1802"/>
      <c r="FR184" s="1802"/>
      <c r="FS184" s="1802"/>
      <c r="FT184" s="1802"/>
      <c r="FU184" s="1802"/>
      <c r="FV184" s="1802"/>
      <c r="FW184" s="1802"/>
      <c r="FX184" s="1802"/>
      <c r="FY184" s="1802"/>
      <c r="FZ184" s="1802"/>
      <c r="GA184" s="1802"/>
      <c r="GB184" s="1802"/>
      <c r="GC184" s="1802"/>
      <c r="GD184" s="1802"/>
      <c r="GE184" s="1802"/>
      <c r="GF184" s="1802"/>
      <c r="GG184" s="1802"/>
      <c r="GH184" s="1802"/>
      <c r="GI184" s="1802"/>
      <c r="GJ184" s="1802"/>
      <c r="GK184" s="1802"/>
      <c r="GL184" s="1802"/>
      <c r="GM184" s="1802"/>
      <c r="GN184" s="1802"/>
      <c r="GO184" s="1802"/>
      <c r="GP184" s="1802"/>
      <c r="GQ184" s="1802"/>
      <c r="GR184" s="1802"/>
      <c r="GS184" s="1802"/>
      <c r="GT184" s="1802"/>
      <c r="GU184" s="1802"/>
      <c r="GV184" s="1802"/>
      <c r="GW184" s="1802"/>
      <c r="GX184" s="1802"/>
      <c r="GY184" s="1802"/>
      <c r="GZ184" s="1802"/>
      <c r="HA184" s="1802"/>
      <c r="HB184" s="1802"/>
      <c r="HC184" s="1802"/>
      <c r="HD184" s="1802"/>
      <c r="HE184" s="1802"/>
      <c r="HF184" s="1802"/>
      <c r="HG184" s="1802"/>
      <c r="HH184" s="1802"/>
      <c r="HI184" s="1802"/>
      <c r="HJ184" s="1802"/>
      <c r="HK184" s="1802"/>
      <c r="HL184" s="1802"/>
      <c r="HM184" s="1802"/>
      <c r="HN184" s="1802"/>
      <c r="HO184" s="1802"/>
      <c r="HP184" s="1802"/>
      <c r="HQ184" s="1802"/>
      <c r="HR184" s="1802"/>
      <c r="HS184" s="1802"/>
      <c r="HT184" s="1802"/>
      <c r="HU184" s="1802"/>
      <c r="HV184" s="1802"/>
      <c r="HW184" s="1802"/>
      <c r="HX184" s="1802"/>
      <c r="HY184" s="1802"/>
      <c r="HZ184" s="1802"/>
      <c r="IA184" s="1802"/>
      <c r="IB184" s="1802"/>
      <c r="IC184" s="1802"/>
      <c r="ID184" s="1802"/>
      <c r="IE184" s="1802"/>
      <c r="IF184" s="1802"/>
      <c r="IG184" s="1802"/>
      <c r="IH184" s="1802"/>
      <c r="II184" s="1802"/>
      <c r="IJ184" s="1802"/>
      <c r="IK184" s="1802"/>
      <c r="IL184" s="1802"/>
      <c r="IM184" s="1802"/>
      <c r="IN184" s="1802"/>
      <c r="IO184" s="1802"/>
      <c r="IP184" s="1802"/>
      <c r="IQ184" s="1802"/>
      <c r="IR184" s="1802"/>
      <c r="IS184" s="1802"/>
      <c r="IT184" s="1802"/>
      <c r="IU184" s="1802"/>
      <c r="IV184" s="1802"/>
      <c r="IW184" s="1802"/>
    </row>
    <row r="185" spans="3:257" s="888" customFormat="1" x14ac:dyDescent="0.45">
      <c r="C185" s="67" t="s">
        <v>532</v>
      </c>
      <c r="D185" s="68" t="s">
        <v>634</v>
      </c>
      <c r="E185" s="69"/>
      <c r="F185" s="70">
        <f t="shared" si="11"/>
        <v>245768.54795456849</v>
      </c>
      <c r="G185" s="71">
        <f t="shared" si="4"/>
        <v>709.39644087468321</v>
      </c>
      <c r="H185" s="71">
        <f t="shared" si="5"/>
        <v>12472.224490867087</v>
      </c>
      <c r="I185" s="71">
        <f t="shared" si="6"/>
        <v>1410.8009679033794</v>
      </c>
      <c r="J185" s="72">
        <f t="shared" si="12"/>
        <v>0</v>
      </c>
      <c r="K185" s="70">
        <f t="shared" si="7"/>
        <v>393895588.33599997</v>
      </c>
      <c r="L185" s="73">
        <f t="shared" si="8"/>
        <v>2763415.6864737771</v>
      </c>
      <c r="M185" s="73">
        <f t="shared" si="9"/>
        <v>49260336.075149447</v>
      </c>
      <c r="N185" s="71">
        <f t="shared" si="10"/>
        <v>5693030.0797267826</v>
      </c>
      <c r="O185" s="1017">
        <f t="shared" si="13"/>
        <v>0</v>
      </c>
      <c r="P185" s="2078">
        <v>3155.7031128336434</v>
      </c>
      <c r="Q185" s="1801">
        <v>8410.1249008395243</v>
      </c>
      <c r="R185" s="2079">
        <f t="shared" si="14"/>
        <v>11565.828013673168</v>
      </c>
      <c r="S185" s="1844"/>
      <c r="T185" s="1842"/>
      <c r="U185" s="1842"/>
      <c r="V185" s="1843"/>
      <c r="W185" s="1800"/>
      <c r="X185" s="1800"/>
      <c r="Y185" s="1801"/>
      <c r="Z185" s="1801"/>
      <c r="AA185" s="1801"/>
      <c r="AB185" s="1801"/>
      <c r="AC185" s="1801"/>
      <c r="AD185" s="1801"/>
      <c r="AE185" s="1801"/>
      <c r="AF185" s="1801"/>
      <c r="AG185" s="1801"/>
      <c r="AH185" s="1801"/>
      <c r="AI185" s="1801"/>
      <c r="AJ185" s="1801"/>
      <c r="AK185" s="1801"/>
      <c r="AL185" s="1802"/>
      <c r="AM185" s="1802"/>
      <c r="AN185" s="1802"/>
      <c r="AO185" s="1802"/>
      <c r="AP185" s="1802"/>
      <c r="AQ185" s="1802"/>
      <c r="AR185" s="1802"/>
      <c r="AS185" s="1802"/>
      <c r="AT185" s="1802"/>
      <c r="AU185" s="1802"/>
      <c r="AV185" s="1802"/>
      <c r="AW185" s="1802"/>
      <c r="AX185" s="1802"/>
      <c r="AY185" s="1802"/>
      <c r="AZ185" s="1802"/>
      <c r="BA185" s="1802"/>
      <c r="BB185" s="1802"/>
      <c r="BC185" s="1802"/>
      <c r="BD185" s="1802"/>
      <c r="BE185" s="1802"/>
      <c r="BF185" s="1802"/>
      <c r="BG185" s="1802"/>
      <c r="BH185" s="1802"/>
      <c r="BI185" s="1802"/>
      <c r="BJ185" s="1802"/>
      <c r="BK185" s="1802"/>
      <c r="BL185" s="1802"/>
      <c r="BM185" s="1802"/>
      <c r="BN185" s="1802"/>
      <c r="BO185" s="1802"/>
      <c r="BP185" s="1802"/>
      <c r="BQ185" s="1802"/>
      <c r="BR185" s="1802"/>
      <c r="BS185" s="1802"/>
      <c r="BT185" s="1802"/>
      <c r="BU185" s="1802"/>
      <c r="BV185" s="1802"/>
      <c r="BW185" s="1802"/>
      <c r="BX185" s="1802"/>
      <c r="BY185" s="1802"/>
      <c r="BZ185" s="1802"/>
      <c r="CA185" s="1802"/>
      <c r="CB185" s="1802"/>
      <c r="CC185" s="1802"/>
      <c r="CD185" s="1802"/>
      <c r="CE185" s="1802"/>
      <c r="CF185" s="1802"/>
      <c r="CG185" s="1802"/>
      <c r="CH185" s="1802"/>
      <c r="CI185" s="1802"/>
      <c r="CJ185" s="1802"/>
      <c r="CK185" s="1802"/>
      <c r="CL185" s="1802"/>
      <c r="CM185" s="1802"/>
      <c r="CN185" s="1802"/>
      <c r="CO185" s="1802"/>
      <c r="CP185" s="1802"/>
      <c r="CQ185" s="1802"/>
      <c r="CR185" s="1802"/>
      <c r="CS185" s="1802"/>
      <c r="CT185" s="1802"/>
      <c r="CU185" s="1802"/>
      <c r="CV185" s="1802"/>
      <c r="CW185" s="1802"/>
      <c r="CX185" s="1802"/>
      <c r="CY185" s="1802"/>
      <c r="CZ185" s="1802"/>
      <c r="DA185" s="1802"/>
      <c r="DB185" s="1802"/>
      <c r="DC185" s="1802"/>
      <c r="DD185" s="1802"/>
      <c r="DE185" s="1802"/>
      <c r="DF185" s="1802"/>
      <c r="DG185" s="1802"/>
      <c r="DH185" s="1802"/>
      <c r="DI185" s="1802"/>
      <c r="DJ185" s="1802"/>
      <c r="DK185" s="1802"/>
      <c r="DL185" s="1802"/>
      <c r="DM185" s="1802"/>
      <c r="DN185" s="1802"/>
      <c r="DO185" s="1802"/>
      <c r="DP185" s="1802"/>
      <c r="DQ185" s="1802"/>
      <c r="DR185" s="1802"/>
      <c r="DS185" s="1802"/>
      <c r="DT185" s="1802"/>
      <c r="DU185" s="1802"/>
      <c r="DV185" s="1802"/>
      <c r="DW185" s="1802"/>
      <c r="DX185" s="1802"/>
      <c r="DY185" s="1802"/>
      <c r="DZ185" s="1802"/>
      <c r="EA185" s="1802"/>
      <c r="EB185" s="1802"/>
      <c r="EC185" s="1802"/>
      <c r="ED185" s="1802"/>
      <c r="EE185" s="1802"/>
      <c r="EF185" s="1802"/>
      <c r="EG185" s="1802"/>
      <c r="EH185" s="1802"/>
      <c r="EI185" s="1802"/>
      <c r="EJ185" s="1802"/>
      <c r="EK185" s="1802"/>
      <c r="EL185" s="1802"/>
      <c r="EM185" s="1802"/>
      <c r="EN185" s="1802"/>
      <c r="EO185" s="1802"/>
      <c r="EP185" s="1802"/>
      <c r="EQ185" s="1802"/>
      <c r="ER185" s="1802"/>
      <c r="ES185" s="1802"/>
      <c r="ET185" s="1802"/>
      <c r="EU185" s="1802"/>
      <c r="EV185" s="1802"/>
      <c r="EW185" s="1802"/>
      <c r="EX185" s="1802"/>
      <c r="EY185" s="1802"/>
      <c r="EZ185" s="1802"/>
      <c r="FA185" s="1802"/>
      <c r="FB185" s="1802"/>
      <c r="FC185" s="1802"/>
      <c r="FD185" s="1802"/>
      <c r="FE185" s="1802"/>
      <c r="FF185" s="1802"/>
      <c r="FG185" s="1802"/>
      <c r="FH185" s="1802"/>
      <c r="FI185" s="1802"/>
      <c r="FJ185" s="1802"/>
      <c r="FK185" s="1802"/>
      <c r="FL185" s="1802"/>
      <c r="FM185" s="1802"/>
      <c r="FN185" s="1802"/>
      <c r="FO185" s="1802"/>
      <c r="FP185" s="1802"/>
      <c r="FQ185" s="1802"/>
      <c r="FR185" s="1802"/>
      <c r="FS185" s="1802"/>
      <c r="FT185" s="1802"/>
      <c r="FU185" s="1802"/>
      <c r="FV185" s="1802"/>
      <c r="FW185" s="1802"/>
      <c r="FX185" s="1802"/>
      <c r="FY185" s="1802"/>
      <c r="FZ185" s="1802"/>
      <c r="GA185" s="1802"/>
      <c r="GB185" s="1802"/>
      <c r="GC185" s="1802"/>
      <c r="GD185" s="1802"/>
      <c r="GE185" s="1802"/>
      <c r="GF185" s="1802"/>
      <c r="GG185" s="1802"/>
      <c r="GH185" s="1802"/>
      <c r="GI185" s="1802"/>
      <c r="GJ185" s="1802"/>
      <c r="GK185" s="1802"/>
      <c r="GL185" s="1802"/>
      <c r="GM185" s="1802"/>
      <c r="GN185" s="1802"/>
      <c r="GO185" s="1802"/>
      <c r="GP185" s="1802"/>
      <c r="GQ185" s="1802"/>
      <c r="GR185" s="1802"/>
      <c r="GS185" s="1802"/>
      <c r="GT185" s="1802"/>
      <c r="GU185" s="1802"/>
      <c r="GV185" s="1802"/>
      <c r="GW185" s="1802"/>
      <c r="GX185" s="1802"/>
      <c r="GY185" s="1802"/>
      <c r="GZ185" s="1802"/>
      <c r="HA185" s="1802"/>
      <c r="HB185" s="1802"/>
      <c r="HC185" s="1802"/>
      <c r="HD185" s="1802"/>
      <c r="HE185" s="1802"/>
      <c r="HF185" s="1802"/>
      <c r="HG185" s="1802"/>
      <c r="HH185" s="1802"/>
      <c r="HI185" s="1802"/>
      <c r="HJ185" s="1802"/>
      <c r="HK185" s="1802"/>
      <c r="HL185" s="1802"/>
      <c r="HM185" s="1802"/>
      <c r="HN185" s="1802"/>
      <c r="HO185" s="1802"/>
      <c r="HP185" s="1802"/>
      <c r="HQ185" s="1802"/>
      <c r="HR185" s="1802"/>
      <c r="HS185" s="1802"/>
      <c r="HT185" s="1802"/>
      <c r="HU185" s="1802"/>
      <c r="HV185" s="1802"/>
      <c r="HW185" s="1802"/>
      <c r="HX185" s="1802"/>
      <c r="HY185" s="1802"/>
      <c r="HZ185" s="1802"/>
      <c r="IA185" s="1802"/>
      <c r="IB185" s="1802"/>
      <c r="IC185" s="1802"/>
      <c r="ID185" s="1802"/>
      <c r="IE185" s="1802"/>
      <c r="IF185" s="1802"/>
      <c r="IG185" s="1802"/>
      <c r="IH185" s="1802"/>
      <c r="II185" s="1802"/>
      <c r="IJ185" s="1802"/>
      <c r="IK185" s="1802"/>
      <c r="IL185" s="1802"/>
      <c r="IM185" s="1802"/>
      <c r="IN185" s="1802"/>
      <c r="IO185" s="1802"/>
      <c r="IP185" s="1802"/>
      <c r="IQ185" s="1802"/>
      <c r="IR185" s="1802"/>
      <c r="IS185" s="1802"/>
      <c r="IT185" s="1802"/>
      <c r="IU185" s="1802"/>
      <c r="IV185" s="1802"/>
      <c r="IW185" s="1802"/>
    </row>
    <row r="186" spans="3:257" s="888" customFormat="1" x14ac:dyDescent="0.45">
      <c r="C186" s="67" t="s">
        <v>533</v>
      </c>
      <c r="D186" s="68" t="s">
        <v>635</v>
      </c>
      <c r="E186" s="69"/>
      <c r="F186" s="70">
        <f t="shared" si="11"/>
        <v>142967.71376845433</v>
      </c>
      <c r="G186" s="71">
        <f t="shared" si="4"/>
        <v>6509.6889355733256</v>
      </c>
      <c r="H186" s="71">
        <f t="shared" si="5"/>
        <v>26861.140379099303</v>
      </c>
      <c r="I186" s="71">
        <f t="shared" si="6"/>
        <v>0</v>
      </c>
      <c r="J186" s="72">
        <f t="shared" si="12"/>
        <v>0</v>
      </c>
      <c r="K186" s="70">
        <f t="shared" si="7"/>
        <v>1547281327.6800001</v>
      </c>
      <c r="L186" s="73">
        <f t="shared" si="8"/>
        <v>25358143.179359306</v>
      </c>
      <c r="M186" s="73">
        <f t="shared" si="9"/>
        <v>106090842.36778429</v>
      </c>
      <c r="N186" s="71">
        <f t="shared" si="10"/>
        <v>0</v>
      </c>
      <c r="O186" s="1017">
        <f t="shared" si="13"/>
        <v>0</v>
      </c>
      <c r="P186" s="2078">
        <v>506.74833530790664</v>
      </c>
      <c r="Q186" s="1801">
        <v>2379.2119696084342</v>
      </c>
      <c r="R186" s="2079">
        <f t="shared" si="14"/>
        <v>2885.9603049163406</v>
      </c>
      <c r="S186" s="1844"/>
      <c r="T186" s="1842"/>
      <c r="U186" s="1842"/>
      <c r="V186" s="1843"/>
      <c r="W186" s="1800"/>
      <c r="X186" s="1800"/>
      <c r="Y186" s="1801"/>
      <c r="Z186" s="1801"/>
      <c r="AA186" s="1801"/>
      <c r="AB186" s="1801"/>
      <c r="AC186" s="1801"/>
      <c r="AD186" s="1801"/>
      <c r="AE186" s="1801"/>
      <c r="AF186" s="1801"/>
      <c r="AG186" s="1801"/>
      <c r="AH186" s="1801"/>
      <c r="AI186" s="1801"/>
      <c r="AJ186" s="1801"/>
      <c r="AK186" s="1801"/>
      <c r="AL186" s="1802"/>
      <c r="AM186" s="1802"/>
      <c r="AN186" s="1802"/>
      <c r="AO186" s="1802"/>
      <c r="AP186" s="1802"/>
      <c r="AQ186" s="1802"/>
      <c r="AR186" s="1802"/>
      <c r="AS186" s="1802"/>
      <c r="AT186" s="1802"/>
      <c r="AU186" s="1802"/>
      <c r="AV186" s="1802"/>
      <c r="AW186" s="1802"/>
      <c r="AX186" s="1802"/>
      <c r="AY186" s="1802"/>
      <c r="AZ186" s="1802"/>
      <c r="BA186" s="1802"/>
      <c r="BB186" s="1802"/>
      <c r="BC186" s="1802"/>
      <c r="BD186" s="1802"/>
      <c r="BE186" s="1802"/>
      <c r="BF186" s="1802"/>
      <c r="BG186" s="1802"/>
      <c r="BH186" s="1802"/>
      <c r="BI186" s="1802"/>
      <c r="BJ186" s="1802"/>
      <c r="BK186" s="1802"/>
      <c r="BL186" s="1802"/>
      <c r="BM186" s="1802"/>
      <c r="BN186" s="1802"/>
      <c r="BO186" s="1802"/>
      <c r="BP186" s="1802"/>
      <c r="BQ186" s="1802"/>
      <c r="BR186" s="1802"/>
      <c r="BS186" s="1802"/>
      <c r="BT186" s="1802"/>
      <c r="BU186" s="1802"/>
      <c r="BV186" s="1802"/>
      <c r="BW186" s="1802"/>
      <c r="BX186" s="1802"/>
      <c r="BY186" s="1802"/>
      <c r="BZ186" s="1802"/>
      <c r="CA186" s="1802"/>
      <c r="CB186" s="1802"/>
      <c r="CC186" s="1802"/>
      <c r="CD186" s="1802"/>
      <c r="CE186" s="1802"/>
      <c r="CF186" s="1802"/>
      <c r="CG186" s="1802"/>
      <c r="CH186" s="1802"/>
      <c r="CI186" s="1802"/>
      <c r="CJ186" s="1802"/>
      <c r="CK186" s="1802"/>
      <c r="CL186" s="1802"/>
      <c r="CM186" s="1802"/>
      <c r="CN186" s="1802"/>
      <c r="CO186" s="1802"/>
      <c r="CP186" s="1802"/>
      <c r="CQ186" s="1802"/>
      <c r="CR186" s="1802"/>
      <c r="CS186" s="1802"/>
      <c r="CT186" s="1802"/>
      <c r="CU186" s="1802"/>
      <c r="CV186" s="1802"/>
      <c r="CW186" s="1802"/>
      <c r="CX186" s="1802"/>
      <c r="CY186" s="1802"/>
      <c r="CZ186" s="1802"/>
      <c r="DA186" s="1802"/>
      <c r="DB186" s="1802"/>
      <c r="DC186" s="1802"/>
      <c r="DD186" s="1802"/>
      <c r="DE186" s="1802"/>
      <c r="DF186" s="1802"/>
      <c r="DG186" s="1802"/>
      <c r="DH186" s="1802"/>
      <c r="DI186" s="1802"/>
      <c r="DJ186" s="1802"/>
      <c r="DK186" s="1802"/>
      <c r="DL186" s="1802"/>
      <c r="DM186" s="1802"/>
      <c r="DN186" s="1802"/>
      <c r="DO186" s="1802"/>
      <c r="DP186" s="1802"/>
      <c r="DQ186" s="1802"/>
      <c r="DR186" s="1802"/>
      <c r="DS186" s="1802"/>
      <c r="DT186" s="1802"/>
      <c r="DU186" s="1802"/>
      <c r="DV186" s="1802"/>
      <c r="DW186" s="1802"/>
      <c r="DX186" s="1802"/>
      <c r="DY186" s="1802"/>
      <c r="DZ186" s="1802"/>
      <c r="EA186" s="1802"/>
      <c r="EB186" s="1802"/>
      <c r="EC186" s="1802"/>
      <c r="ED186" s="1802"/>
      <c r="EE186" s="1802"/>
      <c r="EF186" s="1802"/>
      <c r="EG186" s="1802"/>
      <c r="EH186" s="1802"/>
      <c r="EI186" s="1802"/>
      <c r="EJ186" s="1802"/>
      <c r="EK186" s="1802"/>
      <c r="EL186" s="1802"/>
      <c r="EM186" s="1802"/>
      <c r="EN186" s="1802"/>
      <c r="EO186" s="1802"/>
      <c r="EP186" s="1802"/>
      <c r="EQ186" s="1802"/>
      <c r="ER186" s="1802"/>
      <c r="ES186" s="1802"/>
      <c r="ET186" s="1802"/>
      <c r="EU186" s="1802"/>
      <c r="EV186" s="1802"/>
      <c r="EW186" s="1802"/>
      <c r="EX186" s="1802"/>
      <c r="EY186" s="1802"/>
      <c r="EZ186" s="1802"/>
      <c r="FA186" s="1802"/>
      <c r="FB186" s="1802"/>
      <c r="FC186" s="1802"/>
      <c r="FD186" s="1802"/>
      <c r="FE186" s="1802"/>
      <c r="FF186" s="1802"/>
      <c r="FG186" s="1802"/>
      <c r="FH186" s="1802"/>
      <c r="FI186" s="1802"/>
      <c r="FJ186" s="1802"/>
      <c r="FK186" s="1802"/>
      <c r="FL186" s="1802"/>
      <c r="FM186" s="1802"/>
      <c r="FN186" s="1802"/>
      <c r="FO186" s="1802"/>
      <c r="FP186" s="1802"/>
      <c r="FQ186" s="1802"/>
      <c r="FR186" s="1802"/>
      <c r="FS186" s="1802"/>
      <c r="FT186" s="1802"/>
      <c r="FU186" s="1802"/>
      <c r="FV186" s="1802"/>
      <c r="FW186" s="1802"/>
      <c r="FX186" s="1802"/>
      <c r="FY186" s="1802"/>
      <c r="FZ186" s="1802"/>
      <c r="GA186" s="1802"/>
      <c r="GB186" s="1802"/>
      <c r="GC186" s="1802"/>
      <c r="GD186" s="1802"/>
      <c r="GE186" s="1802"/>
      <c r="GF186" s="1802"/>
      <c r="GG186" s="1802"/>
      <c r="GH186" s="1802"/>
      <c r="GI186" s="1802"/>
      <c r="GJ186" s="1802"/>
      <c r="GK186" s="1802"/>
      <c r="GL186" s="1802"/>
      <c r="GM186" s="1802"/>
      <c r="GN186" s="1802"/>
      <c r="GO186" s="1802"/>
      <c r="GP186" s="1802"/>
      <c r="GQ186" s="1802"/>
      <c r="GR186" s="1802"/>
      <c r="GS186" s="1802"/>
      <c r="GT186" s="1802"/>
      <c r="GU186" s="1802"/>
      <c r="GV186" s="1802"/>
      <c r="GW186" s="1802"/>
      <c r="GX186" s="1802"/>
      <c r="GY186" s="1802"/>
      <c r="GZ186" s="1802"/>
      <c r="HA186" s="1802"/>
      <c r="HB186" s="1802"/>
      <c r="HC186" s="1802"/>
      <c r="HD186" s="1802"/>
      <c r="HE186" s="1802"/>
      <c r="HF186" s="1802"/>
      <c r="HG186" s="1802"/>
      <c r="HH186" s="1802"/>
      <c r="HI186" s="1802"/>
      <c r="HJ186" s="1802"/>
      <c r="HK186" s="1802"/>
      <c r="HL186" s="1802"/>
      <c r="HM186" s="1802"/>
      <c r="HN186" s="1802"/>
      <c r="HO186" s="1802"/>
      <c r="HP186" s="1802"/>
      <c r="HQ186" s="1802"/>
      <c r="HR186" s="1802"/>
      <c r="HS186" s="1802"/>
      <c r="HT186" s="1802"/>
      <c r="HU186" s="1802"/>
      <c r="HV186" s="1802"/>
      <c r="HW186" s="1802"/>
      <c r="HX186" s="1802"/>
      <c r="HY186" s="1802"/>
      <c r="HZ186" s="1802"/>
      <c r="IA186" s="1802"/>
      <c r="IB186" s="1802"/>
      <c r="IC186" s="1802"/>
      <c r="ID186" s="1802"/>
      <c r="IE186" s="1802"/>
      <c r="IF186" s="1802"/>
      <c r="IG186" s="1802"/>
      <c r="IH186" s="1802"/>
      <c r="II186" s="1802"/>
      <c r="IJ186" s="1802"/>
      <c r="IK186" s="1802"/>
      <c r="IL186" s="1802"/>
      <c r="IM186" s="1802"/>
      <c r="IN186" s="1802"/>
      <c r="IO186" s="1802"/>
      <c r="IP186" s="1802"/>
      <c r="IQ186" s="1802"/>
      <c r="IR186" s="1802"/>
      <c r="IS186" s="1802"/>
      <c r="IT186" s="1802"/>
      <c r="IU186" s="1802"/>
      <c r="IV186" s="1802"/>
      <c r="IW186" s="1802"/>
    </row>
    <row r="187" spans="3:257" s="888" customFormat="1" x14ac:dyDescent="0.45">
      <c r="C187" s="67" t="s">
        <v>534</v>
      </c>
      <c r="D187" s="68" t="s">
        <v>636</v>
      </c>
      <c r="E187" s="69"/>
      <c r="F187" s="70">
        <f t="shared" si="11"/>
        <v>47592.189628871107</v>
      </c>
      <c r="G187" s="71">
        <f t="shared" si="4"/>
        <v>0</v>
      </c>
      <c r="H187" s="71">
        <f t="shared" si="5"/>
        <v>11563.753300046494</v>
      </c>
      <c r="I187" s="71">
        <f t="shared" si="6"/>
        <v>1316.4390608809924</v>
      </c>
      <c r="J187" s="72">
        <f t="shared" si="12"/>
        <v>5221.1087425334526</v>
      </c>
      <c r="K187" s="70">
        <f t="shared" si="7"/>
        <v>523704753.31299996</v>
      </c>
      <c r="L187" s="73">
        <f t="shared" si="8"/>
        <v>0</v>
      </c>
      <c r="M187" s="73">
        <f t="shared" si="9"/>
        <v>45672235.475518361</v>
      </c>
      <c r="N187" s="71">
        <f t="shared" si="10"/>
        <v>5312249.8086037887</v>
      </c>
      <c r="O187" s="1017">
        <f t="shared" si="13"/>
        <v>8893688.6850757673</v>
      </c>
      <c r="P187" s="2078">
        <v>29.460666361421186</v>
      </c>
      <c r="Q187" s="1801">
        <v>780.95852032537141</v>
      </c>
      <c r="R187" s="2079">
        <f t="shared" si="14"/>
        <v>810.41918668679261</v>
      </c>
      <c r="S187" s="1844"/>
      <c r="T187" s="1842"/>
      <c r="U187" s="1842"/>
      <c r="V187" s="1843"/>
      <c r="W187" s="1800"/>
      <c r="X187" s="1800"/>
      <c r="Y187" s="1801"/>
      <c r="Z187" s="1801"/>
      <c r="AA187" s="1801"/>
      <c r="AB187" s="1801"/>
      <c r="AC187" s="1801"/>
      <c r="AD187" s="1801"/>
      <c r="AE187" s="1801"/>
      <c r="AF187" s="1801"/>
      <c r="AG187" s="1801"/>
      <c r="AH187" s="1801"/>
      <c r="AI187" s="1801"/>
      <c r="AJ187" s="1801"/>
      <c r="AK187" s="1801"/>
      <c r="AL187" s="1802"/>
      <c r="AM187" s="1802"/>
      <c r="AN187" s="1802"/>
      <c r="AO187" s="1802"/>
      <c r="AP187" s="1802"/>
      <c r="AQ187" s="1802"/>
      <c r="AR187" s="1802"/>
      <c r="AS187" s="1802"/>
      <c r="AT187" s="1802"/>
      <c r="AU187" s="1802"/>
      <c r="AV187" s="1802"/>
      <c r="AW187" s="1802"/>
      <c r="AX187" s="1802"/>
      <c r="AY187" s="1802"/>
      <c r="AZ187" s="1802"/>
      <c r="BA187" s="1802"/>
      <c r="BB187" s="1802"/>
      <c r="BC187" s="1802"/>
      <c r="BD187" s="1802"/>
      <c r="BE187" s="1802"/>
      <c r="BF187" s="1802"/>
      <c r="BG187" s="1802"/>
      <c r="BH187" s="1802"/>
      <c r="BI187" s="1802"/>
      <c r="BJ187" s="1802"/>
      <c r="BK187" s="1802"/>
      <c r="BL187" s="1802"/>
      <c r="BM187" s="1802"/>
      <c r="BN187" s="1802"/>
      <c r="BO187" s="1802"/>
      <c r="BP187" s="1802"/>
      <c r="BQ187" s="1802"/>
      <c r="BR187" s="1802"/>
      <c r="BS187" s="1802"/>
      <c r="BT187" s="1802"/>
      <c r="BU187" s="1802"/>
      <c r="BV187" s="1802"/>
      <c r="BW187" s="1802"/>
      <c r="BX187" s="1802"/>
      <c r="BY187" s="1802"/>
      <c r="BZ187" s="1802"/>
      <c r="CA187" s="1802"/>
      <c r="CB187" s="1802"/>
      <c r="CC187" s="1802"/>
      <c r="CD187" s="1802"/>
      <c r="CE187" s="1802"/>
      <c r="CF187" s="1802"/>
      <c r="CG187" s="1802"/>
      <c r="CH187" s="1802"/>
      <c r="CI187" s="1802"/>
      <c r="CJ187" s="1802"/>
      <c r="CK187" s="1802"/>
      <c r="CL187" s="1802"/>
      <c r="CM187" s="1802"/>
      <c r="CN187" s="1802"/>
      <c r="CO187" s="1802"/>
      <c r="CP187" s="1802"/>
      <c r="CQ187" s="1802"/>
      <c r="CR187" s="1802"/>
      <c r="CS187" s="1802"/>
      <c r="CT187" s="1802"/>
      <c r="CU187" s="1802"/>
      <c r="CV187" s="1802"/>
      <c r="CW187" s="1802"/>
      <c r="CX187" s="1802"/>
      <c r="CY187" s="1802"/>
      <c r="CZ187" s="1802"/>
      <c r="DA187" s="1802"/>
      <c r="DB187" s="1802"/>
      <c r="DC187" s="1802"/>
      <c r="DD187" s="1802"/>
      <c r="DE187" s="1802"/>
      <c r="DF187" s="1802"/>
      <c r="DG187" s="1802"/>
      <c r="DH187" s="1802"/>
      <c r="DI187" s="1802"/>
      <c r="DJ187" s="1802"/>
      <c r="DK187" s="1802"/>
      <c r="DL187" s="1802"/>
      <c r="DM187" s="1802"/>
      <c r="DN187" s="1802"/>
      <c r="DO187" s="1802"/>
      <c r="DP187" s="1802"/>
      <c r="DQ187" s="1802"/>
      <c r="DR187" s="1802"/>
      <c r="DS187" s="1802"/>
      <c r="DT187" s="1802"/>
      <c r="DU187" s="1802"/>
      <c r="DV187" s="1802"/>
      <c r="DW187" s="1802"/>
      <c r="DX187" s="1802"/>
      <c r="DY187" s="1802"/>
      <c r="DZ187" s="1802"/>
      <c r="EA187" s="1802"/>
      <c r="EB187" s="1802"/>
      <c r="EC187" s="1802"/>
      <c r="ED187" s="1802"/>
      <c r="EE187" s="1802"/>
      <c r="EF187" s="1802"/>
      <c r="EG187" s="1802"/>
      <c r="EH187" s="1802"/>
      <c r="EI187" s="1802"/>
      <c r="EJ187" s="1802"/>
      <c r="EK187" s="1802"/>
      <c r="EL187" s="1802"/>
      <c r="EM187" s="1802"/>
      <c r="EN187" s="1802"/>
      <c r="EO187" s="1802"/>
      <c r="EP187" s="1802"/>
      <c r="EQ187" s="1802"/>
      <c r="ER187" s="1802"/>
      <c r="ES187" s="1802"/>
      <c r="ET187" s="1802"/>
      <c r="EU187" s="1802"/>
      <c r="EV187" s="1802"/>
      <c r="EW187" s="1802"/>
      <c r="EX187" s="1802"/>
      <c r="EY187" s="1802"/>
      <c r="EZ187" s="1802"/>
      <c r="FA187" s="1802"/>
      <c r="FB187" s="1802"/>
      <c r="FC187" s="1802"/>
      <c r="FD187" s="1802"/>
      <c r="FE187" s="1802"/>
      <c r="FF187" s="1802"/>
      <c r="FG187" s="1802"/>
      <c r="FH187" s="1802"/>
      <c r="FI187" s="1802"/>
      <c r="FJ187" s="1802"/>
      <c r="FK187" s="1802"/>
      <c r="FL187" s="1802"/>
      <c r="FM187" s="1802"/>
      <c r="FN187" s="1802"/>
      <c r="FO187" s="1802"/>
      <c r="FP187" s="1802"/>
      <c r="FQ187" s="1802"/>
      <c r="FR187" s="1802"/>
      <c r="FS187" s="1802"/>
      <c r="FT187" s="1802"/>
      <c r="FU187" s="1802"/>
      <c r="FV187" s="1802"/>
      <c r="FW187" s="1802"/>
      <c r="FX187" s="1802"/>
      <c r="FY187" s="1802"/>
      <c r="FZ187" s="1802"/>
      <c r="GA187" s="1802"/>
      <c r="GB187" s="1802"/>
      <c r="GC187" s="1802"/>
      <c r="GD187" s="1802"/>
      <c r="GE187" s="1802"/>
      <c r="GF187" s="1802"/>
      <c r="GG187" s="1802"/>
      <c r="GH187" s="1802"/>
      <c r="GI187" s="1802"/>
      <c r="GJ187" s="1802"/>
      <c r="GK187" s="1802"/>
      <c r="GL187" s="1802"/>
      <c r="GM187" s="1802"/>
      <c r="GN187" s="1802"/>
      <c r="GO187" s="1802"/>
      <c r="GP187" s="1802"/>
      <c r="GQ187" s="1802"/>
      <c r="GR187" s="1802"/>
      <c r="GS187" s="1802"/>
      <c r="GT187" s="1802"/>
      <c r="GU187" s="1802"/>
      <c r="GV187" s="1802"/>
      <c r="GW187" s="1802"/>
      <c r="GX187" s="1802"/>
      <c r="GY187" s="1802"/>
      <c r="GZ187" s="1802"/>
      <c r="HA187" s="1802"/>
      <c r="HB187" s="1802"/>
      <c r="HC187" s="1802"/>
      <c r="HD187" s="1802"/>
      <c r="HE187" s="1802"/>
      <c r="HF187" s="1802"/>
      <c r="HG187" s="1802"/>
      <c r="HH187" s="1802"/>
      <c r="HI187" s="1802"/>
      <c r="HJ187" s="1802"/>
      <c r="HK187" s="1802"/>
      <c r="HL187" s="1802"/>
      <c r="HM187" s="1802"/>
      <c r="HN187" s="1802"/>
      <c r="HO187" s="1802"/>
      <c r="HP187" s="1802"/>
      <c r="HQ187" s="1802"/>
      <c r="HR187" s="1802"/>
      <c r="HS187" s="1802"/>
      <c r="HT187" s="1802"/>
      <c r="HU187" s="1802"/>
      <c r="HV187" s="1802"/>
      <c r="HW187" s="1802"/>
      <c r="HX187" s="1802"/>
      <c r="HY187" s="1802"/>
      <c r="HZ187" s="1802"/>
      <c r="IA187" s="1802"/>
      <c r="IB187" s="1802"/>
      <c r="IC187" s="1802"/>
      <c r="ID187" s="1802"/>
      <c r="IE187" s="1802"/>
      <c r="IF187" s="1802"/>
      <c r="IG187" s="1802"/>
      <c r="IH187" s="1802"/>
      <c r="II187" s="1802"/>
      <c r="IJ187" s="1802"/>
      <c r="IK187" s="1802"/>
      <c r="IL187" s="1802"/>
      <c r="IM187" s="1802"/>
      <c r="IN187" s="1802"/>
      <c r="IO187" s="1802"/>
      <c r="IP187" s="1802"/>
      <c r="IQ187" s="1802"/>
      <c r="IR187" s="1802"/>
      <c r="IS187" s="1802"/>
      <c r="IT187" s="1802"/>
      <c r="IU187" s="1802"/>
      <c r="IV187" s="1802"/>
      <c r="IW187" s="1802"/>
    </row>
    <row r="188" spans="3:257" s="888" customFormat="1" x14ac:dyDescent="0.45">
      <c r="C188" s="67" t="s">
        <v>535</v>
      </c>
      <c r="D188" s="68" t="s">
        <v>637</v>
      </c>
      <c r="E188" s="69"/>
      <c r="F188" s="70">
        <f t="shared" si="11"/>
        <v>227721.90595148111</v>
      </c>
      <c r="G188" s="71">
        <f t="shared" si="4"/>
        <v>1262.9972780207563</v>
      </c>
      <c r="H188" s="71">
        <f t="shared" si="5"/>
        <v>15308.463253623264</v>
      </c>
      <c r="I188" s="71">
        <f t="shared" si="6"/>
        <v>282.98495025156001</v>
      </c>
      <c r="J188" s="72">
        <f t="shared" si="12"/>
        <v>0</v>
      </c>
      <c r="K188" s="70">
        <f t="shared" si="7"/>
        <v>457169746.73199999</v>
      </c>
      <c r="L188" s="73">
        <f t="shared" si="8"/>
        <v>4919937.9767860863</v>
      </c>
      <c r="M188" s="73">
        <f t="shared" si="9"/>
        <v>60462353.38529668</v>
      </c>
      <c r="N188" s="71">
        <f t="shared" si="10"/>
        <v>1141934.1711158033</v>
      </c>
      <c r="O188" s="1017">
        <f t="shared" si="13"/>
        <v>0</v>
      </c>
      <c r="P188" s="2078">
        <v>778.15636363940291</v>
      </c>
      <c r="Q188" s="1801">
        <v>5297.391372806841</v>
      </c>
      <c r="R188" s="2079">
        <f t="shared" si="14"/>
        <v>6075.547736446244</v>
      </c>
      <c r="S188" s="1844"/>
      <c r="T188" s="1842"/>
      <c r="U188" s="1842"/>
      <c r="V188" s="1843"/>
      <c r="W188" s="1800"/>
      <c r="X188" s="1800"/>
      <c r="Y188" s="1801"/>
      <c r="Z188" s="1801"/>
      <c r="AA188" s="1801"/>
      <c r="AB188" s="1801"/>
      <c r="AC188" s="1801"/>
      <c r="AD188" s="1801"/>
      <c r="AE188" s="1801"/>
      <c r="AF188" s="1801"/>
      <c r="AG188" s="1801"/>
      <c r="AH188" s="1801"/>
      <c r="AI188" s="1801"/>
      <c r="AJ188" s="1801"/>
      <c r="AK188" s="1801"/>
      <c r="AL188" s="1802"/>
      <c r="AM188" s="1802"/>
      <c r="AN188" s="1802"/>
      <c r="AO188" s="1802"/>
      <c r="AP188" s="1802"/>
      <c r="AQ188" s="1802"/>
      <c r="AR188" s="1802"/>
      <c r="AS188" s="1802"/>
      <c r="AT188" s="1802"/>
      <c r="AU188" s="1802"/>
      <c r="AV188" s="1802"/>
      <c r="AW188" s="1802"/>
      <c r="AX188" s="1802"/>
      <c r="AY188" s="1802"/>
      <c r="AZ188" s="1802"/>
      <c r="BA188" s="1802"/>
      <c r="BB188" s="1802"/>
      <c r="BC188" s="1802"/>
      <c r="BD188" s="1802"/>
      <c r="BE188" s="1802"/>
      <c r="BF188" s="1802"/>
      <c r="BG188" s="1802"/>
      <c r="BH188" s="1802"/>
      <c r="BI188" s="1802"/>
      <c r="BJ188" s="1802"/>
      <c r="BK188" s="1802"/>
      <c r="BL188" s="1802"/>
      <c r="BM188" s="1802"/>
      <c r="BN188" s="1802"/>
      <c r="BO188" s="1802"/>
      <c r="BP188" s="1802"/>
      <c r="BQ188" s="1802"/>
      <c r="BR188" s="1802"/>
      <c r="BS188" s="1802"/>
      <c r="BT188" s="1802"/>
      <c r="BU188" s="1802"/>
      <c r="BV188" s="1802"/>
      <c r="BW188" s="1802"/>
      <c r="BX188" s="1802"/>
      <c r="BY188" s="1802"/>
      <c r="BZ188" s="1802"/>
      <c r="CA188" s="1802"/>
      <c r="CB188" s="1802"/>
      <c r="CC188" s="1802"/>
      <c r="CD188" s="1802"/>
      <c r="CE188" s="1802"/>
      <c r="CF188" s="1802"/>
      <c r="CG188" s="1802"/>
      <c r="CH188" s="1802"/>
      <c r="CI188" s="1802"/>
      <c r="CJ188" s="1802"/>
      <c r="CK188" s="1802"/>
      <c r="CL188" s="1802"/>
      <c r="CM188" s="1802"/>
      <c r="CN188" s="1802"/>
      <c r="CO188" s="1802"/>
      <c r="CP188" s="1802"/>
      <c r="CQ188" s="1802"/>
      <c r="CR188" s="1802"/>
      <c r="CS188" s="1802"/>
      <c r="CT188" s="1802"/>
      <c r="CU188" s="1802"/>
      <c r="CV188" s="1802"/>
      <c r="CW188" s="1802"/>
      <c r="CX188" s="1802"/>
      <c r="CY188" s="1802"/>
      <c r="CZ188" s="1802"/>
      <c r="DA188" s="1802"/>
      <c r="DB188" s="1802"/>
      <c r="DC188" s="1802"/>
      <c r="DD188" s="1802"/>
      <c r="DE188" s="1802"/>
      <c r="DF188" s="1802"/>
      <c r="DG188" s="1802"/>
      <c r="DH188" s="1802"/>
      <c r="DI188" s="1802"/>
      <c r="DJ188" s="1802"/>
      <c r="DK188" s="1802"/>
      <c r="DL188" s="1802"/>
      <c r="DM188" s="1802"/>
      <c r="DN188" s="1802"/>
      <c r="DO188" s="1802"/>
      <c r="DP188" s="1802"/>
      <c r="DQ188" s="1802"/>
      <c r="DR188" s="1802"/>
      <c r="DS188" s="1802"/>
      <c r="DT188" s="1802"/>
      <c r="DU188" s="1802"/>
      <c r="DV188" s="1802"/>
      <c r="DW188" s="1802"/>
      <c r="DX188" s="1802"/>
      <c r="DY188" s="1802"/>
      <c r="DZ188" s="1802"/>
      <c r="EA188" s="1802"/>
      <c r="EB188" s="1802"/>
      <c r="EC188" s="1802"/>
      <c r="ED188" s="1802"/>
      <c r="EE188" s="1802"/>
      <c r="EF188" s="1802"/>
      <c r="EG188" s="1802"/>
      <c r="EH188" s="1802"/>
      <c r="EI188" s="1802"/>
      <c r="EJ188" s="1802"/>
      <c r="EK188" s="1802"/>
      <c r="EL188" s="1802"/>
      <c r="EM188" s="1802"/>
      <c r="EN188" s="1802"/>
      <c r="EO188" s="1802"/>
      <c r="EP188" s="1802"/>
      <c r="EQ188" s="1802"/>
      <c r="ER188" s="1802"/>
      <c r="ES188" s="1802"/>
      <c r="ET188" s="1802"/>
      <c r="EU188" s="1802"/>
      <c r="EV188" s="1802"/>
      <c r="EW188" s="1802"/>
      <c r="EX188" s="1802"/>
      <c r="EY188" s="1802"/>
      <c r="EZ188" s="1802"/>
      <c r="FA188" s="1802"/>
      <c r="FB188" s="1802"/>
      <c r="FC188" s="1802"/>
      <c r="FD188" s="1802"/>
      <c r="FE188" s="1802"/>
      <c r="FF188" s="1802"/>
      <c r="FG188" s="1802"/>
      <c r="FH188" s="1802"/>
      <c r="FI188" s="1802"/>
      <c r="FJ188" s="1802"/>
      <c r="FK188" s="1802"/>
      <c r="FL188" s="1802"/>
      <c r="FM188" s="1802"/>
      <c r="FN188" s="1802"/>
      <c r="FO188" s="1802"/>
      <c r="FP188" s="1802"/>
      <c r="FQ188" s="1802"/>
      <c r="FR188" s="1802"/>
      <c r="FS188" s="1802"/>
      <c r="FT188" s="1802"/>
      <c r="FU188" s="1802"/>
      <c r="FV188" s="1802"/>
      <c r="FW188" s="1802"/>
      <c r="FX188" s="1802"/>
      <c r="FY188" s="1802"/>
      <c r="FZ188" s="1802"/>
      <c r="GA188" s="1802"/>
      <c r="GB188" s="1802"/>
      <c r="GC188" s="1802"/>
      <c r="GD188" s="1802"/>
      <c r="GE188" s="1802"/>
      <c r="GF188" s="1802"/>
      <c r="GG188" s="1802"/>
      <c r="GH188" s="1802"/>
      <c r="GI188" s="1802"/>
      <c r="GJ188" s="1802"/>
      <c r="GK188" s="1802"/>
      <c r="GL188" s="1802"/>
      <c r="GM188" s="1802"/>
      <c r="GN188" s="1802"/>
      <c r="GO188" s="1802"/>
      <c r="GP188" s="1802"/>
      <c r="GQ188" s="1802"/>
      <c r="GR188" s="1802"/>
      <c r="GS188" s="1802"/>
      <c r="GT188" s="1802"/>
      <c r="GU188" s="1802"/>
      <c r="GV188" s="1802"/>
      <c r="GW188" s="1802"/>
      <c r="GX188" s="1802"/>
      <c r="GY188" s="1802"/>
      <c r="GZ188" s="1802"/>
      <c r="HA188" s="1802"/>
      <c r="HB188" s="1802"/>
      <c r="HC188" s="1802"/>
      <c r="HD188" s="1802"/>
      <c r="HE188" s="1802"/>
      <c r="HF188" s="1802"/>
      <c r="HG188" s="1802"/>
      <c r="HH188" s="1802"/>
      <c r="HI188" s="1802"/>
      <c r="HJ188" s="1802"/>
      <c r="HK188" s="1802"/>
      <c r="HL188" s="1802"/>
      <c r="HM188" s="1802"/>
      <c r="HN188" s="1802"/>
      <c r="HO188" s="1802"/>
      <c r="HP188" s="1802"/>
      <c r="HQ188" s="1802"/>
      <c r="HR188" s="1802"/>
      <c r="HS188" s="1802"/>
      <c r="HT188" s="1802"/>
      <c r="HU188" s="1802"/>
      <c r="HV188" s="1802"/>
      <c r="HW188" s="1802"/>
      <c r="HX188" s="1802"/>
      <c r="HY188" s="1802"/>
      <c r="HZ188" s="1802"/>
      <c r="IA188" s="1802"/>
      <c r="IB188" s="1802"/>
      <c r="IC188" s="1802"/>
      <c r="ID188" s="1802"/>
      <c r="IE188" s="1802"/>
      <c r="IF188" s="1802"/>
      <c r="IG188" s="1802"/>
      <c r="IH188" s="1802"/>
      <c r="II188" s="1802"/>
      <c r="IJ188" s="1802"/>
      <c r="IK188" s="1802"/>
      <c r="IL188" s="1802"/>
      <c r="IM188" s="1802"/>
      <c r="IN188" s="1802"/>
      <c r="IO188" s="1802"/>
      <c r="IP188" s="1802"/>
      <c r="IQ188" s="1802"/>
      <c r="IR188" s="1802"/>
      <c r="IS188" s="1802"/>
      <c r="IT188" s="1802"/>
      <c r="IU188" s="1802"/>
      <c r="IV188" s="1802"/>
      <c r="IW188" s="1802"/>
    </row>
    <row r="189" spans="3:257" s="888" customFormat="1" x14ac:dyDescent="0.45">
      <c r="C189" s="67" t="s">
        <v>536</v>
      </c>
      <c r="D189" s="68" t="s">
        <v>638</v>
      </c>
      <c r="E189" s="69"/>
      <c r="F189" s="70">
        <f t="shared" si="11"/>
        <v>271313.36582809931</v>
      </c>
      <c r="G189" s="71">
        <f t="shared" si="4"/>
        <v>13428.689297420577</v>
      </c>
      <c r="H189" s="71">
        <f t="shared" si="5"/>
        <v>15704.07642684303</v>
      </c>
      <c r="I189" s="71">
        <f t="shared" si="6"/>
        <v>149.23179478034234</v>
      </c>
      <c r="J189" s="72">
        <f t="shared" si="12"/>
        <v>0</v>
      </c>
      <c r="K189" s="70">
        <f t="shared" si="7"/>
        <v>632095209.80699992</v>
      </c>
      <c r="L189" s="73">
        <f t="shared" si="8"/>
        <v>52310737.008377463</v>
      </c>
      <c r="M189" s="73">
        <f t="shared" si="9"/>
        <v>62024868.386757106</v>
      </c>
      <c r="N189" s="71">
        <f t="shared" si="10"/>
        <v>602197.69894167536</v>
      </c>
      <c r="O189" s="1017">
        <f t="shared" si="13"/>
        <v>0</v>
      </c>
      <c r="P189" s="2078">
        <v>4688.6041499688754</v>
      </c>
      <c r="Q189" s="1801">
        <v>5659.3823812314304</v>
      </c>
      <c r="R189" s="2079">
        <f t="shared" si="14"/>
        <v>10347.986531200306</v>
      </c>
      <c r="S189" s="1844"/>
      <c r="T189" s="1842"/>
      <c r="U189" s="1842"/>
      <c r="V189" s="1843"/>
      <c r="W189" s="1800"/>
      <c r="X189" s="1800"/>
      <c r="Y189" s="1801"/>
      <c r="Z189" s="1801"/>
      <c r="AA189" s="1801"/>
      <c r="AB189" s="1801"/>
      <c r="AC189" s="1801"/>
      <c r="AD189" s="1801"/>
      <c r="AE189" s="1801"/>
      <c r="AF189" s="1801"/>
      <c r="AG189" s="1801"/>
      <c r="AH189" s="1801"/>
      <c r="AI189" s="1801"/>
      <c r="AJ189" s="1801"/>
      <c r="AK189" s="1801"/>
      <c r="AL189" s="1802"/>
      <c r="AM189" s="1802"/>
      <c r="AN189" s="1802"/>
      <c r="AO189" s="1802"/>
      <c r="AP189" s="1802"/>
      <c r="AQ189" s="1802"/>
      <c r="AR189" s="1802"/>
      <c r="AS189" s="1802"/>
      <c r="AT189" s="1802"/>
      <c r="AU189" s="1802"/>
      <c r="AV189" s="1802"/>
      <c r="AW189" s="1802"/>
      <c r="AX189" s="1802"/>
      <c r="AY189" s="1802"/>
      <c r="AZ189" s="1802"/>
      <c r="BA189" s="1802"/>
      <c r="BB189" s="1802"/>
      <c r="BC189" s="1802"/>
      <c r="BD189" s="1802"/>
      <c r="BE189" s="1802"/>
      <c r="BF189" s="1802"/>
      <c r="BG189" s="1802"/>
      <c r="BH189" s="1802"/>
      <c r="BI189" s="1802"/>
      <c r="BJ189" s="1802"/>
      <c r="BK189" s="1802"/>
      <c r="BL189" s="1802"/>
      <c r="BM189" s="1802"/>
      <c r="BN189" s="1802"/>
      <c r="BO189" s="1802"/>
      <c r="BP189" s="1802"/>
      <c r="BQ189" s="1802"/>
      <c r="BR189" s="1802"/>
      <c r="BS189" s="1802"/>
      <c r="BT189" s="1802"/>
      <c r="BU189" s="1802"/>
      <c r="BV189" s="1802"/>
      <c r="BW189" s="1802"/>
      <c r="BX189" s="1802"/>
      <c r="BY189" s="1802"/>
      <c r="BZ189" s="1802"/>
      <c r="CA189" s="1802"/>
      <c r="CB189" s="1802"/>
      <c r="CC189" s="1802"/>
      <c r="CD189" s="1802"/>
      <c r="CE189" s="1802"/>
      <c r="CF189" s="1802"/>
      <c r="CG189" s="1802"/>
      <c r="CH189" s="1802"/>
      <c r="CI189" s="1802"/>
      <c r="CJ189" s="1802"/>
      <c r="CK189" s="1802"/>
      <c r="CL189" s="1802"/>
      <c r="CM189" s="1802"/>
      <c r="CN189" s="1802"/>
      <c r="CO189" s="1802"/>
      <c r="CP189" s="1802"/>
      <c r="CQ189" s="1802"/>
      <c r="CR189" s="1802"/>
      <c r="CS189" s="1802"/>
      <c r="CT189" s="1802"/>
      <c r="CU189" s="1802"/>
      <c r="CV189" s="1802"/>
      <c r="CW189" s="1802"/>
      <c r="CX189" s="1802"/>
      <c r="CY189" s="1802"/>
      <c r="CZ189" s="1802"/>
      <c r="DA189" s="1802"/>
      <c r="DB189" s="1802"/>
      <c r="DC189" s="1802"/>
      <c r="DD189" s="1802"/>
      <c r="DE189" s="1802"/>
      <c r="DF189" s="1802"/>
      <c r="DG189" s="1802"/>
      <c r="DH189" s="1802"/>
      <c r="DI189" s="1802"/>
      <c r="DJ189" s="1802"/>
      <c r="DK189" s="1802"/>
      <c r="DL189" s="1802"/>
      <c r="DM189" s="1802"/>
      <c r="DN189" s="1802"/>
      <c r="DO189" s="1802"/>
      <c r="DP189" s="1802"/>
      <c r="DQ189" s="1802"/>
      <c r="DR189" s="1802"/>
      <c r="DS189" s="1802"/>
      <c r="DT189" s="1802"/>
      <c r="DU189" s="1802"/>
      <c r="DV189" s="1802"/>
      <c r="DW189" s="1802"/>
      <c r="DX189" s="1802"/>
      <c r="DY189" s="1802"/>
      <c r="DZ189" s="1802"/>
      <c r="EA189" s="1802"/>
      <c r="EB189" s="1802"/>
      <c r="EC189" s="1802"/>
      <c r="ED189" s="1802"/>
      <c r="EE189" s="1802"/>
      <c r="EF189" s="1802"/>
      <c r="EG189" s="1802"/>
      <c r="EH189" s="1802"/>
      <c r="EI189" s="1802"/>
      <c r="EJ189" s="1802"/>
      <c r="EK189" s="1802"/>
      <c r="EL189" s="1802"/>
      <c r="EM189" s="1802"/>
      <c r="EN189" s="1802"/>
      <c r="EO189" s="1802"/>
      <c r="EP189" s="1802"/>
      <c r="EQ189" s="1802"/>
      <c r="ER189" s="1802"/>
      <c r="ES189" s="1802"/>
      <c r="ET189" s="1802"/>
      <c r="EU189" s="1802"/>
      <c r="EV189" s="1802"/>
      <c r="EW189" s="1802"/>
      <c r="EX189" s="1802"/>
      <c r="EY189" s="1802"/>
      <c r="EZ189" s="1802"/>
      <c r="FA189" s="1802"/>
      <c r="FB189" s="1802"/>
      <c r="FC189" s="1802"/>
      <c r="FD189" s="1802"/>
      <c r="FE189" s="1802"/>
      <c r="FF189" s="1802"/>
      <c r="FG189" s="1802"/>
      <c r="FH189" s="1802"/>
      <c r="FI189" s="1802"/>
      <c r="FJ189" s="1802"/>
      <c r="FK189" s="1802"/>
      <c r="FL189" s="1802"/>
      <c r="FM189" s="1802"/>
      <c r="FN189" s="1802"/>
      <c r="FO189" s="1802"/>
      <c r="FP189" s="1802"/>
      <c r="FQ189" s="1802"/>
      <c r="FR189" s="1802"/>
      <c r="FS189" s="1802"/>
      <c r="FT189" s="1802"/>
      <c r="FU189" s="1802"/>
      <c r="FV189" s="1802"/>
      <c r="FW189" s="1802"/>
      <c r="FX189" s="1802"/>
      <c r="FY189" s="1802"/>
      <c r="FZ189" s="1802"/>
      <c r="GA189" s="1802"/>
      <c r="GB189" s="1802"/>
      <c r="GC189" s="1802"/>
      <c r="GD189" s="1802"/>
      <c r="GE189" s="1802"/>
      <c r="GF189" s="1802"/>
      <c r="GG189" s="1802"/>
      <c r="GH189" s="1802"/>
      <c r="GI189" s="1802"/>
      <c r="GJ189" s="1802"/>
      <c r="GK189" s="1802"/>
      <c r="GL189" s="1802"/>
      <c r="GM189" s="1802"/>
      <c r="GN189" s="1802"/>
      <c r="GO189" s="1802"/>
      <c r="GP189" s="1802"/>
      <c r="GQ189" s="1802"/>
      <c r="GR189" s="1802"/>
      <c r="GS189" s="1802"/>
      <c r="GT189" s="1802"/>
      <c r="GU189" s="1802"/>
      <c r="GV189" s="1802"/>
      <c r="GW189" s="1802"/>
      <c r="GX189" s="1802"/>
      <c r="GY189" s="1802"/>
      <c r="GZ189" s="1802"/>
      <c r="HA189" s="1802"/>
      <c r="HB189" s="1802"/>
      <c r="HC189" s="1802"/>
      <c r="HD189" s="1802"/>
      <c r="HE189" s="1802"/>
      <c r="HF189" s="1802"/>
      <c r="HG189" s="1802"/>
      <c r="HH189" s="1802"/>
      <c r="HI189" s="1802"/>
      <c r="HJ189" s="1802"/>
      <c r="HK189" s="1802"/>
      <c r="HL189" s="1802"/>
      <c r="HM189" s="1802"/>
      <c r="HN189" s="1802"/>
      <c r="HO189" s="1802"/>
      <c r="HP189" s="1802"/>
      <c r="HQ189" s="1802"/>
      <c r="HR189" s="1802"/>
      <c r="HS189" s="1802"/>
      <c r="HT189" s="1802"/>
      <c r="HU189" s="1802"/>
      <c r="HV189" s="1802"/>
      <c r="HW189" s="1802"/>
      <c r="HX189" s="1802"/>
      <c r="HY189" s="1802"/>
      <c r="HZ189" s="1802"/>
      <c r="IA189" s="1802"/>
      <c r="IB189" s="1802"/>
      <c r="IC189" s="1802"/>
      <c r="ID189" s="1802"/>
      <c r="IE189" s="1802"/>
      <c r="IF189" s="1802"/>
      <c r="IG189" s="1802"/>
      <c r="IH189" s="1802"/>
      <c r="II189" s="1802"/>
      <c r="IJ189" s="1802"/>
      <c r="IK189" s="1802"/>
      <c r="IL189" s="1802"/>
      <c r="IM189" s="1802"/>
      <c r="IN189" s="1802"/>
      <c r="IO189" s="1802"/>
      <c r="IP189" s="1802"/>
      <c r="IQ189" s="1802"/>
      <c r="IR189" s="1802"/>
      <c r="IS189" s="1802"/>
      <c r="IT189" s="1802"/>
      <c r="IU189" s="1802"/>
      <c r="IV189" s="1802"/>
      <c r="IW189" s="1802"/>
    </row>
    <row r="190" spans="3:257" s="888" customFormat="1" x14ac:dyDescent="0.45">
      <c r="C190" s="67" t="s">
        <v>537</v>
      </c>
      <c r="D190" s="68" t="s">
        <v>639</v>
      </c>
      <c r="E190" s="69"/>
      <c r="F190" s="70">
        <f t="shared" si="11"/>
        <v>351677.31859647529</v>
      </c>
      <c r="G190" s="71">
        <f t="shared" si="4"/>
        <v>570.63053975800563</v>
      </c>
      <c r="H190" s="71">
        <f t="shared" si="5"/>
        <v>10963.463899617762</v>
      </c>
      <c r="I190" s="71">
        <f t="shared" si="6"/>
        <v>331.93598873876266</v>
      </c>
      <c r="J190" s="72">
        <f t="shared" si="12"/>
        <v>0</v>
      </c>
      <c r="K190" s="70">
        <f t="shared" si="7"/>
        <v>644889224.03299999</v>
      </c>
      <c r="L190" s="73">
        <f t="shared" si="8"/>
        <v>2222860.5810369896</v>
      </c>
      <c r="M190" s="73">
        <f t="shared" si="9"/>
        <v>43301330.619762875</v>
      </c>
      <c r="N190" s="71">
        <f t="shared" si="10"/>
        <v>1339467.1618647818</v>
      </c>
      <c r="O190" s="1017">
        <f t="shared" si="13"/>
        <v>0</v>
      </c>
      <c r="P190" s="2078">
        <v>1728.0605972191545</v>
      </c>
      <c r="Q190" s="1801">
        <v>6168.9027853637772</v>
      </c>
      <c r="R190" s="2079">
        <f t="shared" si="14"/>
        <v>7896.9633825829314</v>
      </c>
      <c r="S190" s="1844"/>
      <c r="T190" s="1842"/>
      <c r="U190" s="1842"/>
      <c r="V190" s="1843"/>
      <c r="W190" s="1800"/>
      <c r="X190" s="1800"/>
      <c r="Y190" s="1801"/>
      <c r="Z190" s="1801"/>
      <c r="AA190" s="1801"/>
      <c r="AB190" s="1801"/>
      <c r="AC190" s="1801"/>
      <c r="AD190" s="1801"/>
      <c r="AE190" s="1801"/>
      <c r="AF190" s="1801"/>
      <c r="AG190" s="1801"/>
      <c r="AH190" s="1801"/>
      <c r="AI190" s="1801"/>
      <c r="AJ190" s="1801"/>
      <c r="AK190" s="1801"/>
      <c r="AL190" s="1802"/>
      <c r="AM190" s="1802"/>
      <c r="AN190" s="1802"/>
      <c r="AO190" s="1802"/>
      <c r="AP190" s="1802"/>
      <c r="AQ190" s="1802"/>
      <c r="AR190" s="1802"/>
      <c r="AS190" s="1802"/>
      <c r="AT190" s="1802"/>
      <c r="AU190" s="1802"/>
      <c r="AV190" s="1802"/>
      <c r="AW190" s="1802"/>
      <c r="AX190" s="1802"/>
      <c r="AY190" s="1802"/>
      <c r="AZ190" s="1802"/>
      <c r="BA190" s="1802"/>
      <c r="BB190" s="1802"/>
      <c r="BC190" s="1802"/>
      <c r="BD190" s="1802"/>
      <c r="BE190" s="1802"/>
      <c r="BF190" s="1802"/>
      <c r="BG190" s="1802"/>
      <c r="BH190" s="1802"/>
      <c r="BI190" s="1802"/>
      <c r="BJ190" s="1802"/>
      <c r="BK190" s="1802"/>
      <c r="BL190" s="1802"/>
      <c r="BM190" s="1802"/>
      <c r="BN190" s="1802"/>
      <c r="BO190" s="1802"/>
      <c r="BP190" s="1802"/>
      <c r="BQ190" s="1802"/>
      <c r="BR190" s="1802"/>
      <c r="BS190" s="1802"/>
      <c r="BT190" s="1802"/>
      <c r="BU190" s="1802"/>
      <c r="BV190" s="1802"/>
      <c r="BW190" s="1802"/>
      <c r="BX190" s="1802"/>
      <c r="BY190" s="1802"/>
      <c r="BZ190" s="1802"/>
      <c r="CA190" s="1802"/>
      <c r="CB190" s="1802"/>
      <c r="CC190" s="1802"/>
      <c r="CD190" s="1802"/>
      <c r="CE190" s="1802"/>
      <c r="CF190" s="1802"/>
      <c r="CG190" s="1802"/>
      <c r="CH190" s="1802"/>
      <c r="CI190" s="1802"/>
      <c r="CJ190" s="1802"/>
      <c r="CK190" s="1802"/>
      <c r="CL190" s="1802"/>
      <c r="CM190" s="1802"/>
      <c r="CN190" s="1802"/>
      <c r="CO190" s="1802"/>
      <c r="CP190" s="1802"/>
      <c r="CQ190" s="1802"/>
      <c r="CR190" s="1802"/>
      <c r="CS190" s="1802"/>
      <c r="CT190" s="1802"/>
      <c r="CU190" s="1802"/>
      <c r="CV190" s="1802"/>
      <c r="CW190" s="1802"/>
      <c r="CX190" s="1802"/>
      <c r="CY190" s="1802"/>
      <c r="CZ190" s="1802"/>
      <c r="DA190" s="1802"/>
      <c r="DB190" s="1802"/>
      <c r="DC190" s="1802"/>
      <c r="DD190" s="1802"/>
      <c r="DE190" s="1802"/>
      <c r="DF190" s="1802"/>
      <c r="DG190" s="1802"/>
      <c r="DH190" s="1802"/>
      <c r="DI190" s="1802"/>
      <c r="DJ190" s="1802"/>
      <c r="DK190" s="1802"/>
      <c r="DL190" s="1802"/>
      <c r="DM190" s="1802"/>
      <c r="DN190" s="1802"/>
      <c r="DO190" s="1802"/>
      <c r="DP190" s="1802"/>
      <c r="DQ190" s="1802"/>
      <c r="DR190" s="1802"/>
      <c r="DS190" s="1802"/>
      <c r="DT190" s="1802"/>
      <c r="DU190" s="1802"/>
      <c r="DV190" s="1802"/>
      <c r="DW190" s="1802"/>
      <c r="DX190" s="1802"/>
      <c r="DY190" s="1802"/>
      <c r="DZ190" s="1802"/>
      <c r="EA190" s="1802"/>
      <c r="EB190" s="1802"/>
      <c r="EC190" s="1802"/>
      <c r="ED190" s="1802"/>
      <c r="EE190" s="1802"/>
      <c r="EF190" s="1802"/>
      <c r="EG190" s="1802"/>
      <c r="EH190" s="1802"/>
      <c r="EI190" s="1802"/>
      <c r="EJ190" s="1802"/>
      <c r="EK190" s="1802"/>
      <c r="EL190" s="1802"/>
      <c r="EM190" s="1802"/>
      <c r="EN190" s="1802"/>
      <c r="EO190" s="1802"/>
      <c r="EP190" s="1802"/>
      <c r="EQ190" s="1802"/>
      <c r="ER190" s="1802"/>
      <c r="ES190" s="1802"/>
      <c r="ET190" s="1802"/>
      <c r="EU190" s="1802"/>
      <c r="EV190" s="1802"/>
      <c r="EW190" s="1802"/>
      <c r="EX190" s="1802"/>
      <c r="EY190" s="1802"/>
      <c r="EZ190" s="1802"/>
      <c r="FA190" s="1802"/>
      <c r="FB190" s="1802"/>
      <c r="FC190" s="1802"/>
      <c r="FD190" s="1802"/>
      <c r="FE190" s="1802"/>
      <c r="FF190" s="1802"/>
      <c r="FG190" s="1802"/>
      <c r="FH190" s="1802"/>
      <c r="FI190" s="1802"/>
      <c r="FJ190" s="1802"/>
      <c r="FK190" s="1802"/>
      <c r="FL190" s="1802"/>
      <c r="FM190" s="1802"/>
      <c r="FN190" s="1802"/>
      <c r="FO190" s="1802"/>
      <c r="FP190" s="1802"/>
      <c r="FQ190" s="1802"/>
      <c r="FR190" s="1802"/>
      <c r="FS190" s="1802"/>
      <c r="FT190" s="1802"/>
      <c r="FU190" s="1802"/>
      <c r="FV190" s="1802"/>
      <c r="FW190" s="1802"/>
      <c r="FX190" s="1802"/>
      <c r="FY190" s="1802"/>
      <c r="FZ190" s="1802"/>
      <c r="GA190" s="1802"/>
      <c r="GB190" s="1802"/>
      <c r="GC190" s="1802"/>
      <c r="GD190" s="1802"/>
      <c r="GE190" s="1802"/>
      <c r="GF190" s="1802"/>
      <c r="GG190" s="1802"/>
      <c r="GH190" s="1802"/>
      <c r="GI190" s="1802"/>
      <c r="GJ190" s="1802"/>
      <c r="GK190" s="1802"/>
      <c r="GL190" s="1802"/>
      <c r="GM190" s="1802"/>
      <c r="GN190" s="1802"/>
      <c r="GO190" s="1802"/>
      <c r="GP190" s="1802"/>
      <c r="GQ190" s="1802"/>
      <c r="GR190" s="1802"/>
      <c r="GS190" s="1802"/>
      <c r="GT190" s="1802"/>
      <c r="GU190" s="1802"/>
      <c r="GV190" s="1802"/>
      <c r="GW190" s="1802"/>
      <c r="GX190" s="1802"/>
      <c r="GY190" s="1802"/>
      <c r="GZ190" s="1802"/>
      <c r="HA190" s="1802"/>
      <c r="HB190" s="1802"/>
      <c r="HC190" s="1802"/>
      <c r="HD190" s="1802"/>
      <c r="HE190" s="1802"/>
      <c r="HF190" s="1802"/>
      <c r="HG190" s="1802"/>
      <c r="HH190" s="1802"/>
      <c r="HI190" s="1802"/>
      <c r="HJ190" s="1802"/>
      <c r="HK190" s="1802"/>
      <c r="HL190" s="1802"/>
      <c r="HM190" s="1802"/>
      <c r="HN190" s="1802"/>
      <c r="HO190" s="1802"/>
      <c r="HP190" s="1802"/>
      <c r="HQ190" s="1802"/>
      <c r="HR190" s="1802"/>
      <c r="HS190" s="1802"/>
      <c r="HT190" s="1802"/>
      <c r="HU190" s="1802"/>
      <c r="HV190" s="1802"/>
      <c r="HW190" s="1802"/>
      <c r="HX190" s="1802"/>
      <c r="HY190" s="1802"/>
      <c r="HZ190" s="1802"/>
      <c r="IA190" s="1802"/>
      <c r="IB190" s="1802"/>
      <c r="IC190" s="1802"/>
      <c r="ID190" s="1802"/>
      <c r="IE190" s="1802"/>
      <c r="IF190" s="1802"/>
      <c r="IG190" s="1802"/>
      <c r="IH190" s="1802"/>
      <c r="II190" s="1802"/>
      <c r="IJ190" s="1802"/>
      <c r="IK190" s="1802"/>
      <c r="IL190" s="1802"/>
      <c r="IM190" s="1802"/>
      <c r="IN190" s="1802"/>
      <c r="IO190" s="1802"/>
      <c r="IP190" s="1802"/>
      <c r="IQ190" s="1802"/>
      <c r="IR190" s="1802"/>
      <c r="IS190" s="1802"/>
      <c r="IT190" s="1802"/>
      <c r="IU190" s="1802"/>
      <c r="IV190" s="1802"/>
      <c r="IW190" s="1802"/>
    </row>
    <row r="191" spans="3:257" s="888" customFormat="1" x14ac:dyDescent="0.45">
      <c r="C191" s="67" t="s">
        <v>538</v>
      </c>
      <c r="D191" s="68" t="s">
        <v>640</v>
      </c>
      <c r="E191" s="69"/>
      <c r="F191" s="70">
        <f t="shared" si="11"/>
        <v>210266.33757130749</v>
      </c>
      <c r="G191" s="71">
        <f t="shared" si="4"/>
        <v>581.8395968816767</v>
      </c>
      <c r="H191" s="71">
        <f t="shared" si="5"/>
        <v>8028.7983141517198</v>
      </c>
      <c r="I191" s="71">
        <f t="shared" si="6"/>
        <v>6817.1066362404681</v>
      </c>
      <c r="J191" s="72">
        <f t="shared" si="12"/>
        <v>3663.9172355829032</v>
      </c>
      <c r="K191" s="70">
        <f t="shared" si="7"/>
        <v>607846771.08800006</v>
      </c>
      <c r="L191" s="73">
        <f t="shared" si="8"/>
        <v>2266524.8602768756</v>
      </c>
      <c r="M191" s="73">
        <f t="shared" si="9"/>
        <v>31710566.428973183</v>
      </c>
      <c r="N191" s="71">
        <f t="shared" si="10"/>
        <v>27509190.89210606</v>
      </c>
      <c r="O191" s="1017">
        <f t="shared" si="13"/>
        <v>6241250.7968271486</v>
      </c>
      <c r="P191" s="2078">
        <v>2229.2459916746297</v>
      </c>
      <c r="Q191" s="1801">
        <v>8285.5295988648413</v>
      </c>
      <c r="R191" s="2079">
        <f t="shared" si="14"/>
        <v>10514.775590539472</v>
      </c>
      <c r="S191" s="1844"/>
      <c r="T191" s="1842"/>
      <c r="U191" s="1842"/>
      <c r="V191" s="1843"/>
      <c r="W191" s="1800"/>
      <c r="X191" s="1800"/>
      <c r="Y191" s="1801"/>
      <c r="Z191" s="1801"/>
      <c r="AA191" s="1801"/>
      <c r="AB191" s="1801"/>
      <c r="AC191" s="1801"/>
      <c r="AD191" s="1801"/>
      <c r="AE191" s="1801"/>
      <c r="AF191" s="1801"/>
      <c r="AG191" s="1801"/>
      <c r="AH191" s="1801"/>
      <c r="AI191" s="1801"/>
      <c r="AJ191" s="1801"/>
      <c r="AK191" s="1801"/>
      <c r="AL191" s="1802"/>
      <c r="AM191" s="1802"/>
      <c r="AN191" s="1802"/>
      <c r="AO191" s="1802"/>
      <c r="AP191" s="1802"/>
      <c r="AQ191" s="1802"/>
      <c r="AR191" s="1802"/>
      <c r="AS191" s="1802"/>
      <c r="AT191" s="1802"/>
      <c r="AU191" s="1802"/>
      <c r="AV191" s="1802"/>
      <c r="AW191" s="1802"/>
      <c r="AX191" s="1802"/>
      <c r="AY191" s="1802"/>
      <c r="AZ191" s="1802"/>
      <c r="BA191" s="1802"/>
      <c r="BB191" s="1802"/>
      <c r="BC191" s="1802"/>
      <c r="BD191" s="1802"/>
      <c r="BE191" s="1802"/>
      <c r="BF191" s="1802"/>
      <c r="BG191" s="1802"/>
      <c r="BH191" s="1802"/>
      <c r="BI191" s="1802"/>
      <c r="BJ191" s="1802"/>
      <c r="BK191" s="1802"/>
      <c r="BL191" s="1802"/>
      <c r="BM191" s="1802"/>
      <c r="BN191" s="1802"/>
      <c r="BO191" s="1802"/>
      <c r="BP191" s="1802"/>
      <c r="BQ191" s="1802"/>
      <c r="BR191" s="1802"/>
      <c r="BS191" s="1802"/>
      <c r="BT191" s="1802"/>
      <c r="BU191" s="1802"/>
      <c r="BV191" s="1802"/>
      <c r="BW191" s="1802"/>
      <c r="BX191" s="1802"/>
      <c r="BY191" s="1802"/>
      <c r="BZ191" s="1802"/>
      <c r="CA191" s="1802"/>
      <c r="CB191" s="1802"/>
      <c r="CC191" s="1802"/>
      <c r="CD191" s="1802"/>
      <c r="CE191" s="1802"/>
      <c r="CF191" s="1802"/>
      <c r="CG191" s="1802"/>
      <c r="CH191" s="1802"/>
      <c r="CI191" s="1802"/>
      <c r="CJ191" s="1802"/>
      <c r="CK191" s="1802"/>
      <c r="CL191" s="1802"/>
      <c r="CM191" s="1802"/>
      <c r="CN191" s="1802"/>
      <c r="CO191" s="1802"/>
      <c r="CP191" s="1802"/>
      <c r="CQ191" s="1802"/>
      <c r="CR191" s="1802"/>
      <c r="CS191" s="1802"/>
      <c r="CT191" s="1802"/>
      <c r="CU191" s="1802"/>
      <c r="CV191" s="1802"/>
      <c r="CW191" s="1802"/>
      <c r="CX191" s="1802"/>
      <c r="CY191" s="1802"/>
      <c r="CZ191" s="1802"/>
      <c r="DA191" s="1802"/>
      <c r="DB191" s="1802"/>
      <c r="DC191" s="1802"/>
      <c r="DD191" s="1802"/>
      <c r="DE191" s="1802"/>
      <c r="DF191" s="1802"/>
      <c r="DG191" s="1802"/>
      <c r="DH191" s="1802"/>
      <c r="DI191" s="1802"/>
      <c r="DJ191" s="1802"/>
      <c r="DK191" s="1802"/>
      <c r="DL191" s="1802"/>
      <c r="DM191" s="1802"/>
      <c r="DN191" s="1802"/>
      <c r="DO191" s="1802"/>
      <c r="DP191" s="1802"/>
      <c r="DQ191" s="1802"/>
      <c r="DR191" s="1802"/>
      <c r="DS191" s="1802"/>
      <c r="DT191" s="1802"/>
      <c r="DU191" s="1802"/>
      <c r="DV191" s="1802"/>
      <c r="DW191" s="1802"/>
      <c r="DX191" s="1802"/>
      <c r="DY191" s="1802"/>
      <c r="DZ191" s="1802"/>
      <c r="EA191" s="1802"/>
      <c r="EB191" s="1802"/>
      <c r="EC191" s="1802"/>
      <c r="ED191" s="1802"/>
      <c r="EE191" s="1802"/>
      <c r="EF191" s="1802"/>
      <c r="EG191" s="1802"/>
      <c r="EH191" s="1802"/>
      <c r="EI191" s="1802"/>
      <c r="EJ191" s="1802"/>
      <c r="EK191" s="1802"/>
      <c r="EL191" s="1802"/>
      <c r="EM191" s="1802"/>
      <c r="EN191" s="1802"/>
      <c r="EO191" s="1802"/>
      <c r="EP191" s="1802"/>
      <c r="EQ191" s="1802"/>
      <c r="ER191" s="1802"/>
      <c r="ES191" s="1802"/>
      <c r="ET191" s="1802"/>
      <c r="EU191" s="1802"/>
      <c r="EV191" s="1802"/>
      <c r="EW191" s="1802"/>
      <c r="EX191" s="1802"/>
      <c r="EY191" s="1802"/>
      <c r="EZ191" s="1802"/>
      <c r="FA191" s="1802"/>
      <c r="FB191" s="1802"/>
      <c r="FC191" s="1802"/>
      <c r="FD191" s="1802"/>
      <c r="FE191" s="1802"/>
      <c r="FF191" s="1802"/>
      <c r="FG191" s="1802"/>
      <c r="FH191" s="1802"/>
      <c r="FI191" s="1802"/>
      <c r="FJ191" s="1802"/>
      <c r="FK191" s="1802"/>
      <c r="FL191" s="1802"/>
      <c r="FM191" s="1802"/>
      <c r="FN191" s="1802"/>
      <c r="FO191" s="1802"/>
      <c r="FP191" s="1802"/>
      <c r="FQ191" s="1802"/>
      <c r="FR191" s="1802"/>
      <c r="FS191" s="1802"/>
      <c r="FT191" s="1802"/>
      <c r="FU191" s="1802"/>
      <c r="FV191" s="1802"/>
      <c r="FW191" s="1802"/>
      <c r="FX191" s="1802"/>
      <c r="FY191" s="1802"/>
      <c r="FZ191" s="1802"/>
      <c r="GA191" s="1802"/>
      <c r="GB191" s="1802"/>
      <c r="GC191" s="1802"/>
      <c r="GD191" s="1802"/>
      <c r="GE191" s="1802"/>
      <c r="GF191" s="1802"/>
      <c r="GG191" s="1802"/>
      <c r="GH191" s="1802"/>
      <c r="GI191" s="1802"/>
      <c r="GJ191" s="1802"/>
      <c r="GK191" s="1802"/>
      <c r="GL191" s="1802"/>
      <c r="GM191" s="1802"/>
      <c r="GN191" s="1802"/>
      <c r="GO191" s="1802"/>
      <c r="GP191" s="1802"/>
      <c r="GQ191" s="1802"/>
      <c r="GR191" s="1802"/>
      <c r="GS191" s="1802"/>
      <c r="GT191" s="1802"/>
      <c r="GU191" s="1802"/>
      <c r="GV191" s="1802"/>
      <c r="GW191" s="1802"/>
      <c r="GX191" s="1802"/>
      <c r="GY191" s="1802"/>
      <c r="GZ191" s="1802"/>
      <c r="HA191" s="1802"/>
      <c r="HB191" s="1802"/>
      <c r="HC191" s="1802"/>
      <c r="HD191" s="1802"/>
      <c r="HE191" s="1802"/>
      <c r="HF191" s="1802"/>
      <c r="HG191" s="1802"/>
      <c r="HH191" s="1802"/>
      <c r="HI191" s="1802"/>
      <c r="HJ191" s="1802"/>
      <c r="HK191" s="1802"/>
      <c r="HL191" s="1802"/>
      <c r="HM191" s="1802"/>
      <c r="HN191" s="1802"/>
      <c r="HO191" s="1802"/>
      <c r="HP191" s="1802"/>
      <c r="HQ191" s="1802"/>
      <c r="HR191" s="1802"/>
      <c r="HS191" s="1802"/>
      <c r="HT191" s="1802"/>
      <c r="HU191" s="1802"/>
      <c r="HV191" s="1802"/>
      <c r="HW191" s="1802"/>
      <c r="HX191" s="1802"/>
      <c r="HY191" s="1802"/>
      <c r="HZ191" s="1802"/>
      <c r="IA191" s="1802"/>
      <c r="IB191" s="1802"/>
      <c r="IC191" s="1802"/>
      <c r="ID191" s="1802"/>
      <c r="IE191" s="1802"/>
      <c r="IF191" s="1802"/>
      <c r="IG191" s="1802"/>
      <c r="IH191" s="1802"/>
      <c r="II191" s="1802"/>
      <c r="IJ191" s="1802"/>
      <c r="IK191" s="1802"/>
      <c r="IL191" s="1802"/>
      <c r="IM191" s="1802"/>
      <c r="IN191" s="1802"/>
      <c r="IO191" s="1802"/>
      <c r="IP191" s="1802"/>
      <c r="IQ191" s="1802"/>
      <c r="IR191" s="1802"/>
      <c r="IS191" s="1802"/>
      <c r="IT191" s="1802"/>
      <c r="IU191" s="1802"/>
      <c r="IV191" s="1802"/>
      <c r="IW191" s="1802"/>
    </row>
    <row r="192" spans="3:257" s="888" customFormat="1" x14ac:dyDescent="0.45">
      <c r="C192" s="67" t="s">
        <v>539</v>
      </c>
      <c r="D192" s="68" t="s">
        <v>641</v>
      </c>
      <c r="E192" s="69"/>
      <c r="F192" s="70">
        <f t="shared" si="11"/>
        <v>115286.87177601911</v>
      </c>
      <c r="G192" s="71">
        <f t="shared" si="4"/>
        <v>805.70363150445905</v>
      </c>
      <c r="H192" s="71">
        <f t="shared" si="5"/>
        <v>6097.4434528658894</v>
      </c>
      <c r="I192" s="71">
        <f t="shared" si="6"/>
        <v>120.20237168711041</v>
      </c>
      <c r="J192" s="72">
        <f t="shared" si="12"/>
        <v>0</v>
      </c>
      <c r="K192" s="70">
        <f t="shared" si="7"/>
        <v>751044650.61199999</v>
      </c>
      <c r="L192" s="73">
        <f t="shared" si="8"/>
        <v>3138575.168495419</v>
      </c>
      <c r="M192" s="73">
        <f t="shared" si="9"/>
        <v>24082481.349444646</v>
      </c>
      <c r="N192" s="71">
        <f t="shared" si="10"/>
        <v>485054.75487885042</v>
      </c>
      <c r="O192" s="1017">
        <f t="shared" si="13"/>
        <v>0</v>
      </c>
      <c r="P192" s="2078">
        <v>332.34741335588313</v>
      </c>
      <c r="Q192" s="1801">
        <v>3246.1234707550389</v>
      </c>
      <c r="R192" s="2079">
        <f t="shared" si="14"/>
        <v>3578.4708841109218</v>
      </c>
      <c r="S192" s="1844"/>
      <c r="T192" s="1842"/>
      <c r="U192" s="1842"/>
      <c r="V192" s="1843"/>
      <c r="W192" s="1800"/>
      <c r="X192" s="1800"/>
      <c r="Y192" s="1801"/>
      <c r="Z192" s="1801"/>
      <c r="AA192" s="1801"/>
      <c r="AB192" s="1801"/>
      <c r="AC192" s="1801"/>
      <c r="AD192" s="1801"/>
      <c r="AE192" s="1801"/>
      <c r="AF192" s="1801"/>
      <c r="AG192" s="1801"/>
      <c r="AH192" s="1801"/>
      <c r="AI192" s="1801"/>
      <c r="AJ192" s="1801"/>
      <c r="AK192" s="1801"/>
      <c r="AL192" s="1802"/>
      <c r="AM192" s="1802"/>
      <c r="AN192" s="1802"/>
      <c r="AO192" s="1802"/>
      <c r="AP192" s="1802"/>
      <c r="AQ192" s="1802"/>
      <c r="AR192" s="1802"/>
      <c r="AS192" s="1802"/>
      <c r="AT192" s="1802"/>
      <c r="AU192" s="1802"/>
      <c r="AV192" s="1802"/>
      <c r="AW192" s="1802"/>
      <c r="AX192" s="1802"/>
      <c r="AY192" s="1802"/>
      <c r="AZ192" s="1802"/>
      <c r="BA192" s="1802"/>
      <c r="BB192" s="1802"/>
      <c r="BC192" s="1802"/>
      <c r="BD192" s="1802"/>
      <c r="BE192" s="1802"/>
      <c r="BF192" s="1802"/>
      <c r="BG192" s="1802"/>
      <c r="BH192" s="1802"/>
      <c r="BI192" s="1802"/>
      <c r="BJ192" s="1802"/>
      <c r="BK192" s="1802"/>
      <c r="BL192" s="1802"/>
      <c r="BM192" s="1802"/>
      <c r="BN192" s="1802"/>
      <c r="BO192" s="1802"/>
      <c r="BP192" s="1802"/>
      <c r="BQ192" s="1802"/>
      <c r="BR192" s="1802"/>
      <c r="BS192" s="1802"/>
      <c r="BT192" s="1802"/>
      <c r="BU192" s="1802"/>
      <c r="BV192" s="1802"/>
      <c r="BW192" s="1802"/>
      <c r="BX192" s="1802"/>
      <c r="BY192" s="1802"/>
      <c r="BZ192" s="1802"/>
      <c r="CA192" s="1802"/>
      <c r="CB192" s="1802"/>
      <c r="CC192" s="1802"/>
      <c r="CD192" s="1802"/>
      <c r="CE192" s="1802"/>
      <c r="CF192" s="1802"/>
      <c r="CG192" s="1802"/>
      <c r="CH192" s="1802"/>
      <c r="CI192" s="1802"/>
      <c r="CJ192" s="1802"/>
      <c r="CK192" s="1802"/>
      <c r="CL192" s="1802"/>
      <c r="CM192" s="1802"/>
      <c r="CN192" s="1802"/>
      <c r="CO192" s="1802"/>
      <c r="CP192" s="1802"/>
      <c r="CQ192" s="1802"/>
      <c r="CR192" s="1802"/>
      <c r="CS192" s="1802"/>
      <c r="CT192" s="1802"/>
      <c r="CU192" s="1802"/>
      <c r="CV192" s="1802"/>
      <c r="CW192" s="1802"/>
      <c r="CX192" s="1802"/>
      <c r="CY192" s="1802"/>
      <c r="CZ192" s="1802"/>
      <c r="DA192" s="1802"/>
      <c r="DB192" s="1802"/>
      <c r="DC192" s="1802"/>
      <c r="DD192" s="1802"/>
      <c r="DE192" s="1802"/>
      <c r="DF192" s="1802"/>
      <c r="DG192" s="1802"/>
      <c r="DH192" s="1802"/>
      <c r="DI192" s="1802"/>
      <c r="DJ192" s="1802"/>
      <c r="DK192" s="1802"/>
      <c r="DL192" s="1802"/>
      <c r="DM192" s="1802"/>
      <c r="DN192" s="1802"/>
      <c r="DO192" s="1802"/>
      <c r="DP192" s="1802"/>
      <c r="DQ192" s="1802"/>
      <c r="DR192" s="1802"/>
      <c r="DS192" s="1802"/>
      <c r="DT192" s="1802"/>
      <c r="DU192" s="1802"/>
      <c r="DV192" s="1802"/>
      <c r="DW192" s="1802"/>
      <c r="DX192" s="1802"/>
      <c r="DY192" s="1802"/>
      <c r="DZ192" s="1802"/>
      <c r="EA192" s="1802"/>
      <c r="EB192" s="1802"/>
      <c r="EC192" s="1802"/>
      <c r="ED192" s="1802"/>
      <c r="EE192" s="1802"/>
      <c r="EF192" s="1802"/>
      <c r="EG192" s="1802"/>
      <c r="EH192" s="1802"/>
      <c r="EI192" s="1802"/>
      <c r="EJ192" s="1802"/>
      <c r="EK192" s="1802"/>
      <c r="EL192" s="1802"/>
      <c r="EM192" s="1802"/>
      <c r="EN192" s="1802"/>
      <c r="EO192" s="1802"/>
      <c r="EP192" s="1802"/>
      <c r="EQ192" s="1802"/>
      <c r="ER192" s="1802"/>
      <c r="ES192" s="1802"/>
      <c r="ET192" s="1802"/>
      <c r="EU192" s="1802"/>
      <c r="EV192" s="1802"/>
      <c r="EW192" s="1802"/>
      <c r="EX192" s="1802"/>
      <c r="EY192" s="1802"/>
      <c r="EZ192" s="1802"/>
      <c r="FA192" s="1802"/>
      <c r="FB192" s="1802"/>
      <c r="FC192" s="1802"/>
      <c r="FD192" s="1802"/>
      <c r="FE192" s="1802"/>
      <c r="FF192" s="1802"/>
      <c r="FG192" s="1802"/>
      <c r="FH192" s="1802"/>
      <c r="FI192" s="1802"/>
      <c r="FJ192" s="1802"/>
      <c r="FK192" s="1802"/>
      <c r="FL192" s="1802"/>
      <c r="FM192" s="1802"/>
      <c r="FN192" s="1802"/>
      <c r="FO192" s="1802"/>
      <c r="FP192" s="1802"/>
      <c r="FQ192" s="1802"/>
      <c r="FR192" s="1802"/>
      <c r="FS192" s="1802"/>
      <c r="FT192" s="1802"/>
      <c r="FU192" s="1802"/>
      <c r="FV192" s="1802"/>
      <c r="FW192" s="1802"/>
      <c r="FX192" s="1802"/>
      <c r="FY192" s="1802"/>
      <c r="FZ192" s="1802"/>
      <c r="GA192" s="1802"/>
      <c r="GB192" s="1802"/>
      <c r="GC192" s="1802"/>
      <c r="GD192" s="1802"/>
      <c r="GE192" s="1802"/>
      <c r="GF192" s="1802"/>
      <c r="GG192" s="1802"/>
      <c r="GH192" s="1802"/>
      <c r="GI192" s="1802"/>
      <c r="GJ192" s="1802"/>
      <c r="GK192" s="1802"/>
      <c r="GL192" s="1802"/>
      <c r="GM192" s="1802"/>
      <c r="GN192" s="1802"/>
      <c r="GO192" s="1802"/>
      <c r="GP192" s="1802"/>
      <c r="GQ192" s="1802"/>
      <c r="GR192" s="1802"/>
      <c r="GS192" s="1802"/>
      <c r="GT192" s="1802"/>
      <c r="GU192" s="1802"/>
      <c r="GV192" s="1802"/>
      <c r="GW192" s="1802"/>
      <c r="GX192" s="1802"/>
      <c r="GY192" s="1802"/>
      <c r="GZ192" s="1802"/>
      <c r="HA192" s="1802"/>
      <c r="HB192" s="1802"/>
      <c r="HC192" s="1802"/>
      <c r="HD192" s="1802"/>
      <c r="HE192" s="1802"/>
      <c r="HF192" s="1802"/>
      <c r="HG192" s="1802"/>
      <c r="HH192" s="1802"/>
      <c r="HI192" s="1802"/>
      <c r="HJ192" s="1802"/>
      <c r="HK192" s="1802"/>
      <c r="HL192" s="1802"/>
      <c r="HM192" s="1802"/>
      <c r="HN192" s="1802"/>
      <c r="HO192" s="1802"/>
      <c r="HP192" s="1802"/>
      <c r="HQ192" s="1802"/>
      <c r="HR192" s="1802"/>
      <c r="HS192" s="1802"/>
      <c r="HT192" s="1802"/>
      <c r="HU192" s="1802"/>
      <c r="HV192" s="1802"/>
      <c r="HW192" s="1802"/>
      <c r="HX192" s="1802"/>
      <c r="HY192" s="1802"/>
      <c r="HZ192" s="1802"/>
      <c r="IA192" s="1802"/>
      <c r="IB192" s="1802"/>
      <c r="IC192" s="1802"/>
      <c r="ID192" s="1802"/>
      <c r="IE192" s="1802"/>
      <c r="IF192" s="1802"/>
      <c r="IG192" s="1802"/>
      <c r="IH192" s="1802"/>
      <c r="II192" s="1802"/>
      <c r="IJ192" s="1802"/>
      <c r="IK192" s="1802"/>
      <c r="IL192" s="1802"/>
      <c r="IM192" s="1802"/>
      <c r="IN192" s="1802"/>
      <c r="IO192" s="1802"/>
      <c r="IP192" s="1802"/>
      <c r="IQ192" s="1802"/>
      <c r="IR192" s="1802"/>
      <c r="IS192" s="1802"/>
      <c r="IT192" s="1802"/>
      <c r="IU192" s="1802"/>
      <c r="IV192" s="1802"/>
      <c r="IW192" s="1802"/>
    </row>
    <row r="193" spans="3:257" s="888" customFormat="1" x14ac:dyDescent="0.45">
      <c r="C193" s="67" t="s">
        <v>540</v>
      </c>
      <c r="D193" s="68" t="s">
        <v>642</v>
      </c>
      <c r="E193" s="69"/>
      <c r="F193" s="70">
        <f t="shared" si="11"/>
        <v>104652.19192707271</v>
      </c>
      <c r="G193" s="71">
        <f t="shared" si="4"/>
        <v>2679.8716984541461</v>
      </c>
      <c r="H193" s="71">
        <f t="shared" si="5"/>
        <v>11718.242535827792</v>
      </c>
      <c r="I193" s="71">
        <f t="shared" si="6"/>
        <v>15717.479895136081</v>
      </c>
      <c r="J193" s="72">
        <f t="shared" si="12"/>
        <v>6.0537246241666871</v>
      </c>
      <c r="K193" s="70">
        <f t="shared" si="7"/>
        <v>830119719.72799993</v>
      </c>
      <c r="L193" s="73">
        <f t="shared" si="8"/>
        <v>10439296.086845648</v>
      </c>
      <c r="M193" s="73">
        <f t="shared" si="9"/>
        <v>46282406.634653002</v>
      </c>
      <c r="N193" s="71">
        <f t="shared" si="10"/>
        <v>63425024.405454509</v>
      </c>
      <c r="O193" s="1017">
        <f t="shared" si="13"/>
        <v>10312.017080176027</v>
      </c>
      <c r="P193" s="2078">
        <v>165.38052795216331</v>
      </c>
      <c r="Q193" s="1801">
        <v>1888.8470492898</v>
      </c>
      <c r="R193" s="2079">
        <f t="shared" si="14"/>
        <v>2054.2275772419634</v>
      </c>
      <c r="S193" s="1844"/>
      <c r="T193" s="1842"/>
      <c r="U193" s="1842"/>
      <c r="V193" s="1843"/>
      <c r="W193" s="1800"/>
      <c r="X193" s="1800"/>
      <c r="Y193" s="1801"/>
      <c r="Z193" s="1801"/>
      <c r="AA193" s="1801"/>
      <c r="AB193" s="1801"/>
      <c r="AC193" s="1801"/>
      <c r="AD193" s="1801"/>
      <c r="AE193" s="1801"/>
      <c r="AF193" s="1801"/>
      <c r="AG193" s="1801"/>
      <c r="AH193" s="1801"/>
      <c r="AI193" s="1801"/>
      <c r="AJ193" s="1801"/>
      <c r="AK193" s="1801"/>
      <c r="AL193" s="1802"/>
      <c r="AM193" s="1802"/>
      <c r="AN193" s="1802"/>
      <c r="AO193" s="1802"/>
      <c r="AP193" s="1802"/>
      <c r="AQ193" s="1802"/>
      <c r="AR193" s="1802"/>
      <c r="AS193" s="1802"/>
      <c r="AT193" s="1802"/>
      <c r="AU193" s="1802"/>
      <c r="AV193" s="1802"/>
      <c r="AW193" s="1802"/>
      <c r="AX193" s="1802"/>
      <c r="AY193" s="1802"/>
      <c r="AZ193" s="1802"/>
      <c r="BA193" s="1802"/>
      <c r="BB193" s="1802"/>
      <c r="BC193" s="1802"/>
      <c r="BD193" s="1802"/>
      <c r="BE193" s="1802"/>
      <c r="BF193" s="1802"/>
      <c r="BG193" s="1802"/>
      <c r="BH193" s="1802"/>
      <c r="BI193" s="1802"/>
      <c r="BJ193" s="1802"/>
      <c r="BK193" s="1802"/>
      <c r="BL193" s="1802"/>
      <c r="BM193" s="1802"/>
      <c r="BN193" s="1802"/>
      <c r="BO193" s="1802"/>
      <c r="BP193" s="1802"/>
      <c r="BQ193" s="1802"/>
      <c r="BR193" s="1802"/>
      <c r="BS193" s="1802"/>
      <c r="BT193" s="1802"/>
      <c r="BU193" s="1802"/>
      <c r="BV193" s="1802"/>
      <c r="BW193" s="1802"/>
      <c r="BX193" s="1802"/>
      <c r="BY193" s="1802"/>
      <c r="BZ193" s="1802"/>
      <c r="CA193" s="1802"/>
      <c r="CB193" s="1802"/>
      <c r="CC193" s="1802"/>
      <c r="CD193" s="1802"/>
      <c r="CE193" s="1802"/>
      <c r="CF193" s="1802"/>
      <c r="CG193" s="1802"/>
      <c r="CH193" s="1802"/>
      <c r="CI193" s="1802"/>
      <c r="CJ193" s="1802"/>
      <c r="CK193" s="1802"/>
      <c r="CL193" s="1802"/>
      <c r="CM193" s="1802"/>
      <c r="CN193" s="1802"/>
      <c r="CO193" s="1802"/>
      <c r="CP193" s="1802"/>
      <c r="CQ193" s="1802"/>
      <c r="CR193" s="1802"/>
      <c r="CS193" s="1802"/>
      <c r="CT193" s="1802"/>
      <c r="CU193" s="1802"/>
      <c r="CV193" s="1802"/>
      <c r="CW193" s="1802"/>
      <c r="CX193" s="1802"/>
      <c r="CY193" s="1802"/>
      <c r="CZ193" s="1802"/>
      <c r="DA193" s="1802"/>
      <c r="DB193" s="1802"/>
      <c r="DC193" s="1802"/>
      <c r="DD193" s="1802"/>
      <c r="DE193" s="1802"/>
      <c r="DF193" s="1802"/>
      <c r="DG193" s="1802"/>
      <c r="DH193" s="1802"/>
      <c r="DI193" s="1802"/>
      <c r="DJ193" s="1802"/>
      <c r="DK193" s="1802"/>
      <c r="DL193" s="1802"/>
      <c r="DM193" s="1802"/>
      <c r="DN193" s="1802"/>
      <c r="DO193" s="1802"/>
      <c r="DP193" s="1802"/>
      <c r="DQ193" s="1802"/>
      <c r="DR193" s="1802"/>
      <c r="DS193" s="1802"/>
      <c r="DT193" s="1802"/>
      <c r="DU193" s="1802"/>
      <c r="DV193" s="1802"/>
      <c r="DW193" s="1802"/>
      <c r="DX193" s="1802"/>
      <c r="DY193" s="1802"/>
      <c r="DZ193" s="1802"/>
      <c r="EA193" s="1802"/>
      <c r="EB193" s="1802"/>
      <c r="EC193" s="1802"/>
      <c r="ED193" s="1802"/>
      <c r="EE193" s="1802"/>
      <c r="EF193" s="1802"/>
      <c r="EG193" s="1802"/>
      <c r="EH193" s="1802"/>
      <c r="EI193" s="1802"/>
      <c r="EJ193" s="1802"/>
      <c r="EK193" s="1802"/>
      <c r="EL193" s="1802"/>
      <c r="EM193" s="1802"/>
      <c r="EN193" s="1802"/>
      <c r="EO193" s="1802"/>
      <c r="EP193" s="1802"/>
      <c r="EQ193" s="1802"/>
      <c r="ER193" s="1802"/>
      <c r="ES193" s="1802"/>
      <c r="ET193" s="1802"/>
      <c r="EU193" s="1802"/>
      <c r="EV193" s="1802"/>
      <c r="EW193" s="1802"/>
      <c r="EX193" s="1802"/>
      <c r="EY193" s="1802"/>
      <c r="EZ193" s="1802"/>
      <c r="FA193" s="1802"/>
      <c r="FB193" s="1802"/>
      <c r="FC193" s="1802"/>
      <c r="FD193" s="1802"/>
      <c r="FE193" s="1802"/>
      <c r="FF193" s="1802"/>
      <c r="FG193" s="1802"/>
      <c r="FH193" s="1802"/>
      <c r="FI193" s="1802"/>
      <c r="FJ193" s="1802"/>
      <c r="FK193" s="1802"/>
      <c r="FL193" s="1802"/>
      <c r="FM193" s="1802"/>
      <c r="FN193" s="1802"/>
      <c r="FO193" s="1802"/>
      <c r="FP193" s="1802"/>
      <c r="FQ193" s="1802"/>
      <c r="FR193" s="1802"/>
      <c r="FS193" s="1802"/>
      <c r="FT193" s="1802"/>
      <c r="FU193" s="1802"/>
      <c r="FV193" s="1802"/>
      <c r="FW193" s="1802"/>
      <c r="FX193" s="1802"/>
      <c r="FY193" s="1802"/>
      <c r="FZ193" s="1802"/>
      <c r="GA193" s="1802"/>
      <c r="GB193" s="1802"/>
      <c r="GC193" s="1802"/>
      <c r="GD193" s="1802"/>
      <c r="GE193" s="1802"/>
      <c r="GF193" s="1802"/>
      <c r="GG193" s="1802"/>
      <c r="GH193" s="1802"/>
      <c r="GI193" s="1802"/>
      <c r="GJ193" s="1802"/>
      <c r="GK193" s="1802"/>
      <c r="GL193" s="1802"/>
      <c r="GM193" s="1802"/>
      <c r="GN193" s="1802"/>
      <c r="GO193" s="1802"/>
      <c r="GP193" s="1802"/>
      <c r="GQ193" s="1802"/>
      <c r="GR193" s="1802"/>
      <c r="GS193" s="1802"/>
      <c r="GT193" s="1802"/>
      <c r="GU193" s="1802"/>
      <c r="GV193" s="1802"/>
      <c r="GW193" s="1802"/>
      <c r="GX193" s="1802"/>
      <c r="GY193" s="1802"/>
      <c r="GZ193" s="1802"/>
      <c r="HA193" s="1802"/>
      <c r="HB193" s="1802"/>
      <c r="HC193" s="1802"/>
      <c r="HD193" s="1802"/>
      <c r="HE193" s="1802"/>
      <c r="HF193" s="1802"/>
      <c r="HG193" s="1802"/>
      <c r="HH193" s="1802"/>
      <c r="HI193" s="1802"/>
      <c r="HJ193" s="1802"/>
      <c r="HK193" s="1802"/>
      <c r="HL193" s="1802"/>
      <c r="HM193" s="1802"/>
      <c r="HN193" s="1802"/>
      <c r="HO193" s="1802"/>
      <c r="HP193" s="1802"/>
      <c r="HQ193" s="1802"/>
      <c r="HR193" s="1802"/>
      <c r="HS193" s="1802"/>
      <c r="HT193" s="1802"/>
      <c r="HU193" s="1802"/>
      <c r="HV193" s="1802"/>
      <c r="HW193" s="1802"/>
      <c r="HX193" s="1802"/>
      <c r="HY193" s="1802"/>
      <c r="HZ193" s="1802"/>
      <c r="IA193" s="1802"/>
      <c r="IB193" s="1802"/>
      <c r="IC193" s="1802"/>
      <c r="ID193" s="1802"/>
      <c r="IE193" s="1802"/>
      <c r="IF193" s="1802"/>
      <c r="IG193" s="1802"/>
      <c r="IH193" s="1802"/>
      <c r="II193" s="1802"/>
      <c r="IJ193" s="1802"/>
      <c r="IK193" s="1802"/>
      <c r="IL193" s="1802"/>
      <c r="IM193" s="1802"/>
      <c r="IN193" s="1802"/>
      <c r="IO193" s="1802"/>
      <c r="IP193" s="1802"/>
      <c r="IQ193" s="1802"/>
      <c r="IR193" s="1802"/>
      <c r="IS193" s="1802"/>
      <c r="IT193" s="1802"/>
      <c r="IU193" s="1802"/>
      <c r="IV193" s="1802"/>
      <c r="IW193" s="1802"/>
    </row>
    <row r="194" spans="3:257" s="888" customFormat="1" x14ac:dyDescent="0.45">
      <c r="C194" s="67" t="s">
        <v>541</v>
      </c>
      <c r="D194" s="68" t="s">
        <v>643</v>
      </c>
      <c r="E194" s="69"/>
      <c r="F194" s="70">
        <f t="shared" si="11"/>
        <v>126507.88896934662</v>
      </c>
      <c r="G194" s="71">
        <f t="shared" si="4"/>
        <v>2299.0568735439228</v>
      </c>
      <c r="H194" s="71">
        <f t="shared" si="5"/>
        <v>15585.781326943525</v>
      </c>
      <c r="I194" s="71">
        <f t="shared" si="6"/>
        <v>0</v>
      </c>
      <c r="J194" s="72">
        <f t="shared" si="12"/>
        <v>0</v>
      </c>
      <c r="K194" s="70">
        <f t="shared" si="7"/>
        <v>997436246.94299996</v>
      </c>
      <c r="L194" s="73">
        <f t="shared" si="8"/>
        <v>8955852.4153477587</v>
      </c>
      <c r="M194" s="73">
        <f t="shared" si="9"/>
        <v>61557649.69763232</v>
      </c>
      <c r="N194" s="71">
        <f t="shared" si="10"/>
        <v>0</v>
      </c>
      <c r="O194" s="1017">
        <f t="shared" si="13"/>
        <v>0</v>
      </c>
      <c r="P194" s="2078">
        <v>1123.3052086212376</v>
      </c>
      <c r="Q194" s="1801">
        <v>3641.6601170515323</v>
      </c>
      <c r="R194" s="2079">
        <f t="shared" si="14"/>
        <v>4764.9653256727697</v>
      </c>
      <c r="S194" s="1844"/>
      <c r="T194" s="1842"/>
      <c r="U194" s="1842"/>
      <c r="V194" s="1843"/>
      <c r="W194" s="1800"/>
      <c r="X194" s="1800"/>
      <c r="Y194" s="1801"/>
      <c r="Z194" s="1801"/>
      <c r="AA194" s="1801"/>
      <c r="AB194" s="1801"/>
      <c r="AC194" s="1801"/>
      <c r="AD194" s="1801"/>
      <c r="AE194" s="1801"/>
      <c r="AF194" s="1801"/>
      <c r="AG194" s="1801"/>
      <c r="AH194" s="1801"/>
      <c r="AI194" s="1801"/>
      <c r="AJ194" s="1801"/>
      <c r="AK194" s="1801"/>
      <c r="AL194" s="1802"/>
      <c r="AM194" s="1802"/>
      <c r="AN194" s="1802"/>
      <c r="AO194" s="1802"/>
      <c r="AP194" s="1802"/>
      <c r="AQ194" s="1802"/>
      <c r="AR194" s="1802"/>
      <c r="AS194" s="1802"/>
      <c r="AT194" s="1802"/>
      <c r="AU194" s="1802"/>
      <c r="AV194" s="1802"/>
      <c r="AW194" s="1802"/>
      <c r="AX194" s="1802"/>
      <c r="AY194" s="1802"/>
      <c r="AZ194" s="1802"/>
      <c r="BA194" s="1802"/>
      <c r="BB194" s="1802"/>
      <c r="BC194" s="1802"/>
      <c r="BD194" s="1802"/>
      <c r="BE194" s="1802"/>
      <c r="BF194" s="1802"/>
      <c r="BG194" s="1802"/>
      <c r="BH194" s="1802"/>
      <c r="BI194" s="1802"/>
      <c r="BJ194" s="1802"/>
      <c r="BK194" s="1802"/>
      <c r="BL194" s="1802"/>
      <c r="BM194" s="1802"/>
      <c r="BN194" s="1802"/>
      <c r="BO194" s="1802"/>
      <c r="BP194" s="1802"/>
      <c r="BQ194" s="1802"/>
      <c r="BR194" s="1802"/>
      <c r="BS194" s="1802"/>
      <c r="BT194" s="1802"/>
      <c r="BU194" s="1802"/>
      <c r="BV194" s="1802"/>
      <c r="BW194" s="1802"/>
      <c r="BX194" s="1802"/>
      <c r="BY194" s="1802"/>
      <c r="BZ194" s="1802"/>
      <c r="CA194" s="1802"/>
      <c r="CB194" s="1802"/>
      <c r="CC194" s="1802"/>
      <c r="CD194" s="1802"/>
      <c r="CE194" s="1802"/>
      <c r="CF194" s="1802"/>
      <c r="CG194" s="1802"/>
      <c r="CH194" s="1802"/>
      <c r="CI194" s="1802"/>
      <c r="CJ194" s="1802"/>
      <c r="CK194" s="1802"/>
      <c r="CL194" s="1802"/>
      <c r="CM194" s="1802"/>
      <c r="CN194" s="1802"/>
      <c r="CO194" s="1802"/>
      <c r="CP194" s="1802"/>
      <c r="CQ194" s="1802"/>
      <c r="CR194" s="1802"/>
      <c r="CS194" s="1802"/>
      <c r="CT194" s="1802"/>
      <c r="CU194" s="1802"/>
      <c r="CV194" s="1802"/>
      <c r="CW194" s="1802"/>
      <c r="CX194" s="1802"/>
      <c r="CY194" s="1802"/>
      <c r="CZ194" s="1802"/>
      <c r="DA194" s="1802"/>
      <c r="DB194" s="1802"/>
      <c r="DC194" s="1802"/>
      <c r="DD194" s="1802"/>
      <c r="DE194" s="1802"/>
      <c r="DF194" s="1802"/>
      <c r="DG194" s="1802"/>
      <c r="DH194" s="1802"/>
      <c r="DI194" s="1802"/>
      <c r="DJ194" s="1802"/>
      <c r="DK194" s="1802"/>
      <c r="DL194" s="1802"/>
      <c r="DM194" s="1802"/>
      <c r="DN194" s="1802"/>
      <c r="DO194" s="1802"/>
      <c r="DP194" s="1802"/>
      <c r="DQ194" s="1802"/>
      <c r="DR194" s="1802"/>
      <c r="DS194" s="1802"/>
      <c r="DT194" s="1802"/>
      <c r="DU194" s="1802"/>
      <c r="DV194" s="1802"/>
      <c r="DW194" s="1802"/>
      <c r="DX194" s="1802"/>
      <c r="DY194" s="1802"/>
      <c r="DZ194" s="1802"/>
      <c r="EA194" s="1802"/>
      <c r="EB194" s="1802"/>
      <c r="EC194" s="1802"/>
      <c r="ED194" s="1802"/>
      <c r="EE194" s="1802"/>
      <c r="EF194" s="1802"/>
      <c r="EG194" s="1802"/>
      <c r="EH194" s="1802"/>
      <c r="EI194" s="1802"/>
      <c r="EJ194" s="1802"/>
      <c r="EK194" s="1802"/>
      <c r="EL194" s="1802"/>
      <c r="EM194" s="1802"/>
      <c r="EN194" s="1802"/>
      <c r="EO194" s="1802"/>
      <c r="EP194" s="1802"/>
      <c r="EQ194" s="1802"/>
      <c r="ER194" s="1802"/>
      <c r="ES194" s="1802"/>
      <c r="ET194" s="1802"/>
      <c r="EU194" s="1802"/>
      <c r="EV194" s="1802"/>
      <c r="EW194" s="1802"/>
      <c r="EX194" s="1802"/>
      <c r="EY194" s="1802"/>
      <c r="EZ194" s="1802"/>
      <c r="FA194" s="1802"/>
      <c r="FB194" s="1802"/>
      <c r="FC194" s="1802"/>
      <c r="FD194" s="1802"/>
      <c r="FE194" s="1802"/>
      <c r="FF194" s="1802"/>
      <c r="FG194" s="1802"/>
      <c r="FH194" s="1802"/>
      <c r="FI194" s="1802"/>
      <c r="FJ194" s="1802"/>
      <c r="FK194" s="1802"/>
      <c r="FL194" s="1802"/>
      <c r="FM194" s="1802"/>
      <c r="FN194" s="1802"/>
      <c r="FO194" s="1802"/>
      <c r="FP194" s="1802"/>
      <c r="FQ194" s="1802"/>
      <c r="FR194" s="1802"/>
      <c r="FS194" s="1802"/>
      <c r="FT194" s="1802"/>
      <c r="FU194" s="1802"/>
      <c r="FV194" s="1802"/>
      <c r="FW194" s="1802"/>
      <c r="FX194" s="1802"/>
      <c r="FY194" s="1802"/>
      <c r="FZ194" s="1802"/>
      <c r="GA194" s="1802"/>
      <c r="GB194" s="1802"/>
      <c r="GC194" s="1802"/>
      <c r="GD194" s="1802"/>
      <c r="GE194" s="1802"/>
      <c r="GF194" s="1802"/>
      <c r="GG194" s="1802"/>
      <c r="GH194" s="1802"/>
      <c r="GI194" s="1802"/>
      <c r="GJ194" s="1802"/>
      <c r="GK194" s="1802"/>
      <c r="GL194" s="1802"/>
      <c r="GM194" s="1802"/>
      <c r="GN194" s="1802"/>
      <c r="GO194" s="1802"/>
      <c r="GP194" s="1802"/>
      <c r="GQ194" s="1802"/>
      <c r="GR194" s="1802"/>
      <c r="GS194" s="1802"/>
      <c r="GT194" s="1802"/>
      <c r="GU194" s="1802"/>
      <c r="GV194" s="1802"/>
      <c r="GW194" s="1802"/>
      <c r="GX194" s="1802"/>
      <c r="GY194" s="1802"/>
      <c r="GZ194" s="1802"/>
      <c r="HA194" s="1802"/>
      <c r="HB194" s="1802"/>
      <c r="HC194" s="1802"/>
      <c r="HD194" s="1802"/>
      <c r="HE194" s="1802"/>
      <c r="HF194" s="1802"/>
      <c r="HG194" s="1802"/>
      <c r="HH194" s="1802"/>
      <c r="HI194" s="1802"/>
      <c r="HJ194" s="1802"/>
      <c r="HK194" s="1802"/>
      <c r="HL194" s="1802"/>
      <c r="HM194" s="1802"/>
      <c r="HN194" s="1802"/>
      <c r="HO194" s="1802"/>
      <c r="HP194" s="1802"/>
      <c r="HQ194" s="1802"/>
      <c r="HR194" s="1802"/>
      <c r="HS194" s="1802"/>
      <c r="HT194" s="1802"/>
      <c r="HU194" s="1802"/>
      <c r="HV194" s="1802"/>
      <c r="HW194" s="1802"/>
      <c r="HX194" s="1802"/>
      <c r="HY194" s="1802"/>
      <c r="HZ194" s="1802"/>
      <c r="IA194" s="1802"/>
      <c r="IB194" s="1802"/>
      <c r="IC194" s="1802"/>
      <c r="ID194" s="1802"/>
      <c r="IE194" s="1802"/>
      <c r="IF194" s="1802"/>
      <c r="IG194" s="1802"/>
      <c r="IH194" s="1802"/>
      <c r="II194" s="1802"/>
      <c r="IJ194" s="1802"/>
      <c r="IK194" s="1802"/>
      <c r="IL194" s="1802"/>
      <c r="IM194" s="1802"/>
      <c r="IN194" s="1802"/>
      <c r="IO194" s="1802"/>
      <c r="IP194" s="1802"/>
      <c r="IQ194" s="1802"/>
      <c r="IR194" s="1802"/>
      <c r="IS194" s="1802"/>
      <c r="IT194" s="1802"/>
      <c r="IU194" s="1802"/>
      <c r="IV194" s="1802"/>
      <c r="IW194" s="1802"/>
    </row>
    <row r="195" spans="3:257" s="888" customFormat="1" x14ac:dyDescent="0.45">
      <c r="C195" s="67" t="s">
        <v>542</v>
      </c>
      <c r="D195" s="68" t="s">
        <v>644</v>
      </c>
      <c r="E195" s="69"/>
      <c r="F195" s="70">
        <f t="shared" si="11"/>
        <v>136625.22229976597</v>
      </c>
      <c r="G195" s="71">
        <f t="shared" si="4"/>
        <v>3462.4301638283559</v>
      </c>
      <c r="H195" s="71">
        <f t="shared" si="5"/>
        <v>11628.550566154834</v>
      </c>
      <c r="I195" s="71">
        <f t="shared" si="6"/>
        <v>239.31699690498422</v>
      </c>
      <c r="J195" s="72">
        <f t="shared" si="12"/>
        <v>0</v>
      </c>
      <c r="K195" s="70">
        <f t="shared" si="7"/>
        <v>519783000.85500002</v>
      </c>
      <c r="L195" s="73">
        <f t="shared" si="8"/>
        <v>13487710.505349834</v>
      </c>
      <c r="M195" s="73">
        <f t="shared" si="9"/>
        <v>45928158.956336483</v>
      </c>
      <c r="N195" s="71">
        <f t="shared" si="10"/>
        <v>965720.10720598325</v>
      </c>
      <c r="O195" s="1017">
        <f t="shared" si="13"/>
        <v>0</v>
      </c>
      <c r="P195" s="2078">
        <v>1803.0477773526225</v>
      </c>
      <c r="Q195" s="1801">
        <v>5317.6725119573075</v>
      </c>
      <c r="R195" s="2079">
        <f t="shared" si="14"/>
        <v>7120.7202893099302</v>
      </c>
      <c r="S195" s="1844"/>
      <c r="T195" s="1842"/>
      <c r="U195" s="1842"/>
      <c r="V195" s="1843"/>
      <c r="W195" s="1800"/>
      <c r="X195" s="1800"/>
      <c r="Y195" s="1801"/>
      <c r="Z195" s="1801"/>
      <c r="AA195" s="1801"/>
      <c r="AB195" s="1801"/>
      <c r="AC195" s="1801"/>
      <c r="AD195" s="1801"/>
      <c r="AE195" s="1801"/>
      <c r="AF195" s="1801"/>
      <c r="AG195" s="1801"/>
      <c r="AH195" s="1801"/>
      <c r="AI195" s="1801"/>
      <c r="AJ195" s="1801"/>
      <c r="AK195" s="1801"/>
      <c r="AL195" s="1802"/>
      <c r="AM195" s="1802"/>
      <c r="AN195" s="1802"/>
      <c r="AO195" s="1802"/>
      <c r="AP195" s="1802"/>
      <c r="AQ195" s="1802"/>
      <c r="AR195" s="1802"/>
      <c r="AS195" s="1802"/>
      <c r="AT195" s="1802"/>
      <c r="AU195" s="1802"/>
      <c r="AV195" s="1802"/>
      <c r="AW195" s="1802"/>
      <c r="AX195" s="1802"/>
      <c r="AY195" s="1802"/>
      <c r="AZ195" s="1802"/>
      <c r="BA195" s="1802"/>
      <c r="BB195" s="1802"/>
      <c r="BC195" s="1802"/>
      <c r="BD195" s="1802"/>
      <c r="BE195" s="1802"/>
      <c r="BF195" s="1802"/>
      <c r="BG195" s="1802"/>
      <c r="BH195" s="1802"/>
      <c r="BI195" s="1802"/>
      <c r="BJ195" s="1802"/>
      <c r="BK195" s="1802"/>
      <c r="BL195" s="1802"/>
      <c r="BM195" s="1802"/>
      <c r="BN195" s="1802"/>
      <c r="BO195" s="1802"/>
      <c r="BP195" s="1802"/>
      <c r="BQ195" s="1802"/>
      <c r="BR195" s="1802"/>
      <c r="BS195" s="1802"/>
      <c r="BT195" s="1802"/>
      <c r="BU195" s="1802"/>
      <c r="BV195" s="1802"/>
      <c r="BW195" s="1802"/>
      <c r="BX195" s="1802"/>
      <c r="BY195" s="1802"/>
      <c r="BZ195" s="1802"/>
      <c r="CA195" s="1802"/>
      <c r="CB195" s="1802"/>
      <c r="CC195" s="1802"/>
      <c r="CD195" s="1802"/>
      <c r="CE195" s="1802"/>
      <c r="CF195" s="1802"/>
      <c r="CG195" s="1802"/>
      <c r="CH195" s="1802"/>
      <c r="CI195" s="1802"/>
      <c r="CJ195" s="1802"/>
      <c r="CK195" s="1802"/>
      <c r="CL195" s="1802"/>
      <c r="CM195" s="1802"/>
      <c r="CN195" s="1802"/>
      <c r="CO195" s="1802"/>
      <c r="CP195" s="1802"/>
      <c r="CQ195" s="1802"/>
      <c r="CR195" s="1802"/>
      <c r="CS195" s="1802"/>
      <c r="CT195" s="1802"/>
      <c r="CU195" s="1802"/>
      <c r="CV195" s="1802"/>
      <c r="CW195" s="1802"/>
      <c r="CX195" s="1802"/>
      <c r="CY195" s="1802"/>
      <c r="CZ195" s="1802"/>
      <c r="DA195" s="1802"/>
      <c r="DB195" s="1802"/>
      <c r="DC195" s="1802"/>
      <c r="DD195" s="1802"/>
      <c r="DE195" s="1802"/>
      <c r="DF195" s="1802"/>
      <c r="DG195" s="1802"/>
      <c r="DH195" s="1802"/>
      <c r="DI195" s="1802"/>
      <c r="DJ195" s="1802"/>
      <c r="DK195" s="1802"/>
      <c r="DL195" s="1802"/>
      <c r="DM195" s="1802"/>
      <c r="DN195" s="1802"/>
      <c r="DO195" s="1802"/>
      <c r="DP195" s="1802"/>
      <c r="DQ195" s="1802"/>
      <c r="DR195" s="1802"/>
      <c r="DS195" s="1802"/>
      <c r="DT195" s="1802"/>
      <c r="DU195" s="1802"/>
      <c r="DV195" s="1802"/>
      <c r="DW195" s="1802"/>
      <c r="DX195" s="1802"/>
      <c r="DY195" s="1802"/>
      <c r="DZ195" s="1802"/>
      <c r="EA195" s="1802"/>
      <c r="EB195" s="1802"/>
      <c r="EC195" s="1802"/>
      <c r="ED195" s="1802"/>
      <c r="EE195" s="1802"/>
      <c r="EF195" s="1802"/>
      <c r="EG195" s="1802"/>
      <c r="EH195" s="1802"/>
      <c r="EI195" s="1802"/>
      <c r="EJ195" s="1802"/>
      <c r="EK195" s="1802"/>
      <c r="EL195" s="1802"/>
      <c r="EM195" s="1802"/>
      <c r="EN195" s="1802"/>
      <c r="EO195" s="1802"/>
      <c r="EP195" s="1802"/>
      <c r="EQ195" s="1802"/>
      <c r="ER195" s="1802"/>
      <c r="ES195" s="1802"/>
      <c r="ET195" s="1802"/>
      <c r="EU195" s="1802"/>
      <c r="EV195" s="1802"/>
      <c r="EW195" s="1802"/>
      <c r="EX195" s="1802"/>
      <c r="EY195" s="1802"/>
      <c r="EZ195" s="1802"/>
      <c r="FA195" s="1802"/>
      <c r="FB195" s="1802"/>
      <c r="FC195" s="1802"/>
      <c r="FD195" s="1802"/>
      <c r="FE195" s="1802"/>
      <c r="FF195" s="1802"/>
      <c r="FG195" s="1802"/>
      <c r="FH195" s="1802"/>
      <c r="FI195" s="1802"/>
      <c r="FJ195" s="1802"/>
      <c r="FK195" s="1802"/>
      <c r="FL195" s="1802"/>
      <c r="FM195" s="1802"/>
      <c r="FN195" s="1802"/>
      <c r="FO195" s="1802"/>
      <c r="FP195" s="1802"/>
      <c r="FQ195" s="1802"/>
      <c r="FR195" s="1802"/>
      <c r="FS195" s="1802"/>
      <c r="FT195" s="1802"/>
      <c r="FU195" s="1802"/>
      <c r="FV195" s="1802"/>
      <c r="FW195" s="1802"/>
      <c r="FX195" s="1802"/>
      <c r="FY195" s="1802"/>
      <c r="FZ195" s="1802"/>
      <c r="GA195" s="1802"/>
      <c r="GB195" s="1802"/>
      <c r="GC195" s="1802"/>
      <c r="GD195" s="1802"/>
      <c r="GE195" s="1802"/>
      <c r="GF195" s="1802"/>
      <c r="GG195" s="1802"/>
      <c r="GH195" s="1802"/>
      <c r="GI195" s="1802"/>
      <c r="GJ195" s="1802"/>
      <c r="GK195" s="1802"/>
      <c r="GL195" s="1802"/>
      <c r="GM195" s="1802"/>
      <c r="GN195" s="1802"/>
      <c r="GO195" s="1802"/>
      <c r="GP195" s="1802"/>
      <c r="GQ195" s="1802"/>
      <c r="GR195" s="1802"/>
      <c r="GS195" s="1802"/>
      <c r="GT195" s="1802"/>
      <c r="GU195" s="1802"/>
      <c r="GV195" s="1802"/>
      <c r="GW195" s="1802"/>
      <c r="GX195" s="1802"/>
      <c r="GY195" s="1802"/>
      <c r="GZ195" s="1802"/>
      <c r="HA195" s="1802"/>
      <c r="HB195" s="1802"/>
      <c r="HC195" s="1802"/>
      <c r="HD195" s="1802"/>
      <c r="HE195" s="1802"/>
      <c r="HF195" s="1802"/>
      <c r="HG195" s="1802"/>
      <c r="HH195" s="1802"/>
      <c r="HI195" s="1802"/>
      <c r="HJ195" s="1802"/>
      <c r="HK195" s="1802"/>
      <c r="HL195" s="1802"/>
      <c r="HM195" s="1802"/>
      <c r="HN195" s="1802"/>
      <c r="HO195" s="1802"/>
      <c r="HP195" s="1802"/>
      <c r="HQ195" s="1802"/>
      <c r="HR195" s="1802"/>
      <c r="HS195" s="1802"/>
      <c r="HT195" s="1802"/>
      <c r="HU195" s="1802"/>
      <c r="HV195" s="1802"/>
      <c r="HW195" s="1802"/>
      <c r="HX195" s="1802"/>
      <c r="HY195" s="1802"/>
      <c r="HZ195" s="1802"/>
      <c r="IA195" s="1802"/>
      <c r="IB195" s="1802"/>
      <c r="IC195" s="1802"/>
      <c r="ID195" s="1802"/>
      <c r="IE195" s="1802"/>
      <c r="IF195" s="1802"/>
      <c r="IG195" s="1802"/>
      <c r="IH195" s="1802"/>
      <c r="II195" s="1802"/>
      <c r="IJ195" s="1802"/>
      <c r="IK195" s="1802"/>
      <c r="IL195" s="1802"/>
      <c r="IM195" s="1802"/>
      <c r="IN195" s="1802"/>
      <c r="IO195" s="1802"/>
      <c r="IP195" s="1802"/>
      <c r="IQ195" s="1802"/>
      <c r="IR195" s="1802"/>
      <c r="IS195" s="1802"/>
      <c r="IT195" s="1802"/>
      <c r="IU195" s="1802"/>
      <c r="IV195" s="1802"/>
      <c r="IW195" s="1802"/>
    </row>
    <row r="196" spans="3:257" s="888" customFormat="1" x14ac:dyDescent="0.45">
      <c r="C196" s="67" t="s">
        <v>543</v>
      </c>
      <c r="D196" s="68" t="s">
        <v>645</v>
      </c>
      <c r="E196" s="69"/>
      <c r="F196" s="70">
        <f t="shared" si="11"/>
        <v>343391.60646658391</v>
      </c>
      <c r="G196" s="71">
        <f t="shared" si="4"/>
        <v>1929.1977066956792</v>
      </c>
      <c r="H196" s="71">
        <f t="shared" si="5"/>
        <v>11575.245208409877</v>
      </c>
      <c r="I196" s="71">
        <f t="shared" si="6"/>
        <v>3015.647570930877</v>
      </c>
      <c r="J196" s="72">
        <f t="shared" si="12"/>
        <v>1046.702236282533</v>
      </c>
      <c r="K196" s="70">
        <f t="shared" si="7"/>
        <v>732392866.63300002</v>
      </c>
      <c r="L196" s="73">
        <f t="shared" si="8"/>
        <v>7515085.920671884</v>
      </c>
      <c r="M196" s="73">
        <f t="shared" si="9"/>
        <v>45717623.952011846</v>
      </c>
      <c r="N196" s="71">
        <f t="shared" si="10"/>
        <v>12169095.940356823</v>
      </c>
      <c r="O196" s="1017">
        <f t="shared" si="13"/>
        <v>1782997.5791670256</v>
      </c>
      <c r="P196" s="2078">
        <v>2000.2668136980601</v>
      </c>
      <c r="Q196" s="1801">
        <v>5212.4512612510171</v>
      </c>
      <c r="R196" s="2079">
        <f t="shared" si="14"/>
        <v>7212.7180749490772</v>
      </c>
      <c r="S196" s="1844"/>
      <c r="T196" s="1842"/>
      <c r="U196" s="1842"/>
      <c r="V196" s="1843"/>
      <c r="W196" s="1800"/>
      <c r="X196" s="1800"/>
      <c r="Y196" s="1801"/>
      <c r="Z196" s="1801"/>
      <c r="AA196" s="1801"/>
      <c r="AB196" s="1801"/>
      <c r="AC196" s="1801"/>
      <c r="AD196" s="1801"/>
      <c r="AE196" s="1801"/>
      <c r="AF196" s="1801"/>
      <c r="AG196" s="1801"/>
      <c r="AH196" s="1801"/>
      <c r="AI196" s="1801"/>
      <c r="AJ196" s="1801"/>
      <c r="AK196" s="1801"/>
      <c r="AL196" s="1802"/>
      <c r="AM196" s="1802"/>
      <c r="AN196" s="1802"/>
      <c r="AO196" s="1802"/>
      <c r="AP196" s="1802"/>
      <c r="AQ196" s="1802"/>
      <c r="AR196" s="1802"/>
      <c r="AS196" s="1802"/>
      <c r="AT196" s="1802"/>
      <c r="AU196" s="1802"/>
      <c r="AV196" s="1802"/>
      <c r="AW196" s="1802"/>
      <c r="AX196" s="1802"/>
      <c r="AY196" s="1802"/>
      <c r="AZ196" s="1802"/>
      <c r="BA196" s="1802"/>
      <c r="BB196" s="1802"/>
      <c r="BC196" s="1802"/>
      <c r="BD196" s="1802"/>
      <c r="BE196" s="1802"/>
      <c r="BF196" s="1802"/>
      <c r="BG196" s="1802"/>
      <c r="BH196" s="1802"/>
      <c r="BI196" s="1802"/>
      <c r="BJ196" s="1802"/>
      <c r="BK196" s="1802"/>
      <c r="BL196" s="1802"/>
      <c r="BM196" s="1802"/>
      <c r="BN196" s="1802"/>
      <c r="BO196" s="1802"/>
      <c r="BP196" s="1802"/>
      <c r="BQ196" s="1802"/>
      <c r="BR196" s="1802"/>
      <c r="BS196" s="1802"/>
      <c r="BT196" s="1802"/>
      <c r="BU196" s="1802"/>
      <c r="BV196" s="1802"/>
      <c r="BW196" s="1802"/>
      <c r="BX196" s="1802"/>
      <c r="BY196" s="1802"/>
      <c r="BZ196" s="1802"/>
      <c r="CA196" s="1802"/>
      <c r="CB196" s="1802"/>
      <c r="CC196" s="1802"/>
      <c r="CD196" s="1802"/>
      <c r="CE196" s="1802"/>
      <c r="CF196" s="1802"/>
      <c r="CG196" s="1802"/>
      <c r="CH196" s="1802"/>
      <c r="CI196" s="1802"/>
      <c r="CJ196" s="1802"/>
      <c r="CK196" s="1802"/>
      <c r="CL196" s="1802"/>
      <c r="CM196" s="1802"/>
      <c r="CN196" s="1802"/>
      <c r="CO196" s="1802"/>
      <c r="CP196" s="1802"/>
      <c r="CQ196" s="1802"/>
      <c r="CR196" s="1802"/>
      <c r="CS196" s="1802"/>
      <c r="CT196" s="1802"/>
      <c r="CU196" s="1802"/>
      <c r="CV196" s="1802"/>
      <c r="CW196" s="1802"/>
      <c r="CX196" s="1802"/>
      <c r="CY196" s="1802"/>
      <c r="CZ196" s="1802"/>
      <c r="DA196" s="1802"/>
      <c r="DB196" s="1802"/>
      <c r="DC196" s="1802"/>
      <c r="DD196" s="1802"/>
      <c r="DE196" s="1802"/>
      <c r="DF196" s="1802"/>
      <c r="DG196" s="1802"/>
      <c r="DH196" s="1802"/>
      <c r="DI196" s="1802"/>
      <c r="DJ196" s="1802"/>
      <c r="DK196" s="1802"/>
      <c r="DL196" s="1802"/>
      <c r="DM196" s="1802"/>
      <c r="DN196" s="1802"/>
      <c r="DO196" s="1802"/>
      <c r="DP196" s="1802"/>
      <c r="DQ196" s="1802"/>
      <c r="DR196" s="1802"/>
      <c r="DS196" s="1802"/>
      <c r="DT196" s="1802"/>
      <c r="DU196" s="1802"/>
      <c r="DV196" s="1802"/>
      <c r="DW196" s="1802"/>
      <c r="DX196" s="1802"/>
      <c r="DY196" s="1802"/>
      <c r="DZ196" s="1802"/>
      <c r="EA196" s="1802"/>
      <c r="EB196" s="1802"/>
      <c r="EC196" s="1802"/>
      <c r="ED196" s="1802"/>
      <c r="EE196" s="1802"/>
      <c r="EF196" s="1802"/>
      <c r="EG196" s="1802"/>
      <c r="EH196" s="1802"/>
      <c r="EI196" s="1802"/>
      <c r="EJ196" s="1802"/>
      <c r="EK196" s="1802"/>
      <c r="EL196" s="1802"/>
      <c r="EM196" s="1802"/>
      <c r="EN196" s="1802"/>
      <c r="EO196" s="1802"/>
      <c r="EP196" s="1802"/>
      <c r="EQ196" s="1802"/>
      <c r="ER196" s="1802"/>
      <c r="ES196" s="1802"/>
      <c r="ET196" s="1802"/>
      <c r="EU196" s="1802"/>
      <c r="EV196" s="1802"/>
      <c r="EW196" s="1802"/>
      <c r="EX196" s="1802"/>
      <c r="EY196" s="1802"/>
      <c r="EZ196" s="1802"/>
      <c r="FA196" s="1802"/>
      <c r="FB196" s="1802"/>
      <c r="FC196" s="1802"/>
      <c r="FD196" s="1802"/>
      <c r="FE196" s="1802"/>
      <c r="FF196" s="1802"/>
      <c r="FG196" s="1802"/>
      <c r="FH196" s="1802"/>
      <c r="FI196" s="1802"/>
      <c r="FJ196" s="1802"/>
      <c r="FK196" s="1802"/>
      <c r="FL196" s="1802"/>
      <c r="FM196" s="1802"/>
      <c r="FN196" s="1802"/>
      <c r="FO196" s="1802"/>
      <c r="FP196" s="1802"/>
      <c r="FQ196" s="1802"/>
      <c r="FR196" s="1802"/>
      <c r="FS196" s="1802"/>
      <c r="FT196" s="1802"/>
      <c r="FU196" s="1802"/>
      <c r="FV196" s="1802"/>
      <c r="FW196" s="1802"/>
      <c r="FX196" s="1802"/>
      <c r="FY196" s="1802"/>
      <c r="FZ196" s="1802"/>
      <c r="GA196" s="1802"/>
      <c r="GB196" s="1802"/>
      <c r="GC196" s="1802"/>
      <c r="GD196" s="1802"/>
      <c r="GE196" s="1802"/>
      <c r="GF196" s="1802"/>
      <c r="GG196" s="1802"/>
      <c r="GH196" s="1802"/>
      <c r="GI196" s="1802"/>
      <c r="GJ196" s="1802"/>
      <c r="GK196" s="1802"/>
      <c r="GL196" s="1802"/>
      <c r="GM196" s="1802"/>
      <c r="GN196" s="1802"/>
      <c r="GO196" s="1802"/>
      <c r="GP196" s="1802"/>
      <c r="GQ196" s="1802"/>
      <c r="GR196" s="1802"/>
      <c r="GS196" s="1802"/>
      <c r="GT196" s="1802"/>
      <c r="GU196" s="1802"/>
      <c r="GV196" s="1802"/>
      <c r="GW196" s="1802"/>
      <c r="GX196" s="1802"/>
      <c r="GY196" s="1802"/>
      <c r="GZ196" s="1802"/>
      <c r="HA196" s="1802"/>
      <c r="HB196" s="1802"/>
      <c r="HC196" s="1802"/>
      <c r="HD196" s="1802"/>
      <c r="HE196" s="1802"/>
      <c r="HF196" s="1802"/>
      <c r="HG196" s="1802"/>
      <c r="HH196" s="1802"/>
      <c r="HI196" s="1802"/>
      <c r="HJ196" s="1802"/>
      <c r="HK196" s="1802"/>
      <c r="HL196" s="1802"/>
      <c r="HM196" s="1802"/>
      <c r="HN196" s="1802"/>
      <c r="HO196" s="1802"/>
      <c r="HP196" s="1802"/>
      <c r="HQ196" s="1802"/>
      <c r="HR196" s="1802"/>
      <c r="HS196" s="1802"/>
      <c r="HT196" s="1802"/>
      <c r="HU196" s="1802"/>
      <c r="HV196" s="1802"/>
      <c r="HW196" s="1802"/>
      <c r="HX196" s="1802"/>
      <c r="HY196" s="1802"/>
      <c r="HZ196" s="1802"/>
      <c r="IA196" s="1802"/>
      <c r="IB196" s="1802"/>
      <c r="IC196" s="1802"/>
      <c r="ID196" s="1802"/>
      <c r="IE196" s="1802"/>
      <c r="IF196" s="1802"/>
      <c r="IG196" s="1802"/>
      <c r="IH196" s="1802"/>
      <c r="II196" s="1802"/>
      <c r="IJ196" s="1802"/>
      <c r="IK196" s="1802"/>
      <c r="IL196" s="1802"/>
      <c r="IM196" s="1802"/>
      <c r="IN196" s="1802"/>
      <c r="IO196" s="1802"/>
      <c r="IP196" s="1802"/>
      <c r="IQ196" s="1802"/>
      <c r="IR196" s="1802"/>
      <c r="IS196" s="1802"/>
      <c r="IT196" s="1802"/>
      <c r="IU196" s="1802"/>
      <c r="IV196" s="1802"/>
      <c r="IW196" s="1802"/>
    </row>
    <row r="197" spans="3:257" s="888" customFormat="1" x14ac:dyDescent="0.45">
      <c r="C197" s="67" t="s">
        <v>544</v>
      </c>
      <c r="D197" s="68" t="s">
        <v>646</v>
      </c>
      <c r="E197" s="69"/>
      <c r="F197" s="70">
        <f t="shared" si="11"/>
        <v>400643.08190147596</v>
      </c>
      <c r="G197" s="71">
        <f t="shared" si="4"/>
        <v>10669.991634934458</v>
      </c>
      <c r="H197" s="71">
        <f t="shared" si="5"/>
        <v>13420.807859372644</v>
      </c>
      <c r="I197" s="71">
        <f t="shared" si="6"/>
        <v>743067.65396539343</v>
      </c>
      <c r="J197" s="72">
        <f t="shared" si="12"/>
        <v>0</v>
      </c>
      <c r="K197" s="70">
        <f t="shared" si="7"/>
        <v>1012530182.96</v>
      </c>
      <c r="L197" s="73">
        <f t="shared" si="8"/>
        <v>41564378.617640376</v>
      </c>
      <c r="M197" s="73">
        <f t="shared" si="9"/>
        <v>53006863.854704551</v>
      </c>
      <c r="N197" s="71">
        <f t="shared" si="10"/>
        <v>3002357724.346468</v>
      </c>
      <c r="O197" s="1017">
        <f t="shared" si="13"/>
        <v>0</v>
      </c>
      <c r="P197" s="2078">
        <v>3940.7919308849405</v>
      </c>
      <c r="Q197" s="1801">
        <v>11139.160333124299</v>
      </c>
      <c r="R197" s="2079">
        <f t="shared" si="14"/>
        <v>15079.95226400924</v>
      </c>
      <c r="S197" s="1844"/>
      <c r="T197" s="1842"/>
      <c r="U197" s="1842"/>
      <c r="V197" s="1843"/>
      <c r="W197" s="1800"/>
      <c r="X197" s="1800"/>
      <c r="Y197" s="1801"/>
      <c r="Z197" s="1801"/>
      <c r="AA197" s="1801"/>
      <c r="AB197" s="1801"/>
      <c r="AC197" s="1801"/>
      <c r="AD197" s="1801"/>
      <c r="AE197" s="1801"/>
      <c r="AF197" s="1801"/>
      <c r="AG197" s="1801"/>
      <c r="AH197" s="1801"/>
      <c r="AI197" s="1801"/>
      <c r="AJ197" s="1801"/>
      <c r="AK197" s="1801"/>
      <c r="AL197" s="1802"/>
      <c r="AM197" s="1802"/>
      <c r="AN197" s="1802"/>
      <c r="AO197" s="1802"/>
      <c r="AP197" s="1802"/>
      <c r="AQ197" s="1802"/>
      <c r="AR197" s="1802"/>
      <c r="AS197" s="1802"/>
      <c r="AT197" s="1802"/>
      <c r="AU197" s="1802"/>
      <c r="AV197" s="1802"/>
      <c r="AW197" s="1802"/>
      <c r="AX197" s="1802"/>
      <c r="AY197" s="1802"/>
      <c r="AZ197" s="1802"/>
      <c r="BA197" s="1802"/>
      <c r="BB197" s="1802"/>
      <c r="BC197" s="1802"/>
      <c r="BD197" s="1802"/>
      <c r="BE197" s="1802"/>
      <c r="BF197" s="1802"/>
      <c r="BG197" s="1802"/>
      <c r="BH197" s="1802"/>
      <c r="BI197" s="1802"/>
      <c r="BJ197" s="1802"/>
      <c r="BK197" s="1802"/>
      <c r="BL197" s="1802"/>
      <c r="BM197" s="1802"/>
      <c r="BN197" s="1802"/>
      <c r="BO197" s="1802"/>
      <c r="BP197" s="1802"/>
      <c r="BQ197" s="1802"/>
      <c r="BR197" s="1802"/>
      <c r="BS197" s="1802"/>
      <c r="BT197" s="1802"/>
      <c r="BU197" s="1802"/>
      <c r="BV197" s="1802"/>
      <c r="BW197" s="1802"/>
      <c r="BX197" s="1802"/>
      <c r="BY197" s="1802"/>
      <c r="BZ197" s="1802"/>
      <c r="CA197" s="1802"/>
      <c r="CB197" s="1802"/>
      <c r="CC197" s="1802"/>
      <c r="CD197" s="1802"/>
      <c r="CE197" s="1802"/>
      <c r="CF197" s="1802"/>
      <c r="CG197" s="1802"/>
      <c r="CH197" s="1802"/>
      <c r="CI197" s="1802"/>
      <c r="CJ197" s="1802"/>
      <c r="CK197" s="1802"/>
      <c r="CL197" s="1802"/>
      <c r="CM197" s="1802"/>
      <c r="CN197" s="1802"/>
      <c r="CO197" s="1802"/>
      <c r="CP197" s="1802"/>
      <c r="CQ197" s="1802"/>
      <c r="CR197" s="1802"/>
      <c r="CS197" s="1802"/>
      <c r="CT197" s="1802"/>
      <c r="CU197" s="1802"/>
      <c r="CV197" s="1802"/>
      <c r="CW197" s="1802"/>
      <c r="CX197" s="1802"/>
      <c r="CY197" s="1802"/>
      <c r="CZ197" s="1802"/>
      <c r="DA197" s="1802"/>
      <c r="DB197" s="1802"/>
      <c r="DC197" s="1802"/>
      <c r="DD197" s="1802"/>
      <c r="DE197" s="1802"/>
      <c r="DF197" s="1802"/>
      <c r="DG197" s="1802"/>
      <c r="DH197" s="1802"/>
      <c r="DI197" s="1802"/>
      <c r="DJ197" s="1802"/>
      <c r="DK197" s="1802"/>
      <c r="DL197" s="1802"/>
      <c r="DM197" s="1802"/>
      <c r="DN197" s="1802"/>
      <c r="DO197" s="1802"/>
      <c r="DP197" s="1802"/>
      <c r="DQ197" s="1802"/>
      <c r="DR197" s="1802"/>
      <c r="DS197" s="1802"/>
      <c r="DT197" s="1802"/>
      <c r="DU197" s="1802"/>
      <c r="DV197" s="1802"/>
      <c r="DW197" s="1802"/>
      <c r="DX197" s="1802"/>
      <c r="DY197" s="1802"/>
      <c r="DZ197" s="1802"/>
      <c r="EA197" s="1802"/>
      <c r="EB197" s="1802"/>
      <c r="EC197" s="1802"/>
      <c r="ED197" s="1802"/>
      <c r="EE197" s="1802"/>
      <c r="EF197" s="1802"/>
      <c r="EG197" s="1802"/>
      <c r="EH197" s="1802"/>
      <c r="EI197" s="1802"/>
      <c r="EJ197" s="1802"/>
      <c r="EK197" s="1802"/>
      <c r="EL197" s="1802"/>
      <c r="EM197" s="1802"/>
      <c r="EN197" s="1802"/>
      <c r="EO197" s="1802"/>
      <c r="EP197" s="1802"/>
      <c r="EQ197" s="1802"/>
      <c r="ER197" s="1802"/>
      <c r="ES197" s="1802"/>
      <c r="ET197" s="1802"/>
      <c r="EU197" s="1802"/>
      <c r="EV197" s="1802"/>
      <c r="EW197" s="1802"/>
      <c r="EX197" s="1802"/>
      <c r="EY197" s="1802"/>
      <c r="EZ197" s="1802"/>
      <c r="FA197" s="1802"/>
      <c r="FB197" s="1802"/>
      <c r="FC197" s="1802"/>
      <c r="FD197" s="1802"/>
      <c r="FE197" s="1802"/>
      <c r="FF197" s="1802"/>
      <c r="FG197" s="1802"/>
      <c r="FH197" s="1802"/>
      <c r="FI197" s="1802"/>
      <c r="FJ197" s="1802"/>
      <c r="FK197" s="1802"/>
      <c r="FL197" s="1802"/>
      <c r="FM197" s="1802"/>
      <c r="FN197" s="1802"/>
      <c r="FO197" s="1802"/>
      <c r="FP197" s="1802"/>
      <c r="FQ197" s="1802"/>
      <c r="FR197" s="1802"/>
      <c r="FS197" s="1802"/>
      <c r="FT197" s="1802"/>
      <c r="FU197" s="1802"/>
      <c r="FV197" s="1802"/>
      <c r="FW197" s="1802"/>
      <c r="FX197" s="1802"/>
      <c r="FY197" s="1802"/>
      <c r="FZ197" s="1802"/>
      <c r="GA197" s="1802"/>
      <c r="GB197" s="1802"/>
      <c r="GC197" s="1802"/>
      <c r="GD197" s="1802"/>
      <c r="GE197" s="1802"/>
      <c r="GF197" s="1802"/>
      <c r="GG197" s="1802"/>
      <c r="GH197" s="1802"/>
      <c r="GI197" s="1802"/>
      <c r="GJ197" s="1802"/>
      <c r="GK197" s="1802"/>
      <c r="GL197" s="1802"/>
      <c r="GM197" s="1802"/>
      <c r="GN197" s="1802"/>
      <c r="GO197" s="1802"/>
      <c r="GP197" s="1802"/>
      <c r="GQ197" s="1802"/>
      <c r="GR197" s="1802"/>
      <c r="GS197" s="1802"/>
      <c r="GT197" s="1802"/>
      <c r="GU197" s="1802"/>
      <c r="GV197" s="1802"/>
      <c r="GW197" s="1802"/>
      <c r="GX197" s="1802"/>
      <c r="GY197" s="1802"/>
      <c r="GZ197" s="1802"/>
      <c r="HA197" s="1802"/>
      <c r="HB197" s="1802"/>
      <c r="HC197" s="1802"/>
      <c r="HD197" s="1802"/>
      <c r="HE197" s="1802"/>
      <c r="HF197" s="1802"/>
      <c r="HG197" s="1802"/>
      <c r="HH197" s="1802"/>
      <c r="HI197" s="1802"/>
      <c r="HJ197" s="1802"/>
      <c r="HK197" s="1802"/>
      <c r="HL197" s="1802"/>
      <c r="HM197" s="1802"/>
      <c r="HN197" s="1802"/>
      <c r="HO197" s="1802"/>
      <c r="HP197" s="1802"/>
      <c r="HQ197" s="1802"/>
      <c r="HR197" s="1802"/>
      <c r="HS197" s="1802"/>
      <c r="HT197" s="1802"/>
      <c r="HU197" s="1802"/>
      <c r="HV197" s="1802"/>
      <c r="HW197" s="1802"/>
      <c r="HX197" s="1802"/>
      <c r="HY197" s="1802"/>
      <c r="HZ197" s="1802"/>
      <c r="IA197" s="1802"/>
      <c r="IB197" s="1802"/>
      <c r="IC197" s="1802"/>
      <c r="ID197" s="1802"/>
      <c r="IE197" s="1802"/>
      <c r="IF197" s="1802"/>
      <c r="IG197" s="1802"/>
      <c r="IH197" s="1802"/>
      <c r="II197" s="1802"/>
      <c r="IJ197" s="1802"/>
      <c r="IK197" s="1802"/>
      <c r="IL197" s="1802"/>
      <c r="IM197" s="1802"/>
      <c r="IN197" s="1802"/>
      <c r="IO197" s="1802"/>
      <c r="IP197" s="1802"/>
      <c r="IQ197" s="1802"/>
      <c r="IR197" s="1802"/>
      <c r="IS197" s="1802"/>
      <c r="IT197" s="1802"/>
      <c r="IU197" s="1802"/>
      <c r="IV197" s="1802"/>
      <c r="IW197" s="1802"/>
    </row>
    <row r="198" spans="3:257" s="888" customFormat="1" x14ac:dyDescent="0.45">
      <c r="C198" s="67" t="s">
        <v>545</v>
      </c>
      <c r="D198" s="68" t="s">
        <v>647</v>
      </c>
      <c r="E198" s="69"/>
      <c r="F198" s="70">
        <f t="shared" si="11"/>
        <v>276916.86599366867</v>
      </c>
      <c r="G198" s="71">
        <f t="shared" si="4"/>
        <v>364.60838899933123</v>
      </c>
      <c r="H198" s="71">
        <f t="shared" si="5"/>
        <v>10892.863596156811</v>
      </c>
      <c r="I198" s="71">
        <f t="shared" si="6"/>
        <v>115625.66537073306</v>
      </c>
      <c r="J198" s="72">
        <f t="shared" si="12"/>
        <v>0</v>
      </c>
      <c r="K198" s="70">
        <f t="shared" si="7"/>
        <v>645896676.32299995</v>
      </c>
      <c r="L198" s="73">
        <f t="shared" si="8"/>
        <v>1420312.3719346004</v>
      </c>
      <c r="M198" s="73">
        <f t="shared" si="9"/>
        <v>43022487.444831192</v>
      </c>
      <c r="N198" s="71">
        <f t="shared" si="10"/>
        <v>466586290.99344975</v>
      </c>
      <c r="O198" s="1017">
        <f t="shared" si="13"/>
        <v>0</v>
      </c>
      <c r="P198" s="2078">
        <v>1114.8588126446625</v>
      </c>
      <c r="Q198" s="1801">
        <v>3606.5621652471982</v>
      </c>
      <c r="R198" s="2079">
        <f t="shared" si="14"/>
        <v>4721.4209778918612</v>
      </c>
      <c r="S198" s="1844"/>
      <c r="T198" s="1842"/>
      <c r="U198" s="1842"/>
      <c r="V198" s="1843"/>
      <c r="W198" s="1800"/>
      <c r="X198" s="1800"/>
      <c r="Y198" s="1801"/>
      <c r="Z198" s="1801"/>
      <c r="AA198" s="1801"/>
      <c r="AB198" s="1801"/>
      <c r="AC198" s="1801"/>
      <c r="AD198" s="1801"/>
      <c r="AE198" s="1801"/>
      <c r="AF198" s="1801"/>
      <c r="AG198" s="1801"/>
      <c r="AH198" s="1801"/>
      <c r="AI198" s="1801"/>
      <c r="AJ198" s="1801"/>
      <c r="AK198" s="1801"/>
      <c r="AL198" s="1802"/>
      <c r="AM198" s="1802"/>
      <c r="AN198" s="1802"/>
      <c r="AO198" s="1802"/>
      <c r="AP198" s="1802"/>
      <c r="AQ198" s="1802"/>
      <c r="AR198" s="1802"/>
      <c r="AS198" s="1802"/>
      <c r="AT198" s="1802"/>
      <c r="AU198" s="1802"/>
      <c r="AV198" s="1802"/>
      <c r="AW198" s="1802"/>
      <c r="AX198" s="1802"/>
      <c r="AY198" s="1802"/>
      <c r="AZ198" s="1802"/>
      <c r="BA198" s="1802"/>
      <c r="BB198" s="1802"/>
      <c r="BC198" s="1802"/>
      <c r="BD198" s="1802"/>
      <c r="BE198" s="1802"/>
      <c r="BF198" s="1802"/>
      <c r="BG198" s="1802"/>
      <c r="BH198" s="1802"/>
      <c r="BI198" s="1802"/>
      <c r="BJ198" s="1802"/>
      <c r="BK198" s="1802"/>
      <c r="BL198" s="1802"/>
      <c r="BM198" s="1802"/>
      <c r="BN198" s="1802"/>
      <c r="BO198" s="1802"/>
      <c r="BP198" s="1802"/>
      <c r="BQ198" s="1802"/>
      <c r="BR198" s="1802"/>
      <c r="BS198" s="1802"/>
      <c r="BT198" s="1802"/>
      <c r="BU198" s="1802"/>
      <c r="BV198" s="1802"/>
      <c r="BW198" s="1802"/>
      <c r="BX198" s="1802"/>
      <c r="BY198" s="1802"/>
      <c r="BZ198" s="1802"/>
      <c r="CA198" s="1802"/>
      <c r="CB198" s="1802"/>
      <c r="CC198" s="1802"/>
      <c r="CD198" s="1802"/>
      <c r="CE198" s="1802"/>
      <c r="CF198" s="1802"/>
      <c r="CG198" s="1802"/>
      <c r="CH198" s="1802"/>
      <c r="CI198" s="1802"/>
      <c r="CJ198" s="1802"/>
      <c r="CK198" s="1802"/>
      <c r="CL198" s="1802"/>
      <c r="CM198" s="1802"/>
      <c r="CN198" s="1802"/>
      <c r="CO198" s="1802"/>
      <c r="CP198" s="1802"/>
      <c r="CQ198" s="1802"/>
      <c r="CR198" s="1802"/>
      <c r="CS198" s="1802"/>
      <c r="CT198" s="1802"/>
      <c r="CU198" s="1802"/>
      <c r="CV198" s="1802"/>
      <c r="CW198" s="1802"/>
      <c r="CX198" s="1802"/>
      <c r="CY198" s="1802"/>
      <c r="CZ198" s="1802"/>
      <c r="DA198" s="1802"/>
      <c r="DB198" s="1802"/>
      <c r="DC198" s="1802"/>
      <c r="DD198" s="1802"/>
      <c r="DE198" s="1802"/>
      <c r="DF198" s="1802"/>
      <c r="DG198" s="1802"/>
      <c r="DH198" s="1802"/>
      <c r="DI198" s="1802"/>
      <c r="DJ198" s="1802"/>
      <c r="DK198" s="1802"/>
      <c r="DL198" s="1802"/>
      <c r="DM198" s="1802"/>
      <c r="DN198" s="1802"/>
      <c r="DO198" s="1802"/>
      <c r="DP198" s="1802"/>
      <c r="DQ198" s="1802"/>
      <c r="DR198" s="1802"/>
      <c r="DS198" s="1802"/>
      <c r="DT198" s="1802"/>
      <c r="DU198" s="1802"/>
      <c r="DV198" s="1802"/>
      <c r="DW198" s="1802"/>
      <c r="DX198" s="1802"/>
      <c r="DY198" s="1802"/>
      <c r="DZ198" s="1802"/>
      <c r="EA198" s="1802"/>
      <c r="EB198" s="1802"/>
      <c r="EC198" s="1802"/>
      <c r="ED198" s="1802"/>
      <c r="EE198" s="1802"/>
      <c r="EF198" s="1802"/>
      <c r="EG198" s="1802"/>
      <c r="EH198" s="1802"/>
      <c r="EI198" s="1802"/>
      <c r="EJ198" s="1802"/>
      <c r="EK198" s="1802"/>
      <c r="EL198" s="1802"/>
      <c r="EM198" s="1802"/>
      <c r="EN198" s="1802"/>
      <c r="EO198" s="1802"/>
      <c r="EP198" s="1802"/>
      <c r="EQ198" s="1802"/>
      <c r="ER198" s="1802"/>
      <c r="ES198" s="1802"/>
      <c r="ET198" s="1802"/>
      <c r="EU198" s="1802"/>
      <c r="EV198" s="1802"/>
      <c r="EW198" s="1802"/>
      <c r="EX198" s="1802"/>
      <c r="EY198" s="1802"/>
      <c r="EZ198" s="1802"/>
      <c r="FA198" s="1802"/>
      <c r="FB198" s="1802"/>
      <c r="FC198" s="1802"/>
      <c r="FD198" s="1802"/>
      <c r="FE198" s="1802"/>
      <c r="FF198" s="1802"/>
      <c r="FG198" s="1802"/>
      <c r="FH198" s="1802"/>
      <c r="FI198" s="1802"/>
      <c r="FJ198" s="1802"/>
      <c r="FK198" s="1802"/>
      <c r="FL198" s="1802"/>
      <c r="FM198" s="1802"/>
      <c r="FN198" s="1802"/>
      <c r="FO198" s="1802"/>
      <c r="FP198" s="1802"/>
      <c r="FQ198" s="1802"/>
      <c r="FR198" s="1802"/>
      <c r="FS198" s="1802"/>
      <c r="FT198" s="1802"/>
      <c r="FU198" s="1802"/>
      <c r="FV198" s="1802"/>
      <c r="FW198" s="1802"/>
      <c r="FX198" s="1802"/>
      <c r="FY198" s="1802"/>
      <c r="FZ198" s="1802"/>
      <c r="GA198" s="1802"/>
      <c r="GB198" s="1802"/>
      <c r="GC198" s="1802"/>
      <c r="GD198" s="1802"/>
      <c r="GE198" s="1802"/>
      <c r="GF198" s="1802"/>
      <c r="GG198" s="1802"/>
      <c r="GH198" s="1802"/>
      <c r="GI198" s="1802"/>
      <c r="GJ198" s="1802"/>
      <c r="GK198" s="1802"/>
      <c r="GL198" s="1802"/>
      <c r="GM198" s="1802"/>
      <c r="GN198" s="1802"/>
      <c r="GO198" s="1802"/>
      <c r="GP198" s="1802"/>
      <c r="GQ198" s="1802"/>
      <c r="GR198" s="1802"/>
      <c r="GS198" s="1802"/>
      <c r="GT198" s="1802"/>
      <c r="GU198" s="1802"/>
      <c r="GV198" s="1802"/>
      <c r="GW198" s="1802"/>
      <c r="GX198" s="1802"/>
      <c r="GY198" s="1802"/>
      <c r="GZ198" s="1802"/>
      <c r="HA198" s="1802"/>
      <c r="HB198" s="1802"/>
      <c r="HC198" s="1802"/>
      <c r="HD198" s="1802"/>
      <c r="HE198" s="1802"/>
      <c r="HF198" s="1802"/>
      <c r="HG198" s="1802"/>
      <c r="HH198" s="1802"/>
      <c r="HI198" s="1802"/>
      <c r="HJ198" s="1802"/>
      <c r="HK198" s="1802"/>
      <c r="HL198" s="1802"/>
      <c r="HM198" s="1802"/>
      <c r="HN198" s="1802"/>
      <c r="HO198" s="1802"/>
      <c r="HP198" s="1802"/>
      <c r="HQ198" s="1802"/>
      <c r="HR198" s="1802"/>
      <c r="HS198" s="1802"/>
      <c r="HT198" s="1802"/>
      <c r="HU198" s="1802"/>
      <c r="HV198" s="1802"/>
      <c r="HW198" s="1802"/>
      <c r="HX198" s="1802"/>
      <c r="HY198" s="1802"/>
      <c r="HZ198" s="1802"/>
      <c r="IA198" s="1802"/>
      <c r="IB198" s="1802"/>
      <c r="IC198" s="1802"/>
      <c r="ID198" s="1802"/>
      <c r="IE198" s="1802"/>
      <c r="IF198" s="1802"/>
      <c r="IG198" s="1802"/>
      <c r="IH198" s="1802"/>
      <c r="II198" s="1802"/>
      <c r="IJ198" s="1802"/>
      <c r="IK198" s="1802"/>
      <c r="IL198" s="1802"/>
      <c r="IM198" s="1802"/>
      <c r="IN198" s="1802"/>
      <c r="IO198" s="1802"/>
      <c r="IP198" s="1802"/>
      <c r="IQ198" s="1802"/>
      <c r="IR198" s="1802"/>
      <c r="IS198" s="1802"/>
      <c r="IT198" s="1802"/>
      <c r="IU198" s="1802"/>
      <c r="IV198" s="1802"/>
      <c r="IW198" s="1802"/>
    </row>
    <row r="199" spans="3:257" s="888" customFormat="1" x14ac:dyDescent="0.45">
      <c r="C199" s="67" t="s">
        <v>546</v>
      </c>
      <c r="D199" s="68" t="s">
        <v>648</v>
      </c>
      <c r="E199" s="69"/>
      <c r="F199" s="70">
        <f t="shared" si="11"/>
        <v>94687.126493803982</v>
      </c>
      <c r="G199" s="71">
        <f t="shared" si="4"/>
        <v>1691.2329319158637</v>
      </c>
      <c r="H199" s="71">
        <f t="shared" si="5"/>
        <v>14023.166037516614</v>
      </c>
      <c r="I199" s="71">
        <f t="shared" si="6"/>
        <v>0</v>
      </c>
      <c r="J199" s="72">
        <f t="shared" si="12"/>
        <v>0</v>
      </c>
      <c r="K199" s="70">
        <f t="shared" si="7"/>
        <v>595804687.222</v>
      </c>
      <c r="L199" s="73">
        <f t="shared" si="8"/>
        <v>6588106.937461976</v>
      </c>
      <c r="M199" s="73">
        <f t="shared" si="9"/>
        <v>55385939.561264724</v>
      </c>
      <c r="N199" s="71">
        <f t="shared" si="10"/>
        <v>0</v>
      </c>
      <c r="O199" s="1017">
        <f t="shared" si="13"/>
        <v>0</v>
      </c>
      <c r="P199" s="2078">
        <v>250.77129027583902</v>
      </c>
      <c r="Q199" s="1801">
        <v>1908.8082966266006</v>
      </c>
      <c r="R199" s="2079">
        <f t="shared" si="14"/>
        <v>2159.5795869024396</v>
      </c>
      <c r="S199" s="1844"/>
      <c r="T199" s="1842"/>
      <c r="U199" s="1842"/>
      <c r="V199" s="1843"/>
      <c r="W199" s="1800"/>
      <c r="X199" s="1800"/>
      <c r="Y199" s="1801"/>
      <c r="Z199" s="1801"/>
      <c r="AA199" s="1801"/>
      <c r="AB199" s="1801"/>
      <c r="AC199" s="1801"/>
      <c r="AD199" s="1801"/>
      <c r="AE199" s="1801"/>
      <c r="AF199" s="1801"/>
      <c r="AG199" s="1801"/>
      <c r="AH199" s="1801"/>
      <c r="AI199" s="1801"/>
      <c r="AJ199" s="1801"/>
      <c r="AK199" s="1801"/>
      <c r="AL199" s="1802"/>
      <c r="AM199" s="1802"/>
      <c r="AN199" s="1802"/>
      <c r="AO199" s="1802"/>
      <c r="AP199" s="1802"/>
      <c r="AQ199" s="1802"/>
      <c r="AR199" s="1802"/>
      <c r="AS199" s="1802"/>
      <c r="AT199" s="1802"/>
      <c r="AU199" s="1802"/>
      <c r="AV199" s="1802"/>
      <c r="AW199" s="1802"/>
      <c r="AX199" s="1802"/>
      <c r="AY199" s="1802"/>
      <c r="AZ199" s="1802"/>
      <c r="BA199" s="1802"/>
      <c r="BB199" s="1802"/>
      <c r="BC199" s="1802"/>
      <c r="BD199" s="1802"/>
      <c r="BE199" s="1802"/>
      <c r="BF199" s="1802"/>
      <c r="BG199" s="1802"/>
      <c r="BH199" s="1802"/>
      <c r="BI199" s="1802"/>
      <c r="BJ199" s="1802"/>
      <c r="BK199" s="1802"/>
      <c r="BL199" s="1802"/>
      <c r="BM199" s="1802"/>
      <c r="BN199" s="1802"/>
      <c r="BO199" s="1802"/>
      <c r="BP199" s="1802"/>
      <c r="BQ199" s="1802"/>
      <c r="BR199" s="1802"/>
      <c r="BS199" s="1802"/>
      <c r="BT199" s="1802"/>
      <c r="BU199" s="1802"/>
      <c r="BV199" s="1802"/>
      <c r="BW199" s="1802"/>
      <c r="BX199" s="1802"/>
      <c r="BY199" s="1802"/>
      <c r="BZ199" s="1802"/>
      <c r="CA199" s="1802"/>
      <c r="CB199" s="1802"/>
      <c r="CC199" s="1802"/>
      <c r="CD199" s="1802"/>
      <c r="CE199" s="1802"/>
      <c r="CF199" s="1802"/>
      <c r="CG199" s="1802"/>
      <c r="CH199" s="1802"/>
      <c r="CI199" s="1802"/>
      <c r="CJ199" s="1802"/>
      <c r="CK199" s="1802"/>
      <c r="CL199" s="1802"/>
      <c r="CM199" s="1802"/>
      <c r="CN199" s="1802"/>
      <c r="CO199" s="1802"/>
      <c r="CP199" s="1802"/>
      <c r="CQ199" s="1802"/>
      <c r="CR199" s="1802"/>
      <c r="CS199" s="1802"/>
      <c r="CT199" s="1802"/>
      <c r="CU199" s="1802"/>
      <c r="CV199" s="1802"/>
      <c r="CW199" s="1802"/>
      <c r="CX199" s="1802"/>
      <c r="CY199" s="1802"/>
      <c r="CZ199" s="1802"/>
      <c r="DA199" s="1802"/>
      <c r="DB199" s="1802"/>
      <c r="DC199" s="1802"/>
      <c r="DD199" s="1802"/>
      <c r="DE199" s="1802"/>
      <c r="DF199" s="1802"/>
      <c r="DG199" s="1802"/>
      <c r="DH199" s="1802"/>
      <c r="DI199" s="1802"/>
      <c r="DJ199" s="1802"/>
      <c r="DK199" s="1802"/>
      <c r="DL199" s="1802"/>
      <c r="DM199" s="1802"/>
      <c r="DN199" s="1802"/>
      <c r="DO199" s="1802"/>
      <c r="DP199" s="1802"/>
      <c r="DQ199" s="1802"/>
      <c r="DR199" s="1802"/>
      <c r="DS199" s="1802"/>
      <c r="DT199" s="1802"/>
      <c r="DU199" s="1802"/>
      <c r="DV199" s="1802"/>
      <c r="DW199" s="1802"/>
      <c r="DX199" s="1802"/>
      <c r="DY199" s="1802"/>
      <c r="DZ199" s="1802"/>
      <c r="EA199" s="1802"/>
      <c r="EB199" s="1802"/>
      <c r="EC199" s="1802"/>
      <c r="ED199" s="1802"/>
      <c r="EE199" s="1802"/>
      <c r="EF199" s="1802"/>
      <c r="EG199" s="1802"/>
      <c r="EH199" s="1802"/>
      <c r="EI199" s="1802"/>
      <c r="EJ199" s="1802"/>
      <c r="EK199" s="1802"/>
      <c r="EL199" s="1802"/>
      <c r="EM199" s="1802"/>
      <c r="EN199" s="1802"/>
      <c r="EO199" s="1802"/>
      <c r="EP199" s="1802"/>
      <c r="EQ199" s="1802"/>
      <c r="ER199" s="1802"/>
      <c r="ES199" s="1802"/>
      <c r="ET199" s="1802"/>
      <c r="EU199" s="1802"/>
      <c r="EV199" s="1802"/>
      <c r="EW199" s="1802"/>
      <c r="EX199" s="1802"/>
      <c r="EY199" s="1802"/>
      <c r="EZ199" s="1802"/>
      <c r="FA199" s="1802"/>
      <c r="FB199" s="1802"/>
      <c r="FC199" s="1802"/>
      <c r="FD199" s="1802"/>
      <c r="FE199" s="1802"/>
      <c r="FF199" s="1802"/>
      <c r="FG199" s="1802"/>
      <c r="FH199" s="1802"/>
      <c r="FI199" s="1802"/>
      <c r="FJ199" s="1802"/>
      <c r="FK199" s="1802"/>
      <c r="FL199" s="1802"/>
      <c r="FM199" s="1802"/>
      <c r="FN199" s="1802"/>
      <c r="FO199" s="1802"/>
      <c r="FP199" s="1802"/>
      <c r="FQ199" s="1802"/>
      <c r="FR199" s="1802"/>
      <c r="FS199" s="1802"/>
      <c r="FT199" s="1802"/>
      <c r="FU199" s="1802"/>
      <c r="FV199" s="1802"/>
      <c r="FW199" s="1802"/>
      <c r="FX199" s="1802"/>
      <c r="FY199" s="1802"/>
      <c r="FZ199" s="1802"/>
      <c r="GA199" s="1802"/>
      <c r="GB199" s="1802"/>
      <c r="GC199" s="1802"/>
      <c r="GD199" s="1802"/>
      <c r="GE199" s="1802"/>
      <c r="GF199" s="1802"/>
      <c r="GG199" s="1802"/>
      <c r="GH199" s="1802"/>
      <c r="GI199" s="1802"/>
      <c r="GJ199" s="1802"/>
      <c r="GK199" s="1802"/>
      <c r="GL199" s="1802"/>
      <c r="GM199" s="1802"/>
      <c r="GN199" s="1802"/>
      <c r="GO199" s="1802"/>
      <c r="GP199" s="1802"/>
      <c r="GQ199" s="1802"/>
      <c r="GR199" s="1802"/>
      <c r="GS199" s="1802"/>
      <c r="GT199" s="1802"/>
      <c r="GU199" s="1802"/>
      <c r="GV199" s="1802"/>
      <c r="GW199" s="1802"/>
      <c r="GX199" s="1802"/>
      <c r="GY199" s="1802"/>
      <c r="GZ199" s="1802"/>
      <c r="HA199" s="1802"/>
      <c r="HB199" s="1802"/>
      <c r="HC199" s="1802"/>
      <c r="HD199" s="1802"/>
      <c r="HE199" s="1802"/>
      <c r="HF199" s="1802"/>
      <c r="HG199" s="1802"/>
      <c r="HH199" s="1802"/>
      <c r="HI199" s="1802"/>
      <c r="HJ199" s="1802"/>
      <c r="HK199" s="1802"/>
      <c r="HL199" s="1802"/>
      <c r="HM199" s="1802"/>
      <c r="HN199" s="1802"/>
      <c r="HO199" s="1802"/>
      <c r="HP199" s="1802"/>
      <c r="HQ199" s="1802"/>
      <c r="HR199" s="1802"/>
      <c r="HS199" s="1802"/>
      <c r="HT199" s="1802"/>
      <c r="HU199" s="1802"/>
      <c r="HV199" s="1802"/>
      <c r="HW199" s="1802"/>
      <c r="HX199" s="1802"/>
      <c r="HY199" s="1802"/>
      <c r="HZ199" s="1802"/>
      <c r="IA199" s="1802"/>
      <c r="IB199" s="1802"/>
      <c r="IC199" s="1802"/>
      <c r="ID199" s="1802"/>
      <c r="IE199" s="1802"/>
      <c r="IF199" s="1802"/>
      <c r="IG199" s="1802"/>
      <c r="IH199" s="1802"/>
      <c r="II199" s="1802"/>
      <c r="IJ199" s="1802"/>
      <c r="IK199" s="1802"/>
      <c r="IL199" s="1802"/>
      <c r="IM199" s="1802"/>
      <c r="IN199" s="1802"/>
      <c r="IO199" s="1802"/>
      <c r="IP199" s="1802"/>
      <c r="IQ199" s="1802"/>
      <c r="IR199" s="1802"/>
      <c r="IS199" s="1802"/>
      <c r="IT199" s="1802"/>
      <c r="IU199" s="1802"/>
      <c r="IV199" s="1802"/>
      <c r="IW199" s="1802"/>
    </row>
    <row r="200" spans="3:257" s="888" customFormat="1" x14ac:dyDescent="0.45">
      <c r="C200" s="67" t="s">
        <v>547</v>
      </c>
      <c r="D200" s="68" t="s">
        <v>649</v>
      </c>
      <c r="E200" s="69"/>
      <c r="F200" s="70">
        <f t="shared" si="11"/>
        <v>109335.25594006099</v>
      </c>
      <c r="G200" s="71">
        <f t="shared" si="4"/>
        <v>2010.808506541465</v>
      </c>
      <c r="H200" s="71">
        <f t="shared" si="5"/>
        <v>14689.810765087463</v>
      </c>
      <c r="I200" s="71">
        <f t="shared" si="6"/>
        <v>1943.2032371093187</v>
      </c>
      <c r="J200" s="72">
        <f t="shared" si="12"/>
        <v>14.0665587491251</v>
      </c>
      <c r="K200" s="70">
        <f t="shared" si="7"/>
        <v>206325526.86000001</v>
      </c>
      <c r="L200" s="73">
        <f t="shared" si="8"/>
        <v>7832996.4027169365</v>
      </c>
      <c r="M200" s="73">
        <f t="shared" si="9"/>
        <v>58018921.620472625</v>
      </c>
      <c r="N200" s="71">
        <f t="shared" si="10"/>
        <v>7841442.3661236474</v>
      </c>
      <c r="O200" s="1017">
        <f t="shared" si="13"/>
        <v>23961.385924345075</v>
      </c>
      <c r="P200" s="2078">
        <v>774.94215579919342</v>
      </c>
      <c r="Q200" s="1801">
        <v>981.60532479938922</v>
      </c>
      <c r="R200" s="2079">
        <f t="shared" si="14"/>
        <v>1756.5474805985828</v>
      </c>
      <c r="S200" s="1844"/>
      <c r="T200" s="1842"/>
      <c r="U200" s="1842"/>
      <c r="V200" s="1843"/>
      <c r="W200" s="1800"/>
      <c r="X200" s="1800"/>
      <c r="Y200" s="1801"/>
      <c r="Z200" s="1801"/>
      <c r="AA200" s="1801"/>
      <c r="AB200" s="1801"/>
      <c r="AC200" s="1801"/>
      <c r="AD200" s="1801"/>
      <c r="AE200" s="1801"/>
      <c r="AF200" s="1801"/>
      <c r="AG200" s="1801"/>
      <c r="AH200" s="1801"/>
      <c r="AI200" s="1801"/>
      <c r="AJ200" s="1801"/>
      <c r="AK200" s="1801"/>
      <c r="AL200" s="1802"/>
      <c r="AM200" s="1802"/>
      <c r="AN200" s="1802"/>
      <c r="AO200" s="1802"/>
      <c r="AP200" s="1802"/>
      <c r="AQ200" s="1802"/>
      <c r="AR200" s="1802"/>
      <c r="AS200" s="1802"/>
      <c r="AT200" s="1802"/>
      <c r="AU200" s="1802"/>
      <c r="AV200" s="1802"/>
      <c r="AW200" s="1802"/>
      <c r="AX200" s="1802"/>
      <c r="AY200" s="1802"/>
      <c r="AZ200" s="1802"/>
      <c r="BA200" s="1802"/>
      <c r="BB200" s="1802"/>
      <c r="BC200" s="1802"/>
      <c r="BD200" s="1802"/>
      <c r="BE200" s="1802"/>
      <c r="BF200" s="1802"/>
      <c r="BG200" s="1802"/>
      <c r="BH200" s="1802"/>
      <c r="BI200" s="1802"/>
      <c r="BJ200" s="1802"/>
      <c r="BK200" s="1802"/>
      <c r="BL200" s="1802"/>
      <c r="BM200" s="1802"/>
      <c r="BN200" s="1802"/>
      <c r="BO200" s="1802"/>
      <c r="BP200" s="1802"/>
      <c r="BQ200" s="1802"/>
      <c r="BR200" s="1802"/>
      <c r="BS200" s="1802"/>
      <c r="BT200" s="1802"/>
      <c r="BU200" s="1802"/>
      <c r="BV200" s="1802"/>
      <c r="BW200" s="1802"/>
      <c r="BX200" s="1802"/>
      <c r="BY200" s="1802"/>
      <c r="BZ200" s="1802"/>
      <c r="CA200" s="1802"/>
      <c r="CB200" s="1802"/>
      <c r="CC200" s="1802"/>
      <c r="CD200" s="1802"/>
      <c r="CE200" s="1802"/>
      <c r="CF200" s="1802"/>
      <c r="CG200" s="1802"/>
      <c r="CH200" s="1802"/>
      <c r="CI200" s="1802"/>
      <c r="CJ200" s="1802"/>
      <c r="CK200" s="1802"/>
      <c r="CL200" s="1802"/>
      <c r="CM200" s="1802"/>
      <c r="CN200" s="1802"/>
      <c r="CO200" s="1802"/>
      <c r="CP200" s="1802"/>
      <c r="CQ200" s="1802"/>
      <c r="CR200" s="1802"/>
      <c r="CS200" s="1802"/>
      <c r="CT200" s="1802"/>
      <c r="CU200" s="1802"/>
      <c r="CV200" s="1802"/>
      <c r="CW200" s="1802"/>
      <c r="CX200" s="1802"/>
      <c r="CY200" s="1802"/>
      <c r="CZ200" s="1802"/>
      <c r="DA200" s="1802"/>
      <c r="DB200" s="1802"/>
      <c r="DC200" s="1802"/>
      <c r="DD200" s="1802"/>
      <c r="DE200" s="1802"/>
      <c r="DF200" s="1802"/>
      <c r="DG200" s="1802"/>
      <c r="DH200" s="1802"/>
      <c r="DI200" s="1802"/>
      <c r="DJ200" s="1802"/>
      <c r="DK200" s="1802"/>
      <c r="DL200" s="1802"/>
      <c r="DM200" s="1802"/>
      <c r="DN200" s="1802"/>
      <c r="DO200" s="1802"/>
      <c r="DP200" s="1802"/>
      <c r="DQ200" s="1802"/>
      <c r="DR200" s="1802"/>
      <c r="DS200" s="1802"/>
      <c r="DT200" s="1802"/>
      <c r="DU200" s="1802"/>
      <c r="DV200" s="1802"/>
      <c r="DW200" s="1802"/>
      <c r="DX200" s="1802"/>
      <c r="DY200" s="1802"/>
      <c r="DZ200" s="1802"/>
      <c r="EA200" s="1802"/>
      <c r="EB200" s="1802"/>
      <c r="EC200" s="1802"/>
      <c r="ED200" s="1802"/>
      <c r="EE200" s="1802"/>
      <c r="EF200" s="1802"/>
      <c r="EG200" s="1802"/>
      <c r="EH200" s="1802"/>
      <c r="EI200" s="1802"/>
      <c r="EJ200" s="1802"/>
      <c r="EK200" s="1802"/>
      <c r="EL200" s="1802"/>
      <c r="EM200" s="1802"/>
      <c r="EN200" s="1802"/>
      <c r="EO200" s="1802"/>
      <c r="EP200" s="1802"/>
      <c r="EQ200" s="1802"/>
      <c r="ER200" s="1802"/>
      <c r="ES200" s="1802"/>
      <c r="ET200" s="1802"/>
      <c r="EU200" s="1802"/>
      <c r="EV200" s="1802"/>
      <c r="EW200" s="1802"/>
      <c r="EX200" s="1802"/>
      <c r="EY200" s="1802"/>
      <c r="EZ200" s="1802"/>
      <c r="FA200" s="1802"/>
      <c r="FB200" s="1802"/>
      <c r="FC200" s="1802"/>
      <c r="FD200" s="1802"/>
      <c r="FE200" s="1802"/>
      <c r="FF200" s="1802"/>
      <c r="FG200" s="1802"/>
      <c r="FH200" s="1802"/>
      <c r="FI200" s="1802"/>
      <c r="FJ200" s="1802"/>
      <c r="FK200" s="1802"/>
      <c r="FL200" s="1802"/>
      <c r="FM200" s="1802"/>
      <c r="FN200" s="1802"/>
      <c r="FO200" s="1802"/>
      <c r="FP200" s="1802"/>
      <c r="FQ200" s="1802"/>
      <c r="FR200" s="1802"/>
      <c r="FS200" s="1802"/>
      <c r="FT200" s="1802"/>
      <c r="FU200" s="1802"/>
      <c r="FV200" s="1802"/>
      <c r="FW200" s="1802"/>
      <c r="FX200" s="1802"/>
      <c r="FY200" s="1802"/>
      <c r="FZ200" s="1802"/>
      <c r="GA200" s="1802"/>
      <c r="GB200" s="1802"/>
      <c r="GC200" s="1802"/>
      <c r="GD200" s="1802"/>
      <c r="GE200" s="1802"/>
      <c r="GF200" s="1802"/>
      <c r="GG200" s="1802"/>
      <c r="GH200" s="1802"/>
      <c r="GI200" s="1802"/>
      <c r="GJ200" s="1802"/>
      <c r="GK200" s="1802"/>
      <c r="GL200" s="1802"/>
      <c r="GM200" s="1802"/>
      <c r="GN200" s="1802"/>
      <c r="GO200" s="1802"/>
      <c r="GP200" s="1802"/>
      <c r="GQ200" s="1802"/>
      <c r="GR200" s="1802"/>
      <c r="GS200" s="1802"/>
      <c r="GT200" s="1802"/>
      <c r="GU200" s="1802"/>
      <c r="GV200" s="1802"/>
      <c r="GW200" s="1802"/>
      <c r="GX200" s="1802"/>
      <c r="GY200" s="1802"/>
      <c r="GZ200" s="1802"/>
      <c r="HA200" s="1802"/>
      <c r="HB200" s="1802"/>
      <c r="HC200" s="1802"/>
      <c r="HD200" s="1802"/>
      <c r="HE200" s="1802"/>
      <c r="HF200" s="1802"/>
      <c r="HG200" s="1802"/>
      <c r="HH200" s="1802"/>
      <c r="HI200" s="1802"/>
      <c r="HJ200" s="1802"/>
      <c r="HK200" s="1802"/>
      <c r="HL200" s="1802"/>
      <c r="HM200" s="1802"/>
      <c r="HN200" s="1802"/>
      <c r="HO200" s="1802"/>
      <c r="HP200" s="1802"/>
      <c r="HQ200" s="1802"/>
      <c r="HR200" s="1802"/>
      <c r="HS200" s="1802"/>
      <c r="HT200" s="1802"/>
      <c r="HU200" s="1802"/>
      <c r="HV200" s="1802"/>
      <c r="HW200" s="1802"/>
      <c r="HX200" s="1802"/>
      <c r="HY200" s="1802"/>
      <c r="HZ200" s="1802"/>
      <c r="IA200" s="1802"/>
      <c r="IB200" s="1802"/>
      <c r="IC200" s="1802"/>
      <c r="ID200" s="1802"/>
      <c r="IE200" s="1802"/>
      <c r="IF200" s="1802"/>
      <c r="IG200" s="1802"/>
      <c r="IH200" s="1802"/>
      <c r="II200" s="1802"/>
      <c r="IJ200" s="1802"/>
      <c r="IK200" s="1802"/>
      <c r="IL200" s="1802"/>
      <c r="IM200" s="1802"/>
      <c r="IN200" s="1802"/>
      <c r="IO200" s="1802"/>
      <c r="IP200" s="1802"/>
      <c r="IQ200" s="1802"/>
      <c r="IR200" s="1802"/>
      <c r="IS200" s="1802"/>
      <c r="IT200" s="1802"/>
      <c r="IU200" s="1802"/>
      <c r="IV200" s="1802"/>
      <c r="IW200" s="1802"/>
    </row>
    <row r="201" spans="3:257" s="888" customFormat="1" x14ac:dyDescent="0.45">
      <c r="C201" s="67" t="s">
        <v>650</v>
      </c>
      <c r="D201" s="68" t="s">
        <v>651</v>
      </c>
      <c r="E201" s="69"/>
      <c r="F201" s="70">
        <f t="shared" si="11"/>
        <v>153536.60992642882</v>
      </c>
      <c r="G201" s="71">
        <f t="shared" si="4"/>
        <v>535.11548365927104</v>
      </c>
      <c r="H201" s="71">
        <f t="shared" si="5"/>
        <v>4372.7557717891823</v>
      </c>
      <c r="I201" s="71">
        <f t="shared" si="6"/>
        <v>0</v>
      </c>
      <c r="J201" s="72">
        <f t="shared" si="12"/>
        <v>0</v>
      </c>
      <c r="K201" s="70">
        <f t="shared" si="7"/>
        <v>635549139.24300003</v>
      </c>
      <c r="L201" s="73">
        <f t="shared" si="8"/>
        <v>2084513.5898845822</v>
      </c>
      <c r="M201" s="73">
        <f t="shared" si="9"/>
        <v>17270649.598282643</v>
      </c>
      <c r="N201" s="71">
        <f t="shared" si="10"/>
        <v>0</v>
      </c>
      <c r="O201" s="1017">
        <f t="shared" si="13"/>
        <v>0</v>
      </c>
      <c r="P201" s="2078">
        <v>637.19290006341805</v>
      </c>
      <c r="Q201" s="1801">
        <v>2441.8247425917993</v>
      </c>
      <c r="R201" s="2079">
        <f t="shared" si="14"/>
        <v>3079.0176426552175</v>
      </c>
      <c r="S201" s="1844"/>
      <c r="T201" s="1842"/>
      <c r="U201" s="1842"/>
      <c r="V201" s="1843"/>
      <c r="W201" s="1800"/>
      <c r="X201" s="1800"/>
      <c r="Y201" s="1801"/>
      <c r="Z201" s="1801"/>
      <c r="AA201" s="1801"/>
      <c r="AB201" s="1801"/>
      <c r="AC201" s="1801"/>
      <c r="AD201" s="1801"/>
      <c r="AE201" s="1801"/>
      <c r="AF201" s="1801"/>
      <c r="AG201" s="1801"/>
      <c r="AH201" s="1801"/>
      <c r="AI201" s="1801"/>
      <c r="AJ201" s="1801"/>
      <c r="AK201" s="1801"/>
      <c r="AL201" s="1802"/>
      <c r="AM201" s="1802"/>
      <c r="AN201" s="1802"/>
      <c r="AO201" s="1802"/>
      <c r="AP201" s="1802"/>
      <c r="AQ201" s="1802"/>
      <c r="AR201" s="1802"/>
      <c r="AS201" s="1802"/>
      <c r="AT201" s="1802"/>
      <c r="AU201" s="1802"/>
      <c r="AV201" s="1802"/>
      <c r="AW201" s="1802"/>
      <c r="AX201" s="1802"/>
      <c r="AY201" s="1802"/>
      <c r="AZ201" s="1802"/>
      <c r="BA201" s="1802"/>
      <c r="BB201" s="1802"/>
      <c r="BC201" s="1802"/>
      <c r="BD201" s="1802"/>
      <c r="BE201" s="1802"/>
      <c r="BF201" s="1802"/>
      <c r="BG201" s="1802"/>
      <c r="BH201" s="1802"/>
      <c r="BI201" s="1802"/>
      <c r="BJ201" s="1802"/>
      <c r="BK201" s="1802"/>
      <c r="BL201" s="1802"/>
      <c r="BM201" s="1802"/>
      <c r="BN201" s="1802"/>
      <c r="BO201" s="1802"/>
      <c r="BP201" s="1802"/>
      <c r="BQ201" s="1802"/>
      <c r="BR201" s="1802"/>
      <c r="BS201" s="1802"/>
      <c r="BT201" s="1802"/>
      <c r="BU201" s="1802"/>
      <c r="BV201" s="1802"/>
      <c r="BW201" s="1802"/>
      <c r="BX201" s="1802"/>
      <c r="BY201" s="1802"/>
      <c r="BZ201" s="1802"/>
      <c r="CA201" s="1802"/>
      <c r="CB201" s="1802"/>
      <c r="CC201" s="1802"/>
      <c r="CD201" s="1802"/>
      <c r="CE201" s="1802"/>
      <c r="CF201" s="1802"/>
      <c r="CG201" s="1802"/>
      <c r="CH201" s="1802"/>
      <c r="CI201" s="1802"/>
      <c r="CJ201" s="1802"/>
      <c r="CK201" s="1802"/>
      <c r="CL201" s="1802"/>
      <c r="CM201" s="1802"/>
      <c r="CN201" s="1802"/>
      <c r="CO201" s="1802"/>
      <c r="CP201" s="1802"/>
      <c r="CQ201" s="1802"/>
      <c r="CR201" s="1802"/>
      <c r="CS201" s="1802"/>
      <c r="CT201" s="1802"/>
      <c r="CU201" s="1802"/>
      <c r="CV201" s="1802"/>
      <c r="CW201" s="1802"/>
      <c r="CX201" s="1802"/>
      <c r="CY201" s="1802"/>
      <c r="CZ201" s="1802"/>
      <c r="DA201" s="1802"/>
      <c r="DB201" s="1802"/>
      <c r="DC201" s="1802"/>
      <c r="DD201" s="1802"/>
      <c r="DE201" s="1802"/>
      <c r="DF201" s="1802"/>
      <c r="DG201" s="1802"/>
      <c r="DH201" s="1802"/>
      <c r="DI201" s="1802"/>
      <c r="DJ201" s="1802"/>
      <c r="DK201" s="1802"/>
      <c r="DL201" s="1802"/>
      <c r="DM201" s="1802"/>
      <c r="DN201" s="1802"/>
      <c r="DO201" s="1802"/>
      <c r="DP201" s="1802"/>
      <c r="DQ201" s="1802"/>
      <c r="DR201" s="1802"/>
      <c r="DS201" s="1802"/>
      <c r="DT201" s="1802"/>
      <c r="DU201" s="1802"/>
      <c r="DV201" s="1802"/>
      <c r="DW201" s="1802"/>
      <c r="DX201" s="1802"/>
      <c r="DY201" s="1802"/>
      <c r="DZ201" s="1802"/>
      <c r="EA201" s="1802"/>
      <c r="EB201" s="1802"/>
      <c r="EC201" s="1802"/>
      <c r="ED201" s="1802"/>
      <c r="EE201" s="1802"/>
      <c r="EF201" s="1802"/>
      <c r="EG201" s="1802"/>
      <c r="EH201" s="1802"/>
      <c r="EI201" s="1802"/>
      <c r="EJ201" s="1802"/>
      <c r="EK201" s="1802"/>
      <c r="EL201" s="1802"/>
      <c r="EM201" s="1802"/>
      <c r="EN201" s="1802"/>
      <c r="EO201" s="1802"/>
      <c r="EP201" s="1802"/>
      <c r="EQ201" s="1802"/>
      <c r="ER201" s="1802"/>
      <c r="ES201" s="1802"/>
      <c r="ET201" s="1802"/>
      <c r="EU201" s="1802"/>
      <c r="EV201" s="1802"/>
      <c r="EW201" s="1802"/>
      <c r="EX201" s="1802"/>
      <c r="EY201" s="1802"/>
      <c r="EZ201" s="1802"/>
      <c r="FA201" s="1802"/>
      <c r="FB201" s="1802"/>
      <c r="FC201" s="1802"/>
      <c r="FD201" s="1802"/>
      <c r="FE201" s="1802"/>
      <c r="FF201" s="1802"/>
      <c r="FG201" s="1802"/>
      <c r="FH201" s="1802"/>
      <c r="FI201" s="1802"/>
      <c r="FJ201" s="1802"/>
      <c r="FK201" s="1802"/>
      <c r="FL201" s="1802"/>
      <c r="FM201" s="1802"/>
      <c r="FN201" s="1802"/>
      <c r="FO201" s="1802"/>
      <c r="FP201" s="1802"/>
      <c r="FQ201" s="1802"/>
      <c r="FR201" s="1802"/>
      <c r="FS201" s="1802"/>
      <c r="FT201" s="1802"/>
      <c r="FU201" s="1802"/>
      <c r="FV201" s="1802"/>
      <c r="FW201" s="1802"/>
      <c r="FX201" s="1802"/>
      <c r="FY201" s="1802"/>
      <c r="FZ201" s="1802"/>
      <c r="GA201" s="1802"/>
      <c r="GB201" s="1802"/>
      <c r="GC201" s="1802"/>
      <c r="GD201" s="1802"/>
      <c r="GE201" s="1802"/>
      <c r="GF201" s="1802"/>
      <c r="GG201" s="1802"/>
      <c r="GH201" s="1802"/>
      <c r="GI201" s="1802"/>
      <c r="GJ201" s="1802"/>
      <c r="GK201" s="1802"/>
      <c r="GL201" s="1802"/>
      <c r="GM201" s="1802"/>
      <c r="GN201" s="1802"/>
      <c r="GO201" s="1802"/>
      <c r="GP201" s="1802"/>
      <c r="GQ201" s="1802"/>
      <c r="GR201" s="1802"/>
      <c r="GS201" s="1802"/>
      <c r="GT201" s="1802"/>
      <c r="GU201" s="1802"/>
      <c r="GV201" s="1802"/>
      <c r="GW201" s="1802"/>
      <c r="GX201" s="1802"/>
      <c r="GY201" s="1802"/>
      <c r="GZ201" s="1802"/>
      <c r="HA201" s="1802"/>
      <c r="HB201" s="1802"/>
      <c r="HC201" s="1802"/>
      <c r="HD201" s="1802"/>
      <c r="HE201" s="1802"/>
      <c r="HF201" s="1802"/>
      <c r="HG201" s="1802"/>
      <c r="HH201" s="1802"/>
      <c r="HI201" s="1802"/>
      <c r="HJ201" s="1802"/>
      <c r="HK201" s="1802"/>
      <c r="HL201" s="1802"/>
      <c r="HM201" s="1802"/>
      <c r="HN201" s="1802"/>
      <c r="HO201" s="1802"/>
      <c r="HP201" s="1802"/>
      <c r="HQ201" s="1802"/>
      <c r="HR201" s="1802"/>
      <c r="HS201" s="1802"/>
      <c r="HT201" s="1802"/>
      <c r="HU201" s="1802"/>
      <c r="HV201" s="1802"/>
      <c r="HW201" s="1802"/>
      <c r="HX201" s="1802"/>
      <c r="HY201" s="1802"/>
      <c r="HZ201" s="1802"/>
      <c r="IA201" s="1802"/>
      <c r="IB201" s="1802"/>
      <c r="IC201" s="1802"/>
      <c r="ID201" s="1802"/>
      <c r="IE201" s="1802"/>
      <c r="IF201" s="1802"/>
      <c r="IG201" s="1802"/>
      <c r="IH201" s="1802"/>
      <c r="II201" s="1802"/>
      <c r="IJ201" s="1802"/>
      <c r="IK201" s="1802"/>
      <c r="IL201" s="1802"/>
      <c r="IM201" s="1802"/>
      <c r="IN201" s="1802"/>
      <c r="IO201" s="1802"/>
      <c r="IP201" s="1802"/>
      <c r="IQ201" s="1802"/>
      <c r="IR201" s="1802"/>
      <c r="IS201" s="1802"/>
      <c r="IT201" s="1802"/>
      <c r="IU201" s="1802"/>
      <c r="IV201" s="1802"/>
      <c r="IW201" s="1802"/>
    </row>
    <row r="202" spans="3:257" s="888" customFormat="1" x14ac:dyDescent="0.45">
      <c r="C202" s="67" t="s">
        <v>549</v>
      </c>
      <c r="D202" s="68" t="s">
        <v>652</v>
      </c>
      <c r="E202" s="69"/>
      <c r="F202" s="70">
        <f t="shared" si="11"/>
        <v>153706.95751952007</v>
      </c>
      <c r="G202" s="71">
        <f t="shared" si="4"/>
        <v>890.95923644991171</v>
      </c>
      <c r="H202" s="71">
        <f t="shared" si="5"/>
        <v>28178.179756721605</v>
      </c>
      <c r="I202" s="71">
        <f t="shared" si="6"/>
        <v>0</v>
      </c>
      <c r="J202" s="72">
        <f t="shared" si="12"/>
        <v>19.164841809173332</v>
      </c>
      <c r="K202" s="70">
        <f t="shared" si="7"/>
        <v>922077768.15799999</v>
      </c>
      <c r="L202" s="73">
        <f t="shared" si="8"/>
        <v>3470683.7928008712</v>
      </c>
      <c r="M202" s="73">
        <f t="shared" si="9"/>
        <v>111292625.13022476</v>
      </c>
      <c r="N202" s="71">
        <f t="shared" si="10"/>
        <v>0</v>
      </c>
      <c r="O202" s="1017">
        <f t="shared" si="13"/>
        <v>32645.184094210425</v>
      </c>
      <c r="P202" s="2078">
        <v>615.17681163734585</v>
      </c>
      <c r="Q202" s="1801">
        <v>5565.6539201933711</v>
      </c>
      <c r="R202" s="2079">
        <f t="shared" si="14"/>
        <v>6180.830731830717</v>
      </c>
      <c r="S202" s="1844"/>
      <c r="T202" s="1842"/>
      <c r="U202" s="1842"/>
      <c r="V202" s="1843"/>
      <c r="W202" s="1800"/>
      <c r="X202" s="1800"/>
      <c r="Y202" s="1801"/>
      <c r="Z202" s="1801"/>
      <c r="AA202" s="1801"/>
      <c r="AB202" s="1801"/>
      <c r="AC202" s="1801"/>
      <c r="AD202" s="1801"/>
      <c r="AE202" s="1801"/>
      <c r="AF202" s="1801"/>
      <c r="AG202" s="1801"/>
      <c r="AH202" s="1801"/>
      <c r="AI202" s="1801"/>
      <c r="AJ202" s="1801"/>
      <c r="AK202" s="1801"/>
      <c r="AL202" s="1802"/>
      <c r="AM202" s="1802"/>
      <c r="AN202" s="1802"/>
      <c r="AO202" s="1802"/>
      <c r="AP202" s="1802"/>
      <c r="AQ202" s="1802"/>
      <c r="AR202" s="1802"/>
      <c r="AS202" s="1802"/>
      <c r="AT202" s="1802"/>
      <c r="AU202" s="1802"/>
      <c r="AV202" s="1802"/>
      <c r="AW202" s="1802"/>
      <c r="AX202" s="1802"/>
      <c r="AY202" s="1802"/>
      <c r="AZ202" s="1802"/>
      <c r="BA202" s="1802"/>
      <c r="BB202" s="1802"/>
      <c r="BC202" s="1802"/>
      <c r="BD202" s="1802"/>
      <c r="BE202" s="1802"/>
      <c r="BF202" s="1802"/>
      <c r="BG202" s="1802"/>
      <c r="BH202" s="1802"/>
      <c r="BI202" s="1802"/>
      <c r="BJ202" s="1802"/>
      <c r="BK202" s="1802"/>
      <c r="BL202" s="1802"/>
      <c r="BM202" s="1802"/>
      <c r="BN202" s="1802"/>
      <c r="BO202" s="1802"/>
      <c r="BP202" s="1802"/>
      <c r="BQ202" s="1802"/>
      <c r="BR202" s="1802"/>
      <c r="BS202" s="1802"/>
      <c r="BT202" s="1802"/>
      <c r="BU202" s="1802"/>
      <c r="BV202" s="1802"/>
      <c r="BW202" s="1802"/>
      <c r="BX202" s="1802"/>
      <c r="BY202" s="1802"/>
      <c r="BZ202" s="1802"/>
      <c r="CA202" s="1802"/>
      <c r="CB202" s="1802"/>
      <c r="CC202" s="1802"/>
      <c r="CD202" s="1802"/>
      <c r="CE202" s="1802"/>
      <c r="CF202" s="1802"/>
      <c r="CG202" s="1802"/>
      <c r="CH202" s="1802"/>
      <c r="CI202" s="1802"/>
      <c r="CJ202" s="1802"/>
      <c r="CK202" s="1802"/>
      <c r="CL202" s="1802"/>
      <c r="CM202" s="1802"/>
      <c r="CN202" s="1802"/>
      <c r="CO202" s="1802"/>
      <c r="CP202" s="1802"/>
      <c r="CQ202" s="1802"/>
      <c r="CR202" s="1802"/>
      <c r="CS202" s="1802"/>
      <c r="CT202" s="1802"/>
      <c r="CU202" s="1802"/>
      <c r="CV202" s="1802"/>
      <c r="CW202" s="1802"/>
      <c r="CX202" s="1802"/>
      <c r="CY202" s="1802"/>
      <c r="CZ202" s="1802"/>
      <c r="DA202" s="1802"/>
      <c r="DB202" s="1802"/>
      <c r="DC202" s="1802"/>
      <c r="DD202" s="1802"/>
      <c r="DE202" s="1802"/>
      <c r="DF202" s="1802"/>
      <c r="DG202" s="1802"/>
      <c r="DH202" s="1802"/>
      <c r="DI202" s="1802"/>
      <c r="DJ202" s="1802"/>
      <c r="DK202" s="1802"/>
      <c r="DL202" s="1802"/>
      <c r="DM202" s="1802"/>
      <c r="DN202" s="1802"/>
      <c r="DO202" s="1802"/>
      <c r="DP202" s="1802"/>
      <c r="DQ202" s="1802"/>
      <c r="DR202" s="1802"/>
      <c r="DS202" s="1802"/>
      <c r="DT202" s="1802"/>
      <c r="DU202" s="1802"/>
      <c r="DV202" s="1802"/>
      <c r="DW202" s="1802"/>
      <c r="DX202" s="1802"/>
      <c r="DY202" s="1802"/>
      <c r="DZ202" s="1802"/>
      <c r="EA202" s="1802"/>
      <c r="EB202" s="1802"/>
      <c r="EC202" s="1802"/>
      <c r="ED202" s="1802"/>
      <c r="EE202" s="1802"/>
      <c r="EF202" s="1802"/>
      <c r="EG202" s="1802"/>
      <c r="EH202" s="1802"/>
      <c r="EI202" s="1802"/>
      <c r="EJ202" s="1802"/>
      <c r="EK202" s="1802"/>
      <c r="EL202" s="1802"/>
      <c r="EM202" s="1802"/>
      <c r="EN202" s="1802"/>
      <c r="EO202" s="1802"/>
      <c r="EP202" s="1802"/>
      <c r="EQ202" s="1802"/>
      <c r="ER202" s="1802"/>
      <c r="ES202" s="1802"/>
      <c r="ET202" s="1802"/>
      <c r="EU202" s="1802"/>
      <c r="EV202" s="1802"/>
      <c r="EW202" s="1802"/>
      <c r="EX202" s="1802"/>
      <c r="EY202" s="1802"/>
      <c r="EZ202" s="1802"/>
      <c r="FA202" s="1802"/>
      <c r="FB202" s="1802"/>
      <c r="FC202" s="1802"/>
      <c r="FD202" s="1802"/>
      <c r="FE202" s="1802"/>
      <c r="FF202" s="1802"/>
      <c r="FG202" s="1802"/>
      <c r="FH202" s="1802"/>
      <c r="FI202" s="1802"/>
      <c r="FJ202" s="1802"/>
      <c r="FK202" s="1802"/>
      <c r="FL202" s="1802"/>
      <c r="FM202" s="1802"/>
      <c r="FN202" s="1802"/>
      <c r="FO202" s="1802"/>
      <c r="FP202" s="1802"/>
      <c r="FQ202" s="1802"/>
      <c r="FR202" s="1802"/>
      <c r="FS202" s="1802"/>
      <c r="FT202" s="1802"/>
      <c r="FU202" s="1802"/>
      <c r="FV202" s="1802"/>
      <c r="FW202" s="1802"/>
      <c r="FX202" s="1802"/>
      <c r="FY202" s="1802"/>
      <c r="FZ202" s="1802"/>
      <c r="GA202" s="1802"/>
      <c r="GB202" s="1802"/>
      <c r="GC202" s="1802"/>
      <c r="GD202" s="1802"/>
      <c r="GE202" s="1802"/>
      <c r="GF202" s="1802"/>
      <c r="GG202" s="1802"/>
      <c r="GH202" s="1802"/>
      <c r="GI202" s="1802"/>
      <c r="GJ202" s="1802"/>
      <c r="GK202" s="1802"/>
      <c r="GL202" s="1802"/>
      <c r="GM202" s="1802"/>
      <c r="GN202" s="1802"/>
      <c r="GO202" s="1802"/>
      <c r="GP202" s="1802"/>
      <c r="GQ202" s="1802"/>
      <c r="GR202" s="1802"/>
      <c r="GS202" s="1802"/>
      <c r="GT202" s="1802"/>
      <c r="GU202" s="1802"/>
      <c r="GV202" s="1802"/>
      <c r="GW202" s="1802"/>
      <c r="GX202" s="1802"/>
      <c r="GY202" s="1802"/>
      <c r="GZ202" s="1802"/>
      <c r="HA202" s="1802"/>
      <c r="HB202" s="1802"/>
      <c r="HC202" s="1802"/>
      <c r="HD202" s="1802"/>
      <c r="HE202" s="1802"/>
      <c r="HF202" s="1802"/>
      <c r="HG202" s="1802"/>
      <c r="HH202" s="1802"/>
      <c r="HI202" s="1802"/>
      <c r="HJ202" s="1802"/>
      <c r="HK202" s="1802"/>
      <c r="HL202" s="1802"/>
      <c r="HM202" s="1802"/>
      <c r="HN202" s="1802"/>
      <c r="HO202" s="1802"/>
      <c r="HP202" s="1802"/>
      <c r="HQ202" s="1802"/>
      <c r="HR202" s="1802"/>
      <c r="HS202" s="1802"/>
      <c r="HT202" s="1802"/>
      <c r="HU202" s="1802"/>
      <c r="HV202" s="1802"/>
      <c r="HW202" s="1802"/>
      <c r="HX202" s="1802"/>
      <c r="HY202" s="1802"/>
      <c r="HZ202" s="1802"/>
      <c r="IA202" s="1802"/>
      <c r="IB202" s="1802"/>
      <c r="IC202" s="1802"/>
      <c r="ID202" s="1802"/>
      <c r="IE202" s="1802"/>
      <c r="IF202" s="1802"/>
      <c r="IG202" s="1802"/>
      <c r="IH202" s="1802"/>
      <c r="II202" s="1802"/>
      <c r="IJ202" s="1802"/>
      <c r="IK202" s="1802"/>
      <c r="IL202" s="1802"/>
      <c r="IM202" s="1802"/>
      <c r="IN202" s="1802"/>
      <c r="IO202" s="1802"/>
      <c r="IP202" s="1802"/>
      <c r="IQ202" s="1802"/>
      <c r="IR202" s="1802"/>
      <c r="IS202" s="1802"/>
      <c r="IT202" s="1802"/>
      <c r="IU202" s="1802"/>
      <c r="IV202" s="1802"/>
      <c r="IW202" s="1802"/>
    </row>
    <row r="203" spans="3:257" s="888" customFormat="1" x14ac:dyDescent="0.45">
      <c r="C203" s="67" t="s">
        <v>550</v>
      </c>
      <c r="D203" s="68" t="s">
        <v>653</v>
      </c>
      <c r="E203" s="69"/>
      <c r="F203" s="70">
        <f t="shared" si="11"/>
        <v>144493.21701826667</v>
      </c>
      <c r="G203" s="71">
        <f t="shared" si="4"/>
        <v>1308.1675303600096</v>
      </c>
      <c r="H203" s="71">
        <f t="shared" si="5"/>
        <v>12600.076509348562</v>
      </c>
      <c r="I203" s="71">
        <f t="shared" si="6"/>
        <v>9.7057815647977534</v>
      </c>
      <c r="J203" s="72">
        <f t="shared" si="12"/>
        <v>645.23329442470254</v>
      </c>
      <c r="K203" s="70">
        <f t="shared" si="7"/>
        <v>1117511760.2120001</v>
      </c>
      <c r="L203" s="73">
        <f t="shared" si="8"/>
        <v>5095896.2656694707</v>
      </c>
      <c r="M203" s="73">
        <f t="shared" si="9"/>
        <v>49765300.799196504</v>
      </c>
      <c r="N203" s="71">
        <f t="shared" si="10"/>
        <v>39165.911884627749</v>
      </c>
      <c r="O203" s="1017">
        <f t="shared" si="13"/>
        <v>1099127.0764584523</v>
      </c>
      <c r="P203" s="2078">
        <v>1712.3142609356109</v>
      </c>
      <c r="Q203" s="1801">
        <v>3935.7542900642152</v>
      </c>
      <c r="R203" s="2079">
        <f t="shared" si="14"/>
        <v>5648.0685509998257</v>
      </c>
      <c r="S203" s="1844"/>
      <c r="T203" s="1842"/>
      <c r="U203" s="1842"/>
      <c r="V203" s="1843"/>
      <c r="W203" s="1800"/>
      <c r="X203" s="1800"/>
      <c r="Y203" s="1801"/>
      <c r="Z203" s="1801"/>
      <c r="AA203" s="1801"/>
      <c r="AB203" s="1801"/>
      <c r="AC203" s="1801"/>
      <c r="AD203" s="1801"/>
      <c r="AE203" s="1801"/>
      <c r="AF203" s="1801"/>
      <c r="AG203" s="1801"/>
      <c r="AH203" s="1801"/>
      <c r="AI203" s="1801"/>
      <c r="AJ203" s="1801"/>
      <c r="AK203" s="1801"/>
      <c r="AL203" s="1802"/>
      <c r="AM203" s="1802"/>
      <c r="AN203" s="1802"/>
      <c r="AO203" s="1802"/>
      <c r="AP203" s="1802"/>
      <c r="AQ203" s="1802"/>
      <c r="AR203" s="1802"/>
      <c r="AS203" s="1802"/>
      <c r="AT203" s="1802"/>
      <c r="AU203" s="1802"/>
      <c r="AV203" s="1802"/>
      <c r="AW203" s="1802"/>
      <c r="AX203" s="1802"/>
      <c r="AY203" s="1802"/>
      <c r="AZ203" s="1802"/>
      <c r="BA203" s="1802"/>
      <c r="BB203" s="1802"/>
      <c r="BC203" s="1802"/>
      <c r="BD203" s="1802"/>
      <c r="BE203" s="1802"/>
      <c r="BF203" s="1802"/>
      <c r="BG203" s="1802"/>
      <c r="BH203" s="1802"/>
      <c r="BI203" s="1802"/>
      <c r="BJ203" s="1802"/>
      <c r="BK203" s="1802"/>
      <c r="BL203" s="1802"/>
      <c r="BM203" s="1802"/>
      <c r="BN203" s="1802"/>
      <c r="BO203" s="1802"/>
      <c r="BP203" s="1802"/>
      <c r="BQ203" s="1802"/>
      <c r="BR203" s="1802"/>
      <c r="BS203" s="1802"/>
      <c r="BT203" s="1802"/>
      <c r="BU203" s="1802"/>
      <c r="BV203" s="1802"/>
      <c r="BW203" s="1802"/>
      <c r="BX203" s="1802"/>
      <c r="BY203" s="1802"/>
      <c r="BZ203" s="1802"/>
      <c r="CA203" s="1802"/>
      <c r="CB203" s="1802"/>
      <c r="CC203" s="1802"/>
      <c r="CD203" s="1802"/>
      <c r="CE203" s="1802"/>
      <c r="CF203" s="1802"/>
      <c r="CG203" s="1802"/>
      <c r="CH203" s="1802"/>
      <c r="CI203" s="1802"/>
      <c r="CJ203" s="1802"/>
      <c r="CK203" s="1802"/>
      <c r="CL203" s="1802"/>
      <c r="CM203" s="1802"/>
      <c r="CN203" s="1802"/>
      <c r="CO203" s="1802"/>
      <c r="CP203" s="1802"/>
      <c r="CQ203" s="1802"/>
      <c r="CR203" s="1802"/>
      <c r="CS203" s="1802"/>
      <c r="CT203" s="1802"/>
      <c r="CU203" s="1802"/>
      <c r="CV203" s="1802"/>
      <c r="CW203" s="1802"/>
      <c r="CX203" s="1802"/>
      <c r="CY203" s="1802"/>
      <c r="CZ203" s="1802"/>
      <c r="DA203" s="1802"/>
      <c r="DB203" s="1802"/>
      <c r="DC203" s="1802"/>
      <c r="DD203" s="1802"/>
      <c r="DE203" s="1802"/>
      <c r="DF203" s="1802"/>
      <c r="DG203" s="1802"/>
      <c r="DH203" s="1802"/>
      <c r="DI203" s="1802"/>
      <c r="DJ203" s="1802"/>
      <c r="DK203" s="1802"/>
      <c r="DL203" s="1802"/>
      <c r="DM203" s="1802"/>
      <c r="DN203" s="1802"/>
      <c r="DO203" s="1802"/>
      <c r="DP203" s="1802"/>
      <c r="DQ203" s="1802"/>
      <c r="DR203" s="1802"/>
      <c r="DS203" s="1802"/>
      <c r="DT203" s="1802"/>
      <c r="DU203" s="1802"/>
      <c r="DV203" s="1802"/>
      <c r="DW203" s="1802"/>
      <c r="DX203" s="1802"/>
      <c r="DY203" s="1802"/>
      <c r="DZ203" s="1802"/>
      <c r="EA203" s="1802"/>
      <c r="EB203" s="1802"/>
      <c r="EC203" s="1802"/>
      <c r="ED203" s="1802"/>
      <c r="EE203" s="1802"/>
      <c r="EF203" s="1802"/>
      <c r="EG203" s="1802"/>
      <c r="EH203" s="1802"/>
      <c r="EI203" s="1802"/>
      <c r="EJ203" s="1802"/>
      <c r="EK203" s="1802"/>
      <c r="EL203" s="1802"/>
      <c r="EM203" s="1802"/>
      <c r="EN203" s="1802"/>
      <c r="EO203" s="1802"/>
      <c r="EP203" s="1802"/>
      <c r="EQ203" s="1802"/>
      <c r="ER203" s="1802"/>
      <c r="ES203" s="1802"/>
      <c r="ET203" s="1802"/>
      <c r="EU203" s="1802"/>
      <c r="EV203" s="1802"/>
      <c r="EW203" s="1802"/>
      <c r="EX203" s="1802"/>
      <c r="EY203" s="1802"/>
      <c r="EZ203" s="1802"/>
      <c r="FA203" s="1802"/>
      <c r="FB203" s="1802"/>
      <c r="FC203" s="1802"/>
      <c r="FD203" s="1802"/>
      <c r="FE203" s="1802"/>
      <c r="FF203" s="1802"/>
      <c r="FG203" s="1802"/>
      <c r="FH203" s="1802"/>
      <c r="FI203" s="1802"/>
      <c r="FJ203" s="1802"/>
      <c r="FK203" s="1802"/>
      <c r="FL203" s="1802"/>
      <c r="FM203" s="1802"/>
      <c r="FN203" s="1802"/>
      <c r="FO203" s="1802"/>
      <c r="FP203" s="1802"/>
      <c r="FQ203" s="1802"/>
      <c r="FR203" s="1802"/>
      <c r="FS203" s="1802"/>
      <c r="FT203" s="1802"/>
      <c r="FU203" s="1802"/>
      <c r="FV203" s="1802"/>
      <c r="FW203" s="1802"/>
      <c r="FX203" s="1802"/>
      <c r="FY203" s="1802"/>
      <c r="FZ203" s="1802"/>
      <c r="GA203" s="1802"/>
      <c r="GB203" s="1802"/>
      <c r="GC203" s="1802"/>
      <c r="GD203" s="1802"/>
      <c r="GE203" s="1802"/>
      <c r="GF203" s="1802"/>
      <c r="GG203" s="1802"/>
      <c r="GH203" s="1802"/>
      <c r="GI203" s="1802"/>
      <c r="GJ203" s="1802"/>
      <c r="GK203" s="1802"/>
      <c r="GL203" s="1802"/>
      <c r="GM203" s="1802"/>
      <c r="GN203" s="1802"/>
      <c r="GO203" s="1802"/>
      <c r="GP203" s="1802"/>
      <c r="GQ203" s="1802"/>
      <c r="GR203" s="1802"/>
      <c r="GS203" s="1802"/>
      <c r="GT203" s="1802"/>
      <c r="GU203" s="1802"/>
      <c r="GV203" s="1802"/>
      <c r="GW203" s="1802"/>
      <c r="GX203" s="1802"/>
      <c r="GY203" s="1802"/>
      <c r="GZ203" s="1802"/>
      <c r="HA203" s="1802"/>
      <c r="HB203" s="1802"/>
      <c r="HC203" s="1802"/>
      <c r="HD203" s="1802"/>
      <c r="HE203" s="1802"/>
      <c r="HF203" s="1802"/>
      <c r="HG203" s="1802"/>
      <c r="HH203" s="1802"/>
      <c r="HI203" s="1802"/>
      <c r="HJ203" s="1802"/>
      <c r="HK203" s="1802"/>
      <c r="HL203" s="1802"/>
      <c r="HM203" s="1802"/>
      <c r="HN203" s="1802"/>
      <c r="HO203" s="1802"/>
      <c r="HP203" s="1802"/>
      <c r="HQ203" s="1802"/>
      <c r="HR203" s="1802"/>
      <c r="HS203" s="1802"/>
      <c r="HT203" s="1802"/>
      <c r="HU203" s="1802"/>
      <c r="HV203" s="1802"/>
      <c r="HW203" s="1802"/>
      <c r="HX203" s="1802"/>
      <c r="HY203" s="1802"/>
      <c r="HZ203" s="1802"/>
      <c r="IA203" s="1802"/>
      <c r="IB203" s="1802"/>
      <c r="IC203" s="1802"/>
      <c r="ID203" s="1802"/>
      <c r="IE203" s="1802"/>
      <c r="IF203" s="1802"/>
      <c r="IG203" s="1802"/>
      <c r="IH203" s="1802"/>
      <c r="II203" s="1802"/>
      <c r="IJ203" s="1802"/>
      <c r="IK203" s="1802"/>
      <c r="IL203" s="1802"/>
      <c r="IM203" s="1802"/>
      <c r="IN203" s="1802"/>
      <c r="IO203" s="1802"/>
      <c r="IP203" s="1802"/>
      <c r="IQ203" s="1802"/>
      <c r="IR203" s="1802"/>
      <c r="IS203" s="1802"/>
      <c r="IT203" s="1802"/>
      <c r="IU203" s="1802"/>
      <c r="IV203" s="1802"/>
      <c r="IW203" s="1802"/>
    </row>
    <row r="204" spans="3:257" s="888" customFormat="1" x14ac:dyDescent="0.45">
      <c r="C204" s="67" t="s">
        <v>551</v>
      </c>
      <c r="D204" s="68" t="s">
        <v>654</v>
      </c>
      <c r="E204" s="69"/>
      <c r="F204" s="70">
        <f t="shared" si="11"/>
        <v>126753.21482377261</v>
      </c>
      <c r="G204" s="71">
        <f t="shared" si="4"/>
        <v>691.04931967589653</v>
      </c>
      <c r="H204" s="71">
        <f t="shared" si="5"/>
        <v>13447.440598042769</v>
      </c>
      <c r="I204" s="71">
        <f t="shared" si="6"/>
        <v>0</v>
      </c>
      <c r="J204" s="72">
        <f t="shared" si="12"/>
        <v>0</v>
      </c>
      <c r="K204" s="70">
        <f t="shared" si="7"/>
        <v>444195077.63800001</v>
      </c>
      <c r="L204" s="73">
        <f t="shared" si="8"/>
        <v>2691945.4624903454</v>
      </c>
      <c r="M204" s="73">
        <f t="shared" si="9"/>
        <v>53112052.600982547</v>
      </c>
      <c r="N204" s="71">
        <f t="shared" si="10"/>
        <v>0</v>
      </c>
      <c r="O204" s="1017">
        <f t="shared" si="13"/>
        <v>0</v>
      </c>
      <c r="P204" s="2078">
        <v>783.38579740140744</v>
      </c>
      <c r="Q204" s="1801">
        <v>2118.0223876746586</v>
      </c>
      <c r="R204" s="2079">
        <f t="shared" si="14"/>
        <v>2901.4081850760658</v>
      </c>
      <c r="S204" s="1844"/>
      <c r="T204" s="1842"/>
      <c r="U204" s="1842"/>
      <c r="V204" s="1843"/>
      <c r="W204" s="1800"/>
      <c r="X204" s="1800"/>
      <c r="Y204" s="1801"/>
      <c r="Z204" s="1801"/>
      <c r="AA204" s="1801"/>
      <c r="AB204" s="1801"/>
      <c r="AC204" s="1801"/>
      <c r="AD204" s="1801"/>
      <c r="AE204" s="1801"/>
      <c r="AF204" s="1801"/>
      <c r="AG204" s="1801"/>
      <c r="AH204" s="1801"/>
      <c r="AI204" s="1801"/>
      <c r="AJ204" s="1801"/>
      <c r="AK204" s="1801"/>
      <c r="AL204" s="1802"/>
      <c r="AM204" s="1802"/>
      <c r="AN204" s="1802"/>
      <c r="AO204" s="1802"/>
      <c r="AP204" s="1802"/>
      <c r="AQ204" s="1802"/>
      <c r="AR204" s="1802"/>
      <c r="AS204" s="1802"/>
      <c r="AT204" s="1802"/>
      <c r="AU204" s="1802"/>
      <c r="AV204" s="1802"/>
      <c r="AW204" s="1802"/>
      <c r="AX204" s="1802"/>
      <c r="AY204" s="1802"/>
      <c r="AZ204" s="1802"/>
      <c r="BA204" s="1802"/>
      <c r="BB204" s="1802"/>
      <c r="BC204" s="1802"/>
      <c r="BD204" s="1802"/>
      <c r="BE204" s="1802"/>
      <c r="BF204" s="1802"/>
      <c r="BG204" s="1802"/>
      <c r="BH204" s="1802"/>
      <c r="BI204" s="1802"/>
      <c r="BJ204" s="1802"/>
      <c r="BK204" s="1802"/>
      <c r="BL204" s="1802"/>
      <c r="BM204" s="1802"/>
      <c r="BN204" s="1802"/>
      <c r="BO204" s="1802"/>
      <c r="BP204" s="1802"/>
      <c r="BQ204" s="1802"/>
      <c r="BR204" s="1802"/>
      <c r="BS204" s="1802"/>
      <c r="BT204" s="1802"/>
      <c r="BU204" s="1802"/>
      <c r="BV204" s="1802"/>
      <c r="BW204" s="1802"/>
      <c r="BX204" s="1802"/>
      <c r="BY204" s="1802"/>
      <c r="BZ204" s="1802"/>
      <c r="CA204" s="1802"/>
      <c r="CB204" s="1802"/>
      <c r="CC204" s="1802"/>
      <c r="CD204" s="1802"/>
      <c r="CE204" s="1802"/>
      <c r="CF204" s="1802"/>
      <c r="CG204" s="1802"/>
      <c r="CH204" s="1802"/>
      <c r="CI204" s="1802"/>
      <c r="CJ204" s="1802"/>
      <c r="CK204" s="1802"/>
      <c r="CL204" s="1802"/>
      <c r="CM204" s="1802"/>
      <c r="CN204" s="1802"/>
      <c r="CO204" s="1802"/>
      <c r="CP204" s="1802"/>
      <c r="CQ204" s="1802"/>
      <c r="CR204" s="1802"/>
      <c r="CS204" s="1802"/>
      <c r="CT204" s="1802"/>
      <c r="CU204" s="1802"/>
      <c r="CV204" s="1802"/>
      <c r="CW204" s="1802"/>
      <c r="CX204" s="1802"/>
      <c r="CY204" s="1802"/>
      <c r="CZ204" s="1802"/>
      <c r="DA204" s="1802"/>
      <c r="DB204" s="1802"/>
      <c r="DC204" s="1802"/>
      <c r="DD204" s="1802"/>
      <c r="DE204" s="1802"/>
      <c r="DF204" s="1802"/>
      <c r="DG204" s="1802"/>
      <c r="DH204" s="1802"/>
      <c r="DI204" s="1802"/>
      <c r="DJ204" s="1802"/>
      <c r="DK204" s="1802"/>
      <c r="DL204" s="1802"/>
      <c r="DM204" s="1802"/>
      <c r="DN204" s="1802"/>
      <c r="DO204" s="1802"/>
      <c r="DP204" s="1802"/>
      <c r="DQ204" s="1802"/>
      <c r="DR204" s="1802"/>
      <c r="DS204" s="1802"/>
      <c r="DT204" s="1802"/>
      <c r="DU204" s="1802"/>
      <c r="DV204" s="1802"/>
      <c r="DW204" s="1802"/>
      <c r="DX204" s="1802"/>
      <c r="DY204" s="1802"/>
      <c r="DZ204" s="1802"/>
      <c r="EA204" s="1802"/>
      <c r="EB204" s="1802"/>
      <c r="EC204" s="1802"/>
      <c r="ED204" s="1802"/>
      <c r="EE204" s="1802"/>
      <c r="EF204" s="1802"/>
      <c r="EG204" s="1802"/>
      <c r="EH204" s="1802"/>
      <c r="EI204" s="1802"/>
      <c r="EJ204" s="1802"/>
      <c r="EK204" s="1802"/>
      <c r="EL204" s="1802"/>
      <c r="EM204" s="1802"/>
      <c r="EN204" s="1802"/>
      <c r="EO204" s="1802"/>
      <c r="EP204" s="1802"/>
      <c r="EQ204" s="1802"/>
      <c r="ER204" s="1802"/>
      <c r="ES204" s="1802"/>
      <c r="ET204" s="1802"/>
      <c r="EU204" s="1802"/>
      <c r="EV204" s="1802"/>
      <c r="EW204" s="1802"/>
      <c r="EX204" s="1802"/>
      <c r="EY204" s="1802"/>
      <c r="EZ204" s="1802"/>
      <c r="FA204" s="1802"/>
      <c r="FB204" s="1802"/>
      <c r="FC204" s="1802"/>
      <c r="FD204" s="1802"/>
      <c r="FE204" s="1802"/>
      <c r="FF204" s="1802"/>
      <c r="FG204" s="1802"/>
      <c r="FH204" s="1802"/>
      <c r="FI204" s="1802"/>
      <c r="FJ204" s="1802"/>
      <c r="FK204" s="1802"/>
      <c r="FL204" s="1802"/>
      <c r="FM204" s="1802"/>
      <c r="FN204" s="1802"/>
      <c r="FO204" s="1802"/>
      <c r="FP204" s="1802"/>
      <c r="FQ204" s="1802"/>
      <c r="FR204" s="1802"/>
      <c r="FS204" s="1802"/>
      <c r="FT204" s="1802"/>
      <c r="FU204" s="1802"/>
      <c r="FV204" s="1802"/>
      <c r="FW204" s="1802"/>
      <c r="FX204" s="1802"/>
      <c r="FY204" s="1802"/>
      <c r="FZ204" s="1802"/>
      <c r="GA204" s="1802"/>
      <c r="GB204" s="1802"/>
      <c r="GC204" s="1802"/>
      <c r="GD204" s="1802"/>
      <c r="GE204" s="1802"/>
      <c r="GF204" s="1802"/>
      <c r="GG204" s="1802"/>
      <c r="GH204" s="1802"/>
      <c r="GI204" s="1802"/>
      <c r="GJ204" s="1802"/>
      <c r="GK204" s="1802"/>
      <c r="GL204" s="1802"/>
      <c r="GM204" s="1802"/>
      <c r="GN204" s="1802"/>
      <c r="GO204" s="1802"/>
      <c r="GP204" s="1802"/>
      <c r="GQ204" s="1802"/>
      <c r="GR204" s="1802"/>
      <c r="GS204" s="1802"/>
      <c r="GT204" s="1802"/>
      <c r="GU204" s="1802"/>
      <c r="GV204" s="1802"/>
      <c r="GW204" s="1802"/>
      <c r="GX204" s="1802"/>
      <c r="GY204" s="1802"/>
      <c r="GZ204" s="1802"/>
      <c r="HA204" s="1802"/>
      <c r="HB204" s="1802"/>
      <c r="HC204" s="1802"/>
      <c r="HD204" s="1802"/>
      <c r="HE204" s="1802"/>
      <c r="HF204" s="1802"/>
      <c r="HG204" s="1802"/>
      <c r="HH204" s="1802"/>
      <c r="HI204" s="1802"/>
      <c r="HJ204" s="1802"/>
      <c r="HK204" s="1802"/>
      <c r="HL204" s="1802"/>
      <c r="HM204" s="1802"/>
      <c r="HN204" s="1802"/>
      <c r="HO204" s="1802"/>
      <c r="HP204" s="1802"/>
      <c r="HQ204" s="1802"/>
      <c r="HR204" s="1802"/>
      <c r="HS204" s="1802"/>
      <c r="HT204" s="1802"/>
      <c r="HU204" s="1802"/>
      <c r="HV204" s="1802"/>
      <c r="HW204" s="1802"/>
      <c r="HX204" s="1802"/>
      <c r="HY204" s="1802"/>
      <c r="HZ204" s="1802"/>
      <c r="IA204" s="1802"/>
      <c r="IB204" s="1802"/>
      <c r="IC204" s="1802"/>
      <c r="ID204" s="1802"/>
      <c r="IE204" s="1802"/>
      <c r="IF204" s="1802"/>
      <c r="IG204" s="1802"/>
      <c r="IH204" s="1802"/>
      <c r="II204" s="1802"/>
      <c r="IJ204" s="1802"/>
      <c r="IK204" s="1802"/>
      <c r="IL204" s="1802"/>
      <c r="IM204" s="1802"/>
      <c r="IN204" s="1802"/>
      <c r="IO204" s="1802"/>
      <c r="IP204" s="1802"/>
      <c r="IQ204" s="1802"/>
      <c r="IR204" s="1802"/>
      <c r="IS204" s="1802"/>
      <c r="IT204" s="1802"/>
      <c r="IU204" s="1802"/>
      <c r="IV204" s="1802"/>
      <c r="IW204" s="1802"/>
    </row>
    <row r="205" spans="3:257" s="888" customFormat="1" x14ac:dyDescent="0.45">
      <c r="C205" s="67" t="s">
        <v>552</v>
      </c>
      <c r="D205" s="68" t="s">
        <v>655</v>
      </c>
      <c r="E205" s="69"/>
      <c r="F205" s="70">
        <f t="shared" si="11"/>
        <v>171889.57701388496</v>
      </c>
      <c r="G205" s="71">
        <f t="shared" si="4"/>
        <v>2300.7914813267362</v>
      </c>
      <c r="H205" s="71">
        <f t="shared" si="5"/>
        <v>25890.578519025494</v>
      </c>
      <c r="I205" s="71">
        <f t="shared" si="6"/>
        <v>40652.12545228588</v>
      </c>
      <c r="J205" s="72">
        <f t="shared" si="12"/>
        <v>4342.0404949289523</v>
      </c>
      <c r="K205" s="70">
        <f t="shared" si="7"/>
        <v>1426124390.132</v>
      </c>
      <c r="L205" s="73">
        <f t="shared" si="8"/>
        <v>8962609.4866843373</v>
      </c>
      <c r="M205" s="73">
        <f t="shared" si="9"/>
        <v>102257508.2705695</v>
      </c>
      <c r="N205" s="71">
        <f t="shared" si="10"/>
        <v>164107468.63368392</v>
      </c>
      <c r="O205" s="1017">
        <f t="shared" si="13"/>
        <v>7396431.029084472</v>
      </c>
      <c r="P205" s="2078">
        <v>1302.4668849603556</v>
      </c>
      <c r="Q205" s="1801">
        <v>6111.4297037186871</v>
      </c>
      <c r="R205" s="2079">
        <f t="shared" si="14"/>
        <v>7413.8965886790429</v>
      </c>
      <c r="S205" s="1844"/>
      <c r="T205" s="1842"/>
      <c r="U205" s="1842"/>
      <c r="V205" s="1843"/>
      <c r="W205" s="1800"/>
      <c r="X205" s="1800"/>
      <c r="Y205" s="1801"/>
      <c r="Z205" s="1801"/>
      <c r="AA205" s="1801"/>
      <c r="AB205" s="1801"/>
      <c r="AC205" s="1801"/>
      <c r="AD205" s="1801"/>
      <c r="AE205" s="1801"/>
      <c r="AF205" s="1801"/>
      <c r="AG205" s="1801"/>
      <c r="AH205" s="1801"/>
      <c r="AI205" s="1801"/>
      <c r="AJ205" s="1801"/>
      <c r="AK205" s="1801"/>
      <c r="AL205" s="1802"/>
      <c r="AM205" s="1802"/>
      <c r="AN205" s="1802"/>
      <c r="AO205" s="1802"/>
      <c r="AP205" s="1802"/>
      <c r="AQ205" s="1802"/>
      <c r="AR205" s="1802"/>
      <c r="AS205" s="1802"/>
      <c r="AT205" s="1802"/>
      <c r="AU205" s="1802"/>
      <c r="AV205" s="1802"/>
      <c r="AW205" s="1802"/>
      <c r="AX205" s="1802"/>
      <c r="AY205" s="1802"/>
      <c r="AZ205" s="1802"/>
      <c r="BA205" s="1802"/>
      <c r="BB205" s="1802"/>
      <c r="BC205" s="1802"/>
      <c r="BD205" s="1802"/>
      <c r="BE205" s="1802"/>
      <c r="BF205" s="1802"/>
      <c r="BG205" s="1802"/>
      <c r="BH205" s="1802"/>
      <c r="BI205" s="1802"/>
      <c r="BJ205" s="1802"/>
      <c r="BK205" s="1802"/>
      <c r="BL205" s="1802"/>
      <c r="BM205" s="1802"/>
      <c r="BN205" s="1802"/>
      <c r="BO205" s="1802"/>
      <c r="BP205" s="1802"/>
      <c r="BQ205" s="1802"/>
      <c r="BR205" s="1802"/>
      <c r="BS205" s="1802"/>
      <c r="BT205" s="1802"/>
      <c r="BU205" s="1802"/>
      <c r="BV205" s="1802"/>
      <c r="BW205" s="1802"/>
      <c r="BX205" s="1802"/>
      <c r="BY205" s="1802"/>
      <c r="BZ205" s="1802"/>
      <c r="CA205" s="1802"/>
      <c r="CB205" s="1802"/>
      <c r="CC205" s="1802"/>
      <c r="CD205" s="1802"/>
      <c r="CE205" s="1802"/>
      <c r="CF205" s="1802"/>
      <c r="CG205" s="1802"/>
      <c r="CH205" s="1802"/>
      <c r="CI205" s="1802"/>
      <c r="CJ205" s="1802"/>
      <c r="CK205" s="1802"/>
      <c r="CL205" s="1802"/>
      <c r="CM205" s="1802"/>
      <c r="CN205" s="1802"/>
      <c r="CO205" s="1802"/>
      <c r="CP205" s="1802"/>
      <c r="CQ205" s="1802"/>
      <c r="CR205" s="1802"/>
      <c r="CS205" s="1802"/>
      <c r="CT205" s="1802"/>
      <c r="CU205" s="1802"/>
      <c r="CV205" s="1802"/>
      <c r="CW205" s="1802"/>
      <c r="CX205" s="1802"/>
      <c r="CY205" s="1802"/>
      <c r="CZ205" s="1802"/>
      <c r="DA205" s="1802"/>
      <c r="DB205" s="1802"/>
      <c r="DC205" s="1802"/>
      <c r="DD205" s="1802"/>
      <c r="DE205" s="1802"/>
      <c r="DF205" s="1802"/>
      <c r="DG205" s="1802"/>
      <c r="DH205" s="1802"/>
      <c r="DI205" s="1802"/>
      <c r="DJ205" s="1802"/>
      <c r="DK205" s="1802"/>
      <c r="DL205" s="1802"/>
      <c r="DM205" s="1802"/>
      <c r="DN205" s="1802"/>
      <c r="DO205" s="1802"/>
      <c r="DP205" s="1802"/>
      <c r="DQ205" s="1802"/>
      <c r="DR205" s="1802"/>
      <c r="DS205" s="1802"/>
      <c r="DT205" s="1802"/>
      <c r="DU205" s="1802"/>
      <c r="DV205" s="1802"/>
      <c r="DW205" s="1802"/>
      <c r="DX205" s="1802"/>
      <c r="DY205" s="1802"/>
      <c r="DZ205" s="1802"/>
      <c r="EA205" s="1802"/>
      <c r="EB205" s="1802"/>
      <c r="EC205" s="1802"/>
      <c r="ED205" s="1802"/>
      <c r="EE205" s="1802"/>
      <c r="EF205" s="1802"/>
      <c r="EG205" s="1802"/>
      <c r="EH205" s="1802"/>
      <c r="EI205" s="1802"/>
      <c r="EJ205" s="1802"/>
      <c r="EK205" s="1802"/>
      <c r="EL205" s="1802"/>
      <c r="EM205" s="1802"/>
      <c r="EN205" s="1802"/>
      <c r="EO205" s="1802"/>
      <c r="EP205" s="1802"/>
      <c r="EQ205" s="1802"/>
      <c r="ER205" s="1802"/>
      <c r="ES205" s="1802"/>
      <c r="ET205" s="1802"/>
      <c r="EU205" s="1802"/>
      <c r="EV205" s="1802"/>
      <c r="EW205" s="1802"/>
      <c r="EX205" s="1802"/>
      <c r="EY205" s="1802"/>
      <c r="EZ205" s="1802"/>
      <c r="FA205" s="1802"/>
      <c r="FB205" s="1802"/>
      <c r="FC205" s="1802"/>
      <c r="FD205" s="1802"/>
      <c r="FE205" s="1802"/>
      <c r="FF205" s="1802"/>
      <c r="FG205" s="1802"/>
      <c r="FH205" s="1802"/>
      <c r="FI205" s="1802"/>
      <c r="FJ205" s="1802"/>
      <c r="FK205" s="1802"/>
      <c r="FL205" s="1802"/>
      <c r="FM205" s="1802"/>
      <c r="FN205" s="1802"/>
      <c r="FO205" s="1802"/>
      <c r="FP205" s="1802"/>
      <c r="FQ205" s="1802"/>
      <c r="FR205" s="1802"/>
      <c r="FS205" s="1802"/>
      <c r="FT205" s="1802"/>
      <c r="FU205" s="1802"/>
      <c r="FV205" s="1802"/>
      <c r="FW205" s="1802"/>
      <c r="FX205" s="1802"/>
      <c r="FY205" s="1802"/>
      <c r="FZ205" s="1802"/>
      <c r="GA205" s="1802"/>
      <c r="GB205" s="1802"/>
      <c r="GC205" s="1802"/>
      <c r="GD205" s="1802"/>
      <c r="GE205" s="1802"/>
      <c r="GF205" s="1802"/>
      <c r="GG205" s="1802"/>
      <c r="GH205" s="1802"/>
      <c r="GI205" s="1802"/>
      <c r="GJ205" s="1802"/>
      <c r="GK205" s="1802"/>
      <c r="GL205" s="1802"/>
      <c r="GM205" s="1802"/>
      <c r="GN205" s="1802"/>
      <c r="GO205" s="1802"/>
      <c r="GP205" s="1802"/>
      <c r="GQ205" s="1802"/>
      <c r="GR205" s="1802"/>
      <c r="GS205" s="1802"/>
      <c r="GT205" s="1802"/>
      <c r="GU205" s="1802"/>
      <c r="GV205" s="1802"/>
      <c r="GW205" s="1802"/>
      <c r="GX205" s="1802"/>
      <c r="GY205" s="1802"/>
      <c r="GZ205" s="1802"/>
      <c r="HA205" s="1802"/>
      <c r="HB205" s="1802"/>
      <c r="HC205" s="1802"/>
      <c r="HD205" s="1802"/>
      <c r="HE205" s="1802"/>
      <c r="HF205" s="1802"/>
      <c r="HG205" s="1802"/>
      <c r="HH205" s="1802"/>
      <c r="HI205" s="1802"/>
      <c r="HJ205" s="1802"/>
      <c r="HK205" s="1802"/>
      <c r="HL205" s="1802"/>
      <c r="HM205" s="1802"/>
      <c r="HN205" s="1802"/>
      <c r="HO205" s="1802"/>
      <c r="HP205" s="1802"/>
      <c r="HQ205" s="1802"/>
      <c r="HR205" s="1802"/>
      <c r="HS205" s="1802"/>
      <c r="HT205" s="1802"/>
      <c r="HU205" s="1802"/>
      <c r="HV205" s="1802"/>
      <c r="HW205" s="1802"/>
      <c r="HX205" s="1802"/>
      <c r="HY205" s="1802"/>
      <c r="HZ205" s="1802"/>
      <c r="IA205" s="1802"/>
      <c r="IB205" s="1802"/>
      <c r="IC205" s="1802"/>
      <c r="ID205" s="1802"/>
      <c r="IE205" s="1802"/>
      <c r="IF205" s="1802"/>
      <c r="IG205" s="1802"/>
      <c r="IH205" s="1802"/>
      <c r="II205" s="1802"/>
      <c r="IJ205" s="1802"/>
      <c r="IK205" s="1802"/>
      <c r="IL205" s="1802"/>
      <c r="IM205" s="1802"/>
      <c r="IN205" s="1802"/>
      <c r="IO205" s="1802"/>
      <c r="IP205" s="1802"/>
      <c r="IQ205" s="1802"/>
      <c r="IR205" s="1802"/>
      <c r="IS205" s="1802"/>
      <c r="IT205" s="1802"/>
      <c r="IU205" s="1802"/>
      <c r="IV205" s="1802"/>
      <c r="IW205" s="1802"/>
    </row>
    <row r="206" spans="3:257" s="888" customFormat="1" x14ac:dyDescent="0.45">
      <c r="C206" s="67" t="s">
        <v>553</v>
      </c>
      <c r="D206" s="68" t="s">
        <v>656</v>
      </c>
      <c r="E206" s="69"/>
      <c r="F206" s="70">
        <f t="shared" si="11"/>
        <v>244438.91050526753</v>
      </c>
      <c r="G206" s="71">
        <f t="shared" si="4"/>
        <v>683.31705162458354</v>
      </c>
      <c r="H206" s="71">
        <f t="shared" si="5"/>
        <v>11370.309594965644</v>
      </c>
      <c r="I206" s="71">
        <f t="shared" si="6"/>
        <v>873.06421045310378</v>
      </c>
      <c r="J206" s="72">
        <f t="shared" si="12"/>
        <v>0</v>
      </c>
      <c r="K206" s="70">
        <f t="shared" si="7"/>
        <v>634225520.16900003</v>
      </c>
      <c r="L206" s="73">
        <f t="shared" si="8"/>
        <v>2661824.8281118129</v>
      </c>
      <c r="M206" s="73">
        <f t="shared" si="9"/>
        <v>44908209.625046983</v>
      </c>
      <c r="N206" s="71">
        <f t="shared" si="10"/>
        <v>3523091.4386378834</v>
      </c>
      <c r="O206" s="1017">
        <f t="shared" si="13"/>
        <v>0</v>
      </c>
      <c r="P206" s="2078">
        <v>1092.2245973226184</v>
      </c>
      <c r="Q206" s="1801">
        <v>2272.5381088664612</v>
      </c>
      <c r="R206" s="2079">
        <f t="shared" si="14"/>
        <v>3364.7627061890798</v>
      </c>
      <c r="S206" s="1844"/>
      <c r="T206" s="1842"/>
      <c r="U206" s="1842"/>
      <c r="V206" s="1843"/>
      <c r="W206" s="1800"/>
      <c r="X206" s="1800"/>
      <c r="Y206" s="1801"/>
      <c r="Z206" s="1801"/>
      <c r="AA206" s="1801"/>
      <c r="AB206" s="1801"/>
      <c r="AC206" s="1801"/>
      <c r="AD206" s="1801"/>
      <c r="AE206" s="1801"/>
      <c r="AF206" s="1801"/>
      <c r="AG206" s="1801"/>
      <c r="AH206" s="1801"/>
      <c r="AI206" s="1801"/>
      <c r="AJ206" s="1801"/>
      <c r="AK206" s="1801"/>
      <c r="AL206" s="1802"/>
      <c r="AM206" s="1802"/>
      <c r="AN206" s="1802"/>
      <c r="AO206" s="1802"/>
      <c r="AP206" s="1802"/>
      <c r="AQ206" s="1802"/>
      <c r="AR206" s="1802"/>
      <c r="AS206" s="1802"/>
      <c r="AT206" s="1802"/>
      <c r="AU206" s="1802"/>
      <c r="AV206" s="1802"/>
      <c r="AW206" s="1802"/>
      <c r="AX206" s="1802"/>
      <c r="AY206" s="1802"/>
      <c r="AZ206" s="1802"/>
      <c r="BA206" s="1802"/>
      <c r="BB206" s="1802"/>
      <c r="BC206" s="1802"/>
      <c r="BD206" s="1802"/>
      <c r="BE206" s="1802"/>
      <c r="BF206" s="1802"/>
      <c r="BG206" s="1802"/>
      <c r="BH206" s="1802"/>
      <c r="BI206" s="1802"/>
      <c r="BJ206" s="1802"/>
      <c r="BK206" s="1802"/>
      <c r="BL206" s="1802"/>
      <c r="BM206" s="1802"/>
      <c r="BN206" s="1802"/>
      <c r="BO206" s="1802"/>
      <c r="BP206" s="1802"/>
      <c r="BQ206" s="1802"/>
      <c r="BR206" s="1802"/>
      <c r="BS206" s="1802"/>
      <c r="BT206" s="1802"/>
      <c r="BU206" s="1802"/>
      <c r="BV206" s="1802"/>
      <c r="BW206" s="1802"/>
      <c r="BX206" s="1802"/>
      <c r="BY206" s="1802"/>
      <c r="BZ206" s="1802"/>
      <c r="CA206" s="1802"/>
      <c r="CB206" s="1802"/>
      <c r="CC206" s="1802"/>
      <c r="CD206" s="1802"/>
      <c r="CE206" s="1802"/>
      <c r="CF206" s="1802"/>
      <c r="CG206" s="1802"/>
      <c r="CH206" s="1802"/>
      <c r="CI206" s="1802"/>
      <c r="CJ206" s="1802"/>
      <c r="CK206" s="1802"/>
      <c r="CL206" s="1802"/>
      <c r="CM206" s="1802"/>
      <c r="CN206" s="1802"/>
      <c r="CO206" s="1802"/>
      <c r="CP206" s="1802"/>
      <c r="CQ206" s="1802"/>
      <c r="CR206" s="1802"/>
      <c r="CS206" s="1802"/>
      <c r="CT206" s="1802"/>
      <c r="CU206" s="1802"/>
      <c r="CV206" s="1802"/>
      <c r="CW206" s="1802"/>
      <c r="CX206" s="1802"/>
      <c r="CY206" s="1802"/>
      <c r="CZ206" s="1802"/>
      <c r="DA206" s="1802"/>
      <c r="DB206" s="1802"/>
      <c r="DC206" s="1802"/>
      <c r="DD206" s="1802"/>
      <c r="DE206" s="1802"/>
      <c r="DF206" s="1802"/>
      <c r="DG206" s="1802"/>
      <c r="DH206" s="1802"/>
      <c r="DI206" s="1802"/>
      <c r="DJ206" s="1802"/>
      <c r="DK206" s="1802"/>
      <c r="DL206" s="1802"/>
      <c r="DM206" s="1802"/>
      <c r="DN206" s="1802"/>
      <c r="DO206" s="1802"/>
      <c r="DP206" s="1802"/>
      <c r="DQ206" s="1802"/>
      <c r="DR206" s="1802"/>
      <c r="DS206" s="1802"/>
      <c r="DT206" s="1802"/>
      <c r="DU206" s="1802"/>
      <c r="DV206" s="1802"/>
      <c r="DW206" s="1802"/>
      <c r="DX206" s="1802"/>
      <c r="DY206" s="1802"/>
      <c r="DZ206" s="1802"/>
      <c r="EA206" s="1802"/>
      <c r="EB206" s="1802"/>
      <c r="EC206" s="1802"/>
      <c r="ED206" s="1802"/>
      <c r="EE206" s="1802"/>
      <c r="EF206" s="1802"/>
      <c r="EG206" s="1802"/>
      <c r="EH206" s="1802"/>
      <c r="EI206" s="1802"/>
      <c r="EJ206" s="1802"/>
      <c r="EK206" s="1802"/>
      <c r="EL206" s="1802"/>
      <c r="EM206" s="1802"/>
      <c r="EN206" s="1802"/>
      <c r="EO206" s="1802"/>
      <c r="EP206" s="1802"/>
      <c r="EQ206" s="1802"/>
      <c r="ER206" s="1802"/>
      <c r="ES206" s="1802"/>
      <c r="ET206" s="1802"/>
      <c r="EU206" s="1802"/>
      <c r="EV206" s="1802"/>
      <c r="EW206" s="1802"/>
      <c r="EX206" s="1802"/>
      <c r="EY206" s="1802"/>
      <c r="EZ206" s="1802"/>
      <c r="FA206" s="1802"/>
      <c r="FB206" s="1802"/>
      <c r="FC206" s="1802"/>
      <c r="FD206" s="1802"/>
      <c r="FE206" s="1802"/>
      <c r="FF206" s="1802"/>
      <c r="FG206" s="1802"/>
      <c r="FH206" s="1802"/>
      <c r="FI206" s="1802"/>
      <c r="FJ206" s="1802"/>
      <c r="FK206" s="1802"/>
      <c r="FL206" s="1802"/>
      <c r="FM206" s="1802"/>
      <c r="FN206" s="1802"/>
      <c r="FO206" s="1802"/>
      <c r="FP206" s="1802"/>
      <c r="FQ206" s="1802"/>
      <c r="FR206" s="1802"/>
      <c r="FS206" s="1802"/>
      <c r="FT206" s="1802"/>
      <c r="FU206" s="1802"/>
      <c r="FV206" s="1802"/>
      <c r="FW206" s="1802"/>
      <c r="FX206" s="1802"/>
      <c r="FY206" s="1802"/>
      <c r="FZ206" s="1802"/>
      <c r="GA206" s="1802"/>
      <c r="GB206" s="1802"/>
      <c r="GC206" s="1802"/>
      <c r="GD206" s="1802"/>
      <c r="GE206" s="1802"/>
      <c r="GF206" s="1802"/>
      <c r="GG206" s="1802"/>
      <c r="GH206" s="1802"/>
      <c r="GI206" s="1802"/>
      <c r="GJ206" s="1802"/>
      <c r="GK206" s="1802"/>
      <c r="GL206" s="1802"/>
      <c r="GM206" s="1802"/>
      <c r="GN206" s="1802"/>
      <c r="GO206" s="1802"/>
      <c r="GP206" s="1802"/>
      <c r="GQ206" s="1802"/>
      <c r="GR206" s="1802"/>
      <c r="GS206" s="1802"/>
      <c r="GT206" s="1802"/>
      <c r="GU206" s="1802"/>
      <c r="GV206" s="1802"/>
      <c r="GW206" s="1802"/>
      <c r="GX206" s="1802"/>
      <c r="GY206" s="1802"/>
      <c r="GZ206" s="1802"/>
      <c r="HA206" s="1802"/>
      <c r="HB206" s="1802"/>
      <c r="HC206" s="1802"/>
      <c r="HD206" s="1802"/>
      <c r="HE206" s="1802"/>
      <c r="HF206" s="1802"/>
      <c r="HG206" s="1802"/>
      <c r="HH206" s="1802"/>
      <c r="HI206" s="1802"/>
      <c r="HJ206" s="1802"/>
      <c r="HK206" s="1802"/>
      <c r="HL206" s="1802"/>
      <c r="HM206" s="1802"/>
      <c r="HN206" s="1802"/>
      <c r="HO206" s="1802"/>
      <c r="HP206" s="1802"/>
      <c r="HQ206" s="1802"/>
      <c r="HR206" s="1802"/>
      <c r="HS206" s="1802"/>
      <c r="HT206" s="1802"/>
      <c r="HU206" s="1802"/>
      <c r="HV206" s="1802"/>
      <c r="HW206" s="1802"/>
      <c r="HX206" s="1802"/>
      <c r="HY206" s="1802"/>
      <c r="HZ206" s="1802"/>
      <c r="IA206" s="1802"/>
      <c r="IB206" s="1802"/>
      <c r="IC206" s="1802"/>
      <c r="ID206" s="1802"/>
      <c r="IE206" s="1802"/>
      <c r="IF206" s="1802"/>
      <c r="IG206" s="1802"/>
      <c r="IH206" s="1802"/>
      <c r="II206" s="1802"/>
      <c r="IJ206" s="1802"/>
      <c r="IK206" s="1802"/>
      <c r="IL206" s="1802"/>
      <c r="IM206" s="1802"/>
      <c r="IN206" s="1802"/>
      <c r="IO206" s="1802"/>
      <c r="IP206" s="1802"/>
      <c r="IQ206" s="1802"/>
      <c r="IR206" s="1802"/>
      <c r="IS206" s="1802"/>
      <c r="IT206" s="1802"/>
      <c r="IU206" s="1802"/>
      <c r="IV206" s="1802"/>
      <c r="IW206" s="1802"/>
    </row>
    <row r="207" spans="3:257" s="888" customFormat="1" x14ac:dyDescent="0.45">
      <c r="C207" s="67" t="s">
        <v>554</v>
      </c>
      <c r="D207" s="68" t="s">
        <v>657</v>
      </c>
      <c r="E207" s="69"/>
      <c r="F207" s="70">
        <f t="shared" si="11"/>
        <v>157795.68059439163</v>
      </c>
      <c r="G207" s="71">
        <f t="shared" si="4"/>
        <v>127.03056026728427</v>
      </c>
      <c r="H207" s="71">
        <f t="shared" si="5"/>
        <v>5693.0082501902862</v>
      </c>
      <c r="I207" s="71">
        <f t="shared" si="6"/>
        <v>46482.750010618882</v>
      </c>
      <c r="J207" s="72">
        <f t="shared" si="12"/>
        <v>0</v>
      </c>
      <c r="K207" s="70">
        <f t="shared" si="7"/>
        <v>697125335.30200005</v>
      </c>
      <c r="L207" s="73">
        <f t="shared" si="8"/>
        <v>494840.71624511812</v>
      </c>
      <c r="M207" s="73">
        <f t="shared" si="9"/>
        <v>22485122.833406873</v>
      </c>
      <c r="N207" s="71">
        <f t="shared" si="10"/>
        <v>187572662.63585177</v>
      </c>
      <c r="O207" s="1017">
        <f t="shared" si="13"/>
        <v>0</v>
      </c>
      <c r="P207" s="2078">
        <v>2303.2978699224959</v>
      </c>
      <c r="Q207" s="1801">
        <v>2946.3567535550878</v>
      </c>
      <c r="R207" s="2079">
        <f t="shared" si="14"/>
        <v>5249.6546234775833</v>
      </c>
      <c r="S207" s="1844"/>
      <c r="T207" s="1842"/>
      <c r="U207" s="1842"/>
      <c r="V207" s="1843"/>
      <c r="W207" s="1800"/>
      <c r="X207" s="1800"/>
      <c r="Y207" s="1801"/>
      <c r="Z207" s="1801"/>
      <c r="AA207" s="1801"/>
      <c r="AB207" s="1801"/>
      <c r="AC207" s="1801"/>
      <c r="AD207" s="1801"/>
      <c r="AE207" s="1801"/>
      <c r="AF207" s="1801"/>
      <c r="AG207" s="1801"/>
      <c r="AH207" s="1801"/>
      <c r="AI207" s="1801"/>
      <c r="AJ207" s="1801"/>
      <c r="AK207" s="1801"/>
      <c r="AL207" s="1802"/>
      <c r="AM207" s="1802"/>
      <c r="AN207" s="1802"/>
      <c r="AO207" s="1802"/>
      <c r="AP207" s="1802"/>
      <c r="AQ207" s="1802"/>
      <c r="AR207" s="1802"/>
      <c r="AS207" s="1802"/>
      <c r="AT207" s="1802"/>
      <c r="AU207" s="1802"/>
      <c r="AV207" s="1802"/>
      <c r="AW207" s="1802"/>
      <c r="AX207" s="1802"/>
      <c r="AY207" s="1802"/>
      <c r="AZ207" s="1802"/>
      <c r="BA207" s="1802"/>
      <c r="BB207" s="1802"/>
      <c r="BC207" s="1802"/>
      <c r="BD207" s="1802"/>
      <c r="BE207" s="1802"/>
      <c r="BF207" s="1802"/>
      <c r="BG207" s="1802"/>
      <c r="BH207" s="1802"/>
      <c r="BI207" s="1802"/>
      <c r="BJ207" s="1802"/>
      <c r="BK207" s="1802"/>
      <c r="BL207" s="1802"/>
      <c r="BM207" s="1802"/>
      <c r="BN207" s="1802"/>
      <c r="BO207" s="1802"/>
      <c r="BP207" s="1802"/>
      <c r="BQ207" s="1802"/>
      <c r="BR207" s="1802"/>
      <c r="BS207" s="1802"/>
      <c r="BT207" s="1802"/>
      <c r="BU207" s="1802"/>
      <c r="BV207" s="1802"/>
      <c r="BW207" s="1802"/>
      <c r="BX207" s="1802"/>
      <c r="BY207" s="1802"/>
      <c r="BZ207" s="1802"/>
      <c r="CA207" s="1802"/>
      <c r="CB207" s="1802"/>
      <c r="CC207" s="1802"/>
      <c r="CD207" s="1802"/>
      <c r="CE207" s="1802"/>
      <c r="CF207" s="1802"/>
      <c r="CG207" s="1802"/>
      <c r="CH207" s="1802"/>
      <c r="CI207" s="1802"/>
      <c r="CJ207" s="1802"/>
      <c r="CK207" s="1802"/>
      <c r="CL207" s="1802"/>
      <c r="CM207" s="1802"/>
      <c r="CN207" s="1802"/>
      <c r="CO207" s="1802"/>
      <c r="CP207" s="1802"/>
      <c r="CQ207" s="1802"/>
      <c r="CR207" s="1802"/>
      <c r="CS207" s="1802"/>
      <c r="CT207" s="1802"/>
      <c r="CU207" s="1802"/>
      <c r="CV207" s="1802"/>
      <c r="CW207" s="1802"/>
      <c r="CX207" s="1802"/>
      <c r="CY207" s="1802"/>
      <c r="CZ207" s="1802"/>
      <c r="DA207" s="1802"/>
      <c r="DB207" s="1802"/>
      <c r="DC207" s="1802"/>
      <c r="DD207" s="1802"/>
      <c r="DE207" s="1802"/>
      <c r="DF207" s="1802"/>
      <c r="DG207" s="1802"/>
      <c r="DH207" s="1802"/>
      <c r="DI207" s="1802"/>
      <c r="DJ207" s="1802"/>
      <c r="DK207" s="1802"/>
      <c r="DL207" s="1802"/>
      <c r="DM207" s="1802"/>
      <c r="DN207" s="1802"/>
      <c r="DO207" s="1802"/>
      <c r="DP207" s="1802"/>
      <c r="DQ207" s="1802"/>
      <c r="DR207" s="1802"/>
      <c r="DS207" s="1802"/>
      <c r="DT207" s="1802"/>
      <c r="DU207" s="1802"/>
      <c r="DV207" s="1802"/>
      <c r="DW207" s="1802"/>
      <c r="DX207" s="1802"/>
      <c r="DY207" s="1802"/>
      <c r="DZ207" s="1802"/>
      <c r="EA207" s="1802"/>
      <c r="EB207" s="1802"/>
      <c r="EC207" s="1802"/>
      <c r="ED207" s="1802"/>
      <c r="EE207" s="1802"/>
      <c r="EF207" s="1802"/>
      <c r="EG207" s="1802"/>
      <c r="EH207" s="1802"/>
      <c r="EI207" s="1802"/>
      <c r="EJ207" s="1802"/>
      <c r="EK207" s="1802"/>
      <c r="EL207" s="1802"/>
      <c r="EM207" s="1802"/>
      <c r="EN207" s="1802"/>
      <c r="EO207" s="1802"/>
      <c r="EP207" s="1802"/>
      <c r="EQ207" s="1802"/>
      <c r="ER207" s="1802"/>
      <c r="ES207" s="1802"/>
      <c r="ET207" s="1802"/>
      <c r="EU207" s="1802"/>
      <c r="EV207" s="1802"/>
      <c r="EW207" s="1802"/>
      <c r="EX207" s="1802"/>
      <c r="EY207" s="1802"/>
      <c r="EZ207" s="1802"/>
      <c r="FA207" s="1802"/>
      <c r="FB207" s="1802"/>
      <c r="FC207" s="1802"/>
      <c r="FD207" s="1802"/>
      <c r="FE207" s="1802"/>
      <c r="FF207" s="1802"/>
      <c r="FG207" s="1802"/>
      <c r="FH207" s="1802"/>
      <c r="FI207" s="1802"/>
      <c r="FJ207" s="1802"/>
      <c r="FK207" s="1802"/>
      <c r="FL207" s="1802"/>
      <c r="FM207" s="1802"/>
      <c r="FN207" s="1802"/>
      <c r="FO207" s="1802"/>
      <c r="FP207" s="1802"/>
      <c r="FQ207" s="1802"/>
      <c r="FR207" s="1802"/>
      <c r="FS207" s="1802"/>
      <c r="FT207" s="1802"/>
      <c r="FU207" s="1802"/>
      <c r="FV207" s="1802"/>
      <c r="FW207" s="1802"/>
      <c r="FX207" s="1802"/>
      <c r="FY207" s="1802"/>
      <c r="FZ207" s="1802"/>
      <c r="GA207" s="1802"/>
      <c r="GB207" s="1802"/>
      <c r="GC207" s="1802"/>
      <c r="GD207" s="1802"/>
      <c r="GE207" s="1802"/>
      <c r="GF207" s="1802"/>
      <c r="GG207" s="1802"/>
      <c r="GH207" s="1802"/>
      <c r="GI207" s="1802"/>
      <c r="GJ207" s="1802"/>
      <c r="GK207" s="1802"/>
      <c r="GL207" s="1802"/>
      <c r="GM207" s="1802"/>
      <c r="GN207" s="1802"/>
      <c r="GO207" s="1802"/>
      <c r="GP207" s="1802"/>
      <c r="GQ207" s="1802"/>
      <c r="GR207" s="1802"/>
      <c r="GS207" s="1802"/>
      <c r="GT207" s="1802"/>
      <c r="GU207" s="1802"/>
      <c r="GV207" s="1802"/>
      <c r="GW207" s="1802"/>
      <c r="GX207" s="1802"/>
      <c r="GY207" s="1802"/>
      <c r="GZ207" s="1802"/>
      <c r="HA207" s="1802"/>
      <c r="HB207" s="1802"/>
      <c r="HC207" s="1802"/>
      <c r="HD207" s="1802"/>
      <c r="HE207" s="1802"/>
      <c r="HF207" s="1802"/>
      <c r="HG207" s="1802"/>
      <c r="HH207" s="1802"/>
      <c r="HI207" s="1802"/>
      <c r="HJ207" s="1802"/>
      <c r="HK207" s="1802"/>
      <c r="HL207" s="1802"/>
      <c r="HM207" s="1802"/>
      <c r="HN207" s="1802"/>
      <c r="HO207" s="1802"/>
      <c r="HP207" s="1802"/>
      <c r="HQ207" s="1802"/>
      <c r="HR207" s="1802"/>
      <c r="HS207" s="1802"/>
      <c r="HT207" s="1802"/>
      <c r="HU207" s="1802"/>
      <c r="HV207" s="1802"/>
      <c r="HW207" s="1802"/>
      <c r="HX207" s="1802"/>
      <c r="HY207" s="1802"/>
      <c r="HZ207" s="1802"/>
      <c r="IA207" s="1802"/>
      <c r="IB207" s="1802"/>
      <c r="IC207" s="1802"/>
      <c r="ID207" s="1802"/>
      <c r="IE207" s="1802"/>
      <c r="IF207" s="1802"/>
      <c r="IG207" s="1802"/>
      <c r="IH207" s="1802"/>
      <c r="II207" s="1802"/>
      <c r="IJ207" s="1802"/>
      <c r="IK207" s="1802"/>
      <c r="IL207" s="1802"/>
      <c r="IM207" s="1802"/>
      <c r="IN207" s="1802"/>
      <c r="IO207" s="1802"/>
      <c r="IP207" s="1802"/>
      <c r="IQ207" s="1802"/>
      <c r="IR207" s="1802"/>
      <c r="IS207" s="1802"/>
      <c r="IT207" s="1802"/>
      <c r="IU207" s="1802"/>
      <c r="IV207" s="1802"/>
      <c r="IW207" s="1802"/>
    </row>
    <row r="208" spans="3:257" s="888" customFormat="1" x14ac:dyDescent="0.45">
      <c r="C208" s="67" t="s">
        <v>555</v>
      </c>
      <c r="D208" s="68" t="s">
        <v>658</v>
      </c>
      <c r="E208" s="69"/>
      <c r="F208" s="70">
        <f t="shared" si="11"/>
        <v>152212.83509205072</v>
      </c>
      <c r="G208" s="71">
        <f t="shared" si="4"/>
        <v>658.89735700541405</v>
      </c>
      <c r="H208" s="71">
        <f t="shared" si="5"/>
        <v>17373.613394694719</v>
      </c>
      <c r="I208" s="71">
        <f t="shared" si="6"/>
        <v>1316.6088870173246</v>
      </c>
      <c r="J208" s="72">
        <f t="shared" si="12"/>
        <v>4550.9310048639627</v>
      </c>
      <c r="K208" s="70">
        <f t="shared" si="7"/>
        <v>868165338.12100005</v>
      </c>
      <c r="L208" s="73">
        <f t="shared" si="8"/>
        <v>2566699.2209318457</v>
      </c>
      <c r="M208" s="73">
        <f t="shared" si="9"/>
        <v>68618876.711934596</v>
      </c>
      <c r="N208" s="71">
        <f t="shared" si="10"/>
        <v>5312935.1110131713</v>
      </c>
      <c r="O208" s="1017">
        <f t="shared" si="13"/>
        <v>7752185.3960884996</v>
      </c>
      <c r="P208" s="2078">
        <v>594.41567451468507</v>
      </c>
      <c r="Q208" s="1801">
        <v>4543.8576928512957</v>
      </c>
      <c r="R208" s="2079">
        <f t="shared" si="14"/>
        <v>5138.2733673659804</v>
      </c>
      <c r="S208" s="1844"/>
      <c r="T208" s="1842"/>
      <c r="U208" s="1842"/>
      <c r="V208" s="1843"/>
      <c r="W208" s="1800"/>
      <c r="X208" s="1800"/>
      <c r="Y208" s="1801"/>
      <c r="Z208" s="1801"/>
      <c r="AA208" s="1801"/>
      <c r="AB208" s="1801"/>
      <c r="AC208" s="1801"/>
      <c r="AD208" s="1801"/>
      <c r="AE208" s="1801"/>
      <c r="AF208" s="1801"/>
      <c r="AG208" s="1801"/>
      <c r="AH208" s="1801"/>
      <c r="AI208" s="1801"/>
      <c r="AJ208" s="1801"/>
      <c r="AK208" s="1801"/>
      <c r="AL208" s="1802"/>
      <c r="AM208" s="1802"/>
      <c r="AN208" s="1802"/>
      <c r="AO208" s="1802"/>
      <c r="AP208" s="1802"/>
      <c r="AQ208" s="1802"/>
      <c r="AR208" s="1802"/>
      <c r="AS208" s="1802"/>
      <c r="AT208" s="1802"/>
      <c r="AU208" s="1802"/>
      <c r="AV208" s="1802"/>
      <c r="AW208" s="1802"/>
      <c r="AX208" s="1802"/>
      <c r="AY208" s="1802"/>
      <c r="AZ208" s="1802"/>
      <c r="BA208" s="1802"/>
      <c r="BB208" s="1802"/>
      <c r="BC208" s="1802"/>
      <c r="BD208" s="1802"/>
      <c r="BE208" s="1802"/>
      <c r="BF208" s="1802"/>
      <c r="BG208" s="1802"/>
      <c r="BH208" s="1802"/>
      <c r="BI208" s="1802"/>
      <c r="BJ208" s="1802"/>
      <c r="BK208" s="1802"/>
      <c r="BL208" s="1802"/>
      <c r="BM208" s="1802"/>
      <c r="BN208" s="1802"/>
      <c r="BO208" s="1802"/>
      <c r="BP208" s="1802"/>
      <c r="BQ208" s="1802"/>
      <c r="BR208" s="1802"/>
      <c r="BS208" s="1802"/>
      <c r="BT208" s="1802"/>
      <c r="BU208" s="1802"/>
      <c r="BV208" s="1802"/>
      <c r="BW208" s="1802"/>
      <c r="BX208" s="1802"/>
      <c r="BY208" s="1802"/>
      <c r="BZ208" s="1802"/>
      <c r="CA208" s="1802"/>
      <c r="CB208" s="1802"/>
      <c r="CC208" s="1802"/>
      <c r="CD208" s="1802"/>
      <c r="CE208" s="1802"/>
      <c r="CF208" s="1802"/>
      <c r="CG208" s="1802"/>
      <c r="CH208" s="1802"/>
      <c r="CI208" s="1802"/>
      <c r="CJ208" s="1802"/>
      <c r="CK208" s="1802"/>
      <c r="CL208" s="1802"/>
      <c r="CM208" s="1802"/>
      <c r="CN208" s="1802"/>
      <c r="CO208" s="1802"/>
      <c r="CP208" s="1802"/>
      <c r="CQ208" s="1802"/>
      <c r="CR208" s="1802"/>
      <c r="CS208" s="1802"/>
      <c r="CT208" s="1802"/>
      <c r="CU208" s="1802"/>
      <c r="CV208" s="1802"/>
      <c r="CW208" s="1802"/>
      <c r="CX208" s="1802"/>
      <c r="CY208" s="1802"/>
      <c r="CZ208" s="1802"/>
      <c r="DA208" s="1802"/>
      <c r="DB208" s="1802"/>
      <c r="DC208" s="1802"/>
      <c r="DD208" s="1802"/>
      <c r="DE208" s="1802"/>
      <c r="DF208" s="1802"/>
      <c r="DG208" s="1802"/>
      <c r="DH208" s="1802"/>
      <c r="DI208" s="1802"/>
      <c r="DJ208" s="1802"/>
      <c r="DK208" s="1802"/>
      <c r="DL208" s="1802"/>
      <c r="DM208" s="1802"/>
      <c r="DN208" s="1802"/>
      <c r="DO208" s="1802"/>
      <c r="DP208" s="1802"/>
      <c r="DQ208" s="1802"/>
      <c r="DR208" s="1802"/>
      <c r="DS208" s="1802"/>
      <c r="DT208" s="1802"/>
      <c r="DU208" s="1802"/>
      <c r="DV208" s="1802"/>
      <c r="DW208" s="1802"/>
      <c r="DX208" s="1802"/>
      <c r="DY208" s="1802"/>
      <c r="DZ208" s="1802"/>
      <c r="EA208" s="1802"/>
      <c r="EB208" s="1802"/>
      <c r="EC208" s="1802"/>
      <c r="ED208" s="1802"/>
      <c r="EE208" s="1802"/>
      <c r="EF208" s="1802"/>
      <c r="EG208" s="1802"/>
      <c r="EH208" s="1802"/>
      <c r="EI208" s="1802"/>
      <c r="EJ208" s="1802"/>
      <c r="EK208" s="1802"/>
      <c r="EL208" s="1802"/>
      <c r="EM208" s="1802"/>
      <c r="EN208" s="1802"/>
      <c r="EO208" s="1802"/>
      <c r="EP208" s="1802"/>
      <c r="EQ208" s="1802"/>
      <c r="ER208" s="1802"/>
      <c r="ES208" s="1802"/>
      <c r="ET208" s="1802"/>
      <c r="EU208" s="1802"/>
      <c r="EV208" s="1802"/>
      <c r="EW208" s="1802"/>
      <c r="EX208" s="1802"/>
      <c r="EY208" s="1802"/>
      <c r="EZ208" s="1802"/>
      <c r="FA208" s="1802"/>
      <c r="FB208" s="1802"/>
      <c r="FC208" s="1802"/>
      <c r="FD208" s="1802"/>
      <c r="FE208" s="1802"/>
      <c r="FF208" s="1802"/>
      <c r="FG208" s="1802"/>
      <c r="FH208" s="1802"/>
      <c r="FI208" s="1802"/>
      <c r="FJ208" s="1802"/>
      <c r="FK208" s="1802"/>
      <c r="FL208" s="1802"/>
      <c r="FM208" s="1802"/>
      <c r="FN208" s="1802"/>
      <c r="FO208" s="1802"/>
      <c r="FP208" s="1802"/>
      <c r="FQ208" s="1802"/>
      <c r="FR208" s="1802"/>
      <c r="FS208" s="1802"/>
      <c r="FT208" s="1802"/>
      <c r="FU208" s="1802"/>
      <c r="FV208" s="1802"/>
      <c r="FW208" s="1802"/>
      <c r="FX208" s="1802"/>
      <c r="FY208" s="1802"/>
      <c r="FZ208" s="1802"/>
      <c r="GA208" s="1802"/>
      <c r="GB208" s="1802"/>
      <c r="GC208" s="1802"/>
      <c r="GD208" s="1802"/>
      <c r="GE208" s="1802"/>
      <c r="GF208" s="1802"/>
      <c r="GG208" s="1802"/>
      <c r="GH208" s="1802"/>
      <c r="GI208" s="1802"/>
      <c r="GJ208" s="1802"/>
      <c r="GK208" s="1802"/>
      <c r="GL208" s="1802"/>
      <c r="GM208" s="1802"/>
      <c r="GN208" s="1802"/>
      <c r="GO208" s="1802"/>
      <c r="GP208" s="1802"/>
      <c r="GQ208" s="1802"/>
      <c r="GR208" s="1802"/>
      <c r="GS208" s="1802"/>
      <c r="GT208" s="1802"/>
      <c r="GU208" s="1802"/>
      <c r="GV208" s="1802"/>
      <c r="GW208" s="1802"/>
      <c r="GX208" s="1802"/>
      <c r="GY208" s="1802"/>
      <c r="GZ208" s="1802"/>
      <c r="HA208" s="1802"/>
      <c r="HB208" s="1802"/>
      <c r="HC208" s="1802"/>
      <c r="HD208" s="1802"/>
      <c r="HE208" s="1802"/>
      <c r="HF208" s="1802"/>
      <c r="HG208" s="1802"/>
      <c r="HH208" s="1802"/>
      <c r="HI208" s="1802"/>
      <c r="HJ208" s="1802"/>
      <c r="HK208" s="1802"/>
      <c r="HL208" s="1802"/>
      <c r="HM208" s="1802"/>
      <c r="HN208" s="1802"/>
      <c r="HO208" s="1802"/>
      <c r="HP208" s="1802"/>
      <c r="HQ208" s="1802"/>
      <c r="HR208" s="1802"/>
      <c r="HS208" s="1802"/>
      <c r="HT208" s="1802"/>
      <c r="HU208" s="1802"/>
      <c r="HV208" s="1802"/>
      <c r="HW208" s="1802"/>
      <c r="HX208" s="1802"/>
      <c r="HY208" s="1802"/>
      <c r="HZ208" s="1802"/>
      <c r="IA208" s="1802"/>
      <c r="IB208" s="1802"/>
      <c r="IC208" s="1802"/>
      <c r="ID208" s="1802"/>
      <c r="IE208" s="1802"/>
      <c r="IF208" s="1802"/>
      <c r="IG208" s="1802"/>
      <c r="IH208" s="1802"/>
      <c r="II208" s="1802"/>
      <c r="IJ208" s="1802"/>
      <c r="IK208" s="1802"/>
      <c r="IL208" s="1802"/>
      <c r="IM208" s="1802"/>
      <c r="IN208" s="1802"/>
      <c r="IO208" s="1802"/>
      <c r="IP208" s="1802"/>
      <c r="IQ208" s="1802"/>
      <c r="IR208" s="1802"/>
      <c r="IS208" s="1802"/>
      <c r="IT208" s="1802"/>
      <c r="IU208" s="1802"/>
      <c r="IV208" s="1802"/>
      <c r="IW208" s="1802"/>
    </row>
    <row r="209" spans="3:257" s="888" customFormat="1" x14ac:dyDescent="0.45">
      <c r="C209" s="67" t="s">
        <v>556</v>
      </c>
      <c r="D209" s="68" t="s">
        <v>659</v>
      </c>
      <c r="E209" s="69"/>
      <c r="F209" s="70">
        <f t="shared" si="11"/>
        <v>108676.83218553443</v>
      </c>
      <c r="G209" s="71">
        <f t="shared" si="4"/>
        <v>0</v>
      </c>
      <c r="H209" s="71">
        <f t="shared" si="5"/>
        <v>2584.8317843517812</v>
      </c>
      <c r="I209" s="71">
        <f t="shared" si="6"/>
        <v>44.182085522614841</v>
      </c>
      <c r="J209" s="72">
        <f t="shared" si="12"/>
        <v>0</v>
      </c>
      <c r="K209" s="70">
        <f t="shared" si="7"/>
        <v>671298417.91699994</v>
      </c>
      <c r="L209" s="73">
        <f t="shared" si="8"/>
        <v>0</v>
      </c>
      <c r="M209" s="73">
        <f t="shared" si="9"/>
        <v>10209059.537705997</v>
      </c>
      <c r="N209" s="71">
        <f t="shared" si="10"/>
        <v>178288.75056636188</v>
      </c>
      <c r="O209" s="1017">
        <f t="shared" si="13"/>
        <v>0</v>
      </c>
      <c r="P209" s="2078">
        <v>3040.2752059770305</v>
      </c>
      <c r="Q209" s="1801">
        <v>2928.0632290839344</v>
      </c>
      <c r="R209" s="2079">
        <f t="shared" si="14"/>
        <v>5968.3384350609649</v>
      </c>
      <c r="S209" s="1844"/>
      <c r="T209" s="1842"/>
      <c r="U209" s="1842"/>
      <c r="V209" s="1843"/>
      <c r="W209" s="1800"/>
      <c r="X209" s="1800"/>
      <c r="Y209" s="1801"/>
      <c r="Z209" s="1801"/>
      <c r="AA209" s="1801"/>
      <c r="AB209" s="1801"/>
      <c r="AC209" s="1801"/>
      <c r="AD209" s="1801"/>
      <c r="AE209" s="1801"/>
      <c r="AF209" s="1801"/>
      <c r="AG209" s="1801"/>
      <c r="AH209" s="1801"/>
      <c r="AI209" s="1801"/>
      <c r="AJ209" s="1801"/>
      <c r="AK209" s="1801"/>
      <c r="AL209" s="1802"/>
      <c r="AM209" s="1802"/>
      <c r="AN209" s="1802"/>
      <c r="AO209" s="1802"/>
      <c r="AP209" s="1802"/>
      <c r="AQ209" s="1802"/>
      <c r="AR209" s="1802"/>
      <c r="AS209" s="1802"/>
      <c r="AT209" s="1802"/>
      <c r="AU209" s="1802"/>
      <c r="AV209" s="1802"/>
      <c r="AW209" s="1802"/>
      <c r="AX209" s="1802"/>
      <c r="AY209" s="1802"/>
      <c r="AZ209" s="1802"/>
      <c r="BA209" s="1802"/>
      <c r="BB209" s="1802"/>
      <c r="BC209" s="1802"/>
      <c r="BD209" s="1802"/>
      <c r="BE209" s="1802"/>
      <c r="BF209" s="1802"/>
      <c r="BG209" s="1802"/>
      <c r="BH209" s="1802"/>
      <c r="BI209" s="1802"/>
      <c r="BJ209" s="1802"/>
      <c r="BK209" s="1802"/>
      <c r="BL209" s="1802"/>
      <c r="BM209" s="1802"/>
      <c r="BN209" s="1802"/>
      <c r="BO209" s="1802"/>
      <c r="BP209" s="1802"/>
      <c r="BQ209" s="1802"/>
      <c r="BR209" s="1802"/>
      <c r="BS209" s="1802"/>
      <c r="BT209" s="1802"/>
      <c r="BU209" s="1802"/>
      <c r="BV209" s="1802"/>
      <c r="BW209" s="1802"/>
      <c r="BX209" s="1802"/>
      <c r="BY209" s="1802"/>
      <c r="BZ209" s="1802"/>
      <c r="CA209" s="1802"/>
      <c r="CB209" s="1802"/>
      <c r="CC209" s="1802"/>
      <c r="CD209" s="1802"/>
      <c r="CE209" s="1802"/>
      <c r="CF209" s="1802"/>
      <c r="CG209" s="1802"/>
      <c r="CH209" s="1802"/>
      <c r="CI209" s="1802"/>
      <c r="CJ209" s="1802"/>
      <c r="CK209" s="1802"/>
      <c r="CL209" s="1802"/>
      <c r="CM209" s="1802"/>
      <c r="CN209" s="1802"/>
      <c r="CO209" s="1802"/>
      <c r="CP209" s="1802"/>
      <c r="CQ209" s="1802"/>
      <c r="CR209" s="1802"/>
      <c r="CS209" s="1802"/>
      <c r="CT209" s="1802"/>
      <c r="CU209" s="1802"/>
      <c r="CV209" s="1802"/>
      <c r="CW209" s="1802"/>
      <c r="CX209" s="1802"/>
      <c r="CY209" s="1802"/>
      <c r="CZ209" s="1802"/>
      <c r="DA209" s="1802"/>
      <c r="DB209" s="1802"/>
      <c r="DC209" s="1802"/>
      <c r="DD209" s="1802"/>
      <c r="DE209" s="1802"/>
      <c r="DF209" s="1802"/>
      <c r="DG209" s="1802"/>
      <c r="DH209" s="1802"/>
      <c r="DI209" s="1802"/>
      <c r="DJ209" s="1802"/>
      <c r="DK209" s="1802"/>
      <c r="DL209" s="1802"/>
      <c r="DM209" s="1802"/>
      <c r="DN209" s="1802"/>
      <c r="DO209" s="1802"/>
      <c r="DP209" s="1802"/>
      <c r="DQ209" s="1802"/>
      <c r="DR209" s="1802"/>
      <c r="DS209" s="1802"/>
      <c r="DT209" s="1802"/>
      <c r="DU209" s="1802"/>
      <c r="DV209" s="1802"/>
      <c r="DW209" s="1802"/>
      <c r="DX209" s="1802"/>
      <c r="DY209" s="1802"/>
      <c r="DZ209" s="1802"/>
      <c r="EA209" s="1802"/>
      <c r="EB209" s="1802"/>
      <c r="EC209" s="1802"/>
      <c r="ED209" s="1802"/>
      <c r="EE209" s="1802"/>
      <c r="EF209" s="1802"/>
      <c r="EG209" s="1802"/>
      <c r="EH209" s="1802"/>
      <c r="EI209" s="1802"/>
      <c r="EJ209" s="1802"/>
      <c r="EK209" s="1802"/>
      <c r="EL209" s="1802"/>
      <c r="EM209" s="1802"/>
      <c r="EN209" s="1802"/>
      <c r="EO209" s="1802"/>
      <c r="EP209" s="1802"/>
      <c r="EQ209" s="1802"/>
      <c r="ER209" s="1802"/>
      <c r="ES209" s="1802"/>
      <c r="ET209" s="1802"/>
      <c r="EU209" s="1802"/>
      <c r="EV209" s="1802"/>
      <c r="EW209" s="1802"/>
      <c r="EX209" s="1802"/>
      <c r="EY209" s="1802"/>
      <c r="EZ209" s="1802"/>
      <c r="FA209" s="1802"/>
      <c r="FB209" s="1802"/>
      <c r="FC209" s="1802"/>
      <c r="FD209" s="1802"/>
      <c r="FE209" s="1802"/>
      <c r="FF209" s="1802"/>
      <c r="FG209" s="1802"/>
      <c r="FH209" s="1802"/>
      <c r="FI209" s="1802"/>
      <c r="FJ209" s="1802"/>
      <c r="FK209" s="1802"/>
      <c r="FL209" s="1802"/>
      <c r="FM209" s="1802"/>
      <c r="FN209" s="1802"/>
      <c r="FO209" s="1802"/>
      <c r="FP209" s="1802"/>
      <c r="FQ209" s="1802"/>
      <c r="FR209" s="1802"/>
      <c r="FS209" s="1802"/>
      <c r="FT209" s="1802"/>
      <c r="FU209" s="1802"/>
      <c r="FV209" s="1802"/>
      <c r="FW209" s="1802"/>
      <c r="FX209" s="1802"/>
      <c r="FY209" s="1802"/>
      <c r="FZ209" s="1802"/>
      <c r="GA209" s="1802"/>
      <c r="GB209" s="1802"/>
      <c r="GC209" s="1802"/>
      <c r="GD209" s="1802"/>
      <c r="GE209" s="1802"/>
      <c r="GF209" s="1802"/>
      <c r="GG209" s="1802"/>
      <c r="GH209" s="1802"/>
      <c r="GI209" s="1802"/>
      <c r="GJ209" s="1802"/>
      <c r="GK209" s="1802"/>
      <c r="GL209" s="1802"/>
      <c r="GM209" s="1802"/>
      <c r="GN209" s="1802"/>
      <c r="GO209" s="1802"/>
      <c r="GP209" s="1802"/>
      <c r="GQ209" s="1802"/>
      <c r="GR209" s="1802"/>
      <c r="GS209" s="1802"/>
      <c r="GT209" s="1802"/>
      <c r="GU209" s="1802"/>
      <c r="GV209" s="1802"/>
      <c r="GW209" s="1802"/>
      <c r="GX209" s="1802"/>
      <c r="GY209" s="1802"/>
      <c r="GZ209" s="1802"/>
      <c r="HA209" s="1802"/>
      <c r="HB209" s="1802"/>
      <c r="HC209" s="1802"/>
      <c r="HD209" s="1802"/>
      <c r="HE209" s="1802"/>
      <c r="HF209" s="1802"/>
      <c r="HG209" s="1802"/>
      <c r="HH209" s="1802"/>
      <c r="HI209" s="1802"/>
      <c r="HJ209" s="1802"/>
      <c r="HK209" s="1802"/>
      <c r="HL209" s="1802"/>
      <c r="HM209" s="1802"/>
      <c r="HN209" s="1802"/>
      <c r="HO209" s="1802"/>
      <c r="HP209" s="1802"/>
      <c r="HQ209" s="1802"/>
      <c r="HR209" s="1802"/>
      <c r="HS209" s="1802"/>
      <c r="HT209" s="1802"/>
      <c r="HU209" s="1802"/>
      <c r="HV209" s="1802"/>
      <c r="HW209" s="1802"/>
      <c r="HX209" s="1802"/>
      <c r="HY209" s="1802"/>
      <c r="HZ209" s="1802"/>
      <c r="IA209" s="1802"/>
      <c r="IB209" s="1802"/>
      <c r="IC209" s="1802"/>
      <c r="ID209" s="1802"/>
      <c r="IE209" s="1802"/>
      <c r="IF209" s="1802"/>
      <c r="IG209" s="1802"/>
      <c r="IH209" s="1802"/>
      <c r="II209" s="1802"/>
      <c r="IJ209" s="1802"/>
      <c r="IK209" s="1802"/>
      <c r="IL209" s="1802"/>
      <c r="IM209" s="1802"/>
      <c r="IN209" s="1802"/>
      <c r="IO209" s="1802"/>
      <c r="IP209" s="1802"/>
      <c r="IQ209" s="1802"/>
      <c r="IR209" s="1802"/>
      <c r="IS209" s="1802"/>
      <c r="IT209" s="1802"/>
      <c r="IU209" s="1802"/>
      <c r="IV209" s="1802"/>
      <c r="IW209" s="1802"/>
    </row>
    <row r="210" spans="3:257" s="888" customFormat="1" x14ac:dyDescent="0.45">
      <c r="C210" s="67" t="s">
        <v>557</v>
      </c>
      <c r="D210" s="68" t="s">
        <v>660</v>
      </c>
      <c r="E210" s="69"/>
      <c r="F210" s="70">
        <f t="shared" si="11"/>
        <v>151897.74546817859</v>
      </c>
      <c r="G210" s="71">
        <f t="shared" si="4"/>
        <v>1.7830016969268656</v>
      </c>
      <c r="H210" s="71">
        <f t="shared" si="5"/>
        <v>24306.280154556574</v>
      </c>
      <c r="I210" s="71">
        <f t="shared" si="6"/>
        <v>13073.829923436364</v>
      </c>
      <c r="J210" s="72">
        <f t="shared" si="12"/>
        <v>9916.4502219082515</v>
      </c>
      <c r="K210" s="70">
        <f t="shared" si="7"/>
        <v>476824489.67699999</v>
      </c>
      <c r="L210" s="73">
        <f t="shared" si="8"/>
        <v>6945.5872265469434</v>
      </c>
      <c r="M210" s="73">
        <f t="shared" si="9"/>
        <v>96000158.594559714</v>
      </c>
      <c r="N210" s="71">
        <f t="shared" si="10"/>
        <v>52757056.951815724</v>
      </c>
      <c r="O210" s="1017">
        <f t="shared" si="13"/>
        <v>16892174.195379913</v>
      </c>
      <c r="P210" s="2078">
        <v>2504.7710613580898</v>
      </c>
      <c r="Q210" s="1801">
        <v>4438.6897931071708</v>
      </c>
      <c r="R210" s="2079">
        <f t="shared" si="14"/>
        <v>6943.4608544652601</v>
      </c>
      <c r="S210" s="1844"/>
      <c r="T210" s="1842"/>
      <c r="U210" s="1842"/>
      <c r="V210" s="1843"/>
      <c r="W210" s="1800"/>
      <c r="X210" s="1800"/>
      <c r="Y210" s="1801"/>
      <c r="Z210" s="1801"/>
      <c r="AA210" s="1801"/>
      <c r="AB210" s="1801"/>
      <c r="AC210" s="1801"/>
      <c r="AD210" s="1801"/>
      <c r="AE210" s="1801"/>
      <c r="AF210" s="1801"/>
      <c r="AG210" s="1801"/>
      <c r="AH210" s="1801"/>
      <c r="AI210" s="1801"/>
      <c r="AJ210" s="1801"/>
      <c r="AK210" s="1801"/>
      <c r="AL210" s="1802"/>
      <c r="AM210" s="1802"/>
      <c r="AN210" s="1802"/>
      <c r="AO210" s="1802"/>
      <c r="AP210" s="1802"/>
      <c r="AQ210" s="1802"/>
      <c r="AR210" s="1802"/>
      <c r="AS210" s="1802"/>
      <c r="AT210" s="1802"/>
      <c r="AU210" s="1802"/>
      <c r="AV210" s="1802"/>
      <c r="AW210" s="1802"/>
      <c r="AX210" s="1802"/>
      <c r="AY210" s="1802"/>
      <c r="AZ210" s="1802"/>
      <c r="BA210" s="1802"/>
      <c r="BB210" s="1802"/>
      <c r="BC210" s="1802"/>
      <c r="BD210" s="1802"/>
      <c r="BE210" s="1802"/>
      <c r="BF210" s="1802"/>
      <c r="BG210" s="1802"/>
      <c r="BH210" s="1802"/>
      <c r="BI210" s="1802"/>
      <c r="BJ210" s="1802"/>
      <c r="BK210" s="1802"/>
      <c r="BL210" s="1802"/>
      <c r="BM210" s="1802"/>
      <c r="BN210" s="1802"/>
      <c r="BO210" s="1802"/>
      <c r="BP210" s="1802"/>
      <c r="BQ210" s="1802"/>
      <c r="BR210" s="1802"/>
      <c r="BS210" s="1802"/>
      <c r="BT210" s="1802"/>
      <c r="BU210" s="1802"/>
      <c r="BV210" s="1802"/>
      <c r="BW210" s="1802"/>
      <c r="BX210" s="1802"/>
      <c r="BY210" s="1802"/>
      <c r="BZ210" s="1802"/>
      <c r="CA210" s="1802"/>
      <c r="CB210" s="1802"/>
      <c r="CC210" s="1802"/>
      <c r="CD210" s="1802"/>
      <c r="CE210" s="1802"/>
      <c r="CF210" s="1802"/>
      <c r="CG210" s="1802"/>
      <c r="CH210" s="1802"/>
      <c r="CI210" s="1802"/>
      <c r="CJ210" s="1802"/>
      <c r="CK210" s="1802"/>
      <c r="CL210" s="1802"/>
      <c r="CM210" s="1802"/>
      <c r="CN210" s="1802"/>
      <c r="CO210" s="1802"/>
      <c r="CP210" s="1802"/>
      <c r="CQ210" s="1802"/>
      <c r="CR210" s="1802"/>
      <c r="CS210" s="1802"/>
      <c r="CT210" s="1802"/>
      <c r="CU210" s="1802"/>
      <c r="CV210" s="1802"/>
      <c r="CW210" s="1802"/>
      <c r="CX210" s="1802"/>
      <c r="CY210" s="1802"/>
      <c r="CZ210" s="1802"/>
      <c r="DA210" s="1802"/>
      <c r="DB210" s="1802"/>
      <c r="DC210" s="1802"/>
      <c r="DD210" s="1802"/>
      <c r="DE210" s="1802"/>
      <c r="DF210" s="1802"/>
      <c r="DG210" s="1802"/>
      <c r="DH210" s="1802"/>
      <c r="DI210" s="1802"/>
      <c r="DJ210" s="1802"/>
      <c r="DK210" s="1802"/>
      <c r="DL210" s="1802"/>
      <c r="DM210" s="1802"/>
      <c r="DN210" s="1802"/>
      <c r="DO210" s="1802"/>
      <c r="DP210" s="1802"/>
      <c r="DQ210" s="1802"/>
      <c r="DR210" s="1802"/>
      <c r="DS210" s="1802"/>
      <c r="DT210" s="1802"/>
      <c r="DU210" s="1802"/>
      <c r="DV210" s="1802"/>
      <c r="DW210" s="1802"/>
      <c r="DX210" s="1802"/>
      <c r="DY210" s="1802"/>
      <c r="DZ210" s="1802"/>
      <c r="EA210" s="1802"/>
      <c r="EB210" s="1802"/>
      <c r="EC210" s="1802"/>
      <c r="ED210" s="1802"/>
      <c r="EE210" s="1802"/>
      <c r="EF210" s="1802"/>
      <c r="EG210" s="1802"/>
      <c r="EH210" s="1802"/>
      <c r="EI210" s="1802"/>
      <c r="EJ210" s="1802"/>
      <c r="EK210" s="1802"/>
      <c r="EL210" s="1802"/>
      <c r="EM210" s="1802"/>
      <c r="EN210" s="1802"/>
      <c r="EO210" s="1802"/>
      <c r="EP210" s="1802"/>
      <c r="EQ210" s="1802"/>
      <c r="ER210" s="1802"/>
      <c r="ES210" s="1802"/>
      <c r="ET210" s="1802"/>
      <c r="EU210" s="1802"/>
      <c r="EV210" s="1802"/>
      <c r="EW210" s="1802"/>
      <c r="EX210" s="1802"/>
      <c r="EY210" s="1802"/>
      <c r="EZ210" s="1802"/>
      <c r="FA210" s="1802"/>
      <c r="FB210" s="1802"/>
      <c r="FC210" s="1802"/>
      <c r="FD210" s="1802"/>
      <c r="FE210" s="1802"/>
      <c r="FF210" s="1802"/>
      <c r="FG210" s="1802"/>
      <c r="FH210" s="1802"/>
      <c r="FI210" s="1802"/>
      <c r="FJ210" s="1802"/>
      <c r="FK210" s="1802"/>
      <c r="FL210" s="1802"/>
      <c r="FM210" s="1802"/>
      <c r="FN210" s="1802"/>
      <c r="FO210" s="1802"/>
      <c r="FP210" s="1802"/>
      <c r="FQ210" s="1802"/>
      <c r="FR210" s="1802"/>
      <c r="FS210" s="1802"/>
      <c r="FT210" s="1802"/>
      <c r="FU210" s="1802"/>
      <c r="FV210" s="1802"/>
      <c r="FW210" s="1802"/>
      <c r="FX210" s="1802"/>
      <c r="FY210" s="1802"/>
      <c r="FZ210" s="1802"/>
      <c r="GA210" s="1802"/>
      <c r="GB210" s="1802"/>
      <c r="GC210" s="1802"/>
      <c r="GD210" s="1802"/>
      <c r="GE210" s="1802"/>
      <c r="GF210" s="1802"/>
      <c r="GG210" s="1802"/>
      <c r="GH210" s="1802"/>
      <c r="GI210" s="1802"/>
      <c r="GJ210" s="1802"/>
      <c r="GK210" s="1802"/>
      <c r="GL210" s="1802"/>
      <c r="GM210" s="1802"/>
      <c r="GN210" s="1802"/>
      <c r="GO210" s="1802"/>
      <c r="GP210" s="1802"/>
      <c r="GQ210" s="1802"/>
      <c r="GR210" s="1802"/>
      <c r="GS210" s="1802"/>
      <c r="GT210" s="1802"/>
      <c r="GU210" s="1802"/>
      <c r="GV210" s="1802"/>
      <c r="GW210" s="1802"/>
      <c r="GX210" s="1802"/>
      <c r="GY210" s="1802"/>
      <c r="GZ210" s="1802"/>
      <c r="HA210" s="1802"/>
      <c r="HB210" s="1802"/>
      <c r="HC210" s="1802"/>
      <c r="HD210" s="1802"/>
      <c r="HE210" s="1802"/>
      <c r="HF210" s="1802"/>
      <c r="HG210" s="1802"/>
      <c r="HH210" s="1802"/>
      <c r="HI210" s="1802"/>
      <c r="HJ210" s="1802"/>
      <c r="HK210" s="1802"/>
      <c r="HL210" s="1802"/>
      <c r="HM210" s="1802"/>
      <c r="HN210" s="1802"/>
      <c r="HO210" s="1802"/>
      <c r="HP210" s="1802"/>
      <c r="HQ210" s="1802"/>
      <c r="HR210" s="1802"/>
      <c r="HS210" s="1802"/>
      <c r="HT210" s="1802"/>
      <c r="HU210" s="1802"/>
      <c r="HV210" s="1802"/>
      <c r="HW210" s="1802"/>
      <c r="HX210" s="1802"/>
      <c r="HY210" s="1802"/>
      <c r="HZ210" s="1802"/>
      <c r="IA210" s="1802"/>
      <c r="IB210" s="1802"/>
      <c r="IC210" s="1802"/>
      <c r="ID210" s="1802"/>
      <c r="IE210" s="1802"/>
      <c r="IF210" s="1802"/>
      <c r="IG210" s="1802"/>
      <c r="IH210" s="1802"/>
      <c r="II210" s="1802"/>
      <c r="IJ210" s="1802"/>
      <c r="IK210" s="1802"/>
      <c r="IL210" s="1802"/>
      <c r="IM210" s="1802"/>
      <c r="IN210" s="1802"/>
      <c r="IO210" s="1802"/>
      <c r="IP210" s="1802"/>
      <c r="IQ210" s="1802"/>
      <c r="IR210" s="1802"/>
      <c r="IS210" s="1802"/>
      <c r="IT210" s="1802"/>
      <c r="IU210" s="1802"/>
      <c r="IV210" s="1802"/>
      <c r="IW210" s="1802"/>
    </row>
    <row r="211" spans="3:257" s="888" customFormat="1" x14ac:dyDescent="0.45">
      <c r="C211" s="67" t="s">
        <v>558</v>
      </c>
      <c r="D211" s="68" t="s">
        <v>661</v>
      </c>
      <c r="E211" s="69"/>
      <c r="F211" s="70">
        <f t="shared" si="11"/>
        <v>169089.06586425792</v>
      </c>
      <c r="G211" s="71">
        <f t="shared" si="4"/>
        <v>1952.1033418352245</v>
      </c>
      <c r="H211" s="71">
        <f t="shared" si="5"/>
        <v>7994.4057287696269</v>
      </c>
      <c r="I211" s="71">
        <f t="shared" si="6"/>
        <v>605.49144992699837</v>
      </c>
      <c r="J211" s="72">
        <f t="shared" si="12"/>
        <v>0</v>
      </c>
      <c r="K211" s="70">
        <f t="shared" si="7"/>
        <v>972916512.4849999</v>
      </c>
      <c r="L211" s="73">
        <f t="shared" si="8"/>
        <v>7604313.5905700009</v>
      </c>
      <c r="M211" s="73">
        <f t="shared" si="9"/>
        <v>31574729.36833851</v>
      </c>
      <c r="N211" s="71">
        <f t="shared" si="10"/>
        <v>2443350.3491102387</v>
      </c>
      <c r="O211" s="1017">
        <f t="shared" si="13"/>
        <v>0</v>
      </c>
      <c r="P211" s="2078">
        <v>812.34944622971534</v>
      </c>
      <c r="Q211" s="1801">
        <v>2816.1239039898592</v>
      </c>
      <c r="R211" s="2079">
        <f t="shared" si="14"/>
        <v>3628.4733502195745</v>
      </c>
      <c r="S211" s="1844"/>
      <c r="T211" s="1842"/>
      <c r="U211" s="1842"/>
      <c r="V211" s="1843"/>
      <c r="W211" s="1800"/>
      <c r="X211" s="1800"/>
      <c r="Y211" s="1801"/>
      <c r="Z211" s="1801"/>
      <c r="AA211" s="1801"/>
      <c r="AB211" s="1801"/>
      <c r="AC211" s="1801"/>
      <c r="AD211" s="1801"/>
      <c r="AE211" s="1801"/>
      <c r="AF211" s="1801"/>
      <c r="AG211" s="1801"/>
      <c r="AH211" s="1801"/>
      <c r="AI211" s="1801"/>
      <c r="AJ211" s="1801"/>
      <c r="AK211" s="1801"/>
      <c r="AL211" s="1802"/>
      <c r="AM211" s="1802"/>
      <c r="AN211" s="1802"/>
      <c r="AO211" s="1802"/>
      <c r="AP211" s="1802"/>
      <c r="AQ211" s="1802"/>
      <c r="AR211" s="1802"/>
      <c r="AS211" s="1802"/>
      <c r="AT211" s="1802"/>
      <c r="AU211" s="1802"/>
      <c r="AV211" s="1802"/>
      <c r="AW211" s="1802"/>
      <c r="AX211" s="1802"/>
      <c r="AY211" s="1802"/>
      <c r="AZ211" s="1802"/>
      <c r="BA211" s="1802"/>
      <c r="BB211" s="1802"/>
      <c r="BC211" s="1802"/>
      <c r="BD211" s="1802"/>
      <c r="BE211" s="1802"/>
      <c r="BF211" s="1802"/>
      <c r="BG211" s="1802"/>
      <c r="BH211" s="1802"/>
      <c r="BI211" s="1802"/>
      <c r="BJ211" s="1802"/>
      <c r="BK211" s="1802"/>
      <c r="BL211" s="1802"/>
      <c r="BM211" s="1802"/>
      <c r="BN211" s="1802"/>
      <c r="BO211" s="1802"/>
      <c r="BP211" s="1802"/>
      <c r="BQ211" s="1802"/>
      <c r="BR211" s="1802"/>
      <c r="BS211" s="1802"/>
      <c r="BT211" s="1802"/>
      <c r="BU211" s="1802"/>
      <c r="BV211" s="1802"/>
      <c r="BW211" s="1802"/>
      <c r="BX211" s="1802"/>
      <c r="BY211" s="1802"/>
      <c r="BZ211" s="1802"/>
      <c r="CA211" s="1802"/>
      <c r="CB211" s="1802"/>
      <c r="CC211" s="1802"/>
      <c r="CD211" s="1802"/>
      <c r="CE211" s="1802"/>
      <c r="CF211" s="1802"/>
      <c r="CG211" s="1802"/>
      <c r="CH211" s="1802"/>
      <c r="CI211" s="1802"/>
      <c r="CJ211" s="1802"/>
      <c r="CK211" s="1802"/>
      <c r="CL211" s="1802"/>
      <c r="CM211" s="1802"/>
      <c r="CN211" s="1802"/>
      <c r="CO211" s="1802"/>
      <c r="CP211" s="1802"/>
      <c r="CQ211" s="1802"/>
      <c r="CR211" s="1802"/>
      <c r="CS211" s="1802"/>
      <c r="CT211" s="1802"/>
      <c r="CU211" s="1802"/>
      <c r="CV211" s="1802"/>
      <c r="CW211" s="1802"/>
      <c r="CX211" s="1802"/>
      <c r="CY211" s="1802"/>
      <c r="CZ211" s="1802"/>
      <c r="DA211" s="1802"/>
      <c r="DB211" s="1802"/>
      <c r="DC211" s="1802"/>
      <c r="DD211" s="1802"/>
      <c r="DE211" s="1802"/>
      <c r="DF211" s="1802"/>
      <c r="DG211" s="1802"/>
      <c r="DH211" s="1802"/>
      <c r="DI211" s="1802"/>
      <c r="DJ211" s="1802"/>
      <c r="DK211" s="1802"/>
      <c r="DL211" s="1802"/>
      <c r="DM211" s="1802"/>
      <c r="DN211" s="1802"/>
      <c r="DO211" s="1802"/>
      <c r="DP211" s="1802"/>
      <c r="DQ211" s="1802"/>
      <c r="DR211" s="1802"/>
      <c r="DS211" s="1802"/>
      <c r="DT211" s="1802"/>
      <c r="DU211" s="1802"/>
      <c r="DV211" s="1802"/>
      <c r="DW211" s="1802"/>
      <c r="DX211" s="1802"/>
      <c r="DY211" s="1802"/>
      <c r="DZ211" s="1802"/>
      <c r="EA211" s="1802"/>
      <c r="EB211" s="1802"/>
      <c r="EC211" s="1802"/>
      <c r="ED211" s="1802"/>
      <c r="EE211" s="1802"/>
      <c r="EF211" s="1802"/>
      <c r="EG211" s="1802"/>
      <c r="EH211" s="1802"/>
      <c r="EI211" s="1802"/>
      <c r="EJ211" s="1802"/>
      <c r="EK211" s="1802"/>
      <c r="EL211" s="1802"/>
      <c r="EM211" s="1802"/>
      <c r="EN211" s="1802"/>
      <c r="EO211" s="1802"/>
      <c r="EP211" s="1802"/>
      <c r="EQ211" s="1802"/>
      <c r="ER211" s="1802"/>
      <c r="ES211" s="1802"/>
      <c r="ET211" s="1802"/>
      <c r="EU211" s="1802"/>
      <c r="EV211" s="1802"/>
      <c r="EW211" s="1802"/>
      <c r="EX211" s="1802"/>
      <c r="EY211" s="1802"/>
      <c r="EZ211" s="1802"/>
      <c r="FA211" s="1802"/>
      <c r="FB211" s="1802"/>
      <c r="FC211" s="1802"/>
      <c r="FD211" s="1802"/>
      <c r="FE211" s="1802"/>
      <c r="FF211" s="1802"/>
      <c r="FG211" s="1802"/>
      <c r="FH211" s="1802"/>
      <c r="FI211" s="1802"/>
      <c r="FJ211" s="1802"/>
      <c r="FK211" s="1802"/>
      <c r="FL211" s="1802"/>
      <c r="FM211" s="1802"/>
      <c r="FN211" s="1802"/>
      <c r="FO211" s="1802"/>
      <c r="FP211" s="1802"/>
      <c r="FQ211" s="1802"/>
      <c r="FR211" s="1802"/>
      <c r="FS211" s="1802"/>
      <c r="FT211" s="1802"/>
      <c r="FU211" s="1802"/>
      <c r="FV211" s="1802"/>
      <c r="FW211" s="1802"/>
      <c r="FX211" s="1802"/>
      <c r="FY211" s="1802"/>
      <c r="FZ211" s="1802"/>
      <c r="GA211" s="1802"/>
      <c r="GB211" s="1802"/>
      <c r="GC211" s="1802"/>
      <c r="GD211" s="1802"/>
      <c r="GE211" s="1802"/>
      <c r="GF211" s="1802"/>
      <c r="GG211" s="1802"/>
      <c r="GH211" s="1802"/>
      <c r="GI211" s="1802"/>
      <c r="GJ211" s="1802"/>
      <c r="GK211" s="1802"/>
      <c r="GL211" s="1802"/>
      <c r="GM211" s="1802"/>
      <c r="GN211" s="1802"/>
      <c r="GO211" s="1802"/>
      <c r="GP211" s="1802"/>
      <c r="GQ211" s="1802"/>
      <c r="GR211" s="1802"/>
      <c r="GS211" s="1802"/>
      <c r="GT211" s="1802"/>
      <c r="GU211" s="1802"/>
      <c r="GV211" s="1802"/>
      <c r="GW211" s="1802"/>
      <c r="GX211" s="1802"/>
      <c r="GY211" s="1802"/>
      <c r="GZ211" s="1802"/>
      <c r="HA211" s="1802"/>
      <c r="HB211" s="1802"/>
      <c r="HC211" s="1802"/>
      <c r="HD211" s="1802"/>
      <c r="HE211" s="1802"/>
      <c r="HF211" s="1802"/>
      <c r="HG211" s="1802"/>
      <c r="HH211" s="1802"/>
      <c r="HI211" s="1802"/>
      <c r="HJ211" s="1802"/>
      <c r="HK211" s="1802"/>
      <c r="HL211" s="1802"/>
      <c r="HM211" s="1802"/>
      <c r="HN211" s="1802"/>
      <c r="HO211" s="1802"/>
      <c r="HP211" s="1802"/>
      <c r="HQ211" s="1802"/>
      <c r="HR211" s="1802"/>
      <c r="HS211" s="1802"/>
      <c r="HT211" s="1802"/>
      <c r="HU211" s="1802"/>
      <c r="HV211" s="1802"/>
      <c r="HW211" s="1802"/>
      <c r="HX211" s="1802"/>
      <c r="HY211" s="1802"/>
      <c r="HZ211" s="1802"/>
      <c r="IA211" s="1802"/>
      <c r="IB211" s="1802"/>
      <c r="IC211" s="1802"/>
      <c r="ID211" s="1802"/>
      <c r="IE211" s="1802"/>
      <c r="IF211" s="1802"/>
      <c r="IG211" s="1802"/>
      <c r="IH211" s="1802"/>
      <c r="II211" s="1802"/>
      <c r="IJ211" s="1802"/>
      <c r="IK211" s="1802"/>
      <c r="IL211" s="1802"/>
      <c r="IM211" s="1802"/>
      <c r="IN211" s="1802"/>
      <c r="IO211" s="1802"/>
      <c r="IP211" s="1802"/>
      <c r="IQ211" s="1802"/>
      <c r="IR211" s="1802"/>
      <c r="IS211" s="1802"/>
      <c r="IT211" s="1802"/>
      <c r="IU211" s="1802"/>
      <c r="IV211" s="1802"/>
      <c r="IW211" s="1802"/>
    </row>
    <row r="212" spans="3:257" s="888" customFormat="1" x14ac:dyDescent="0.45">
      <c r="C212" s="67" t="s">
        <v>559</v>
      </c>
      <c r="D212" s="68" t="s">
        <v>662</v>
      </c>
      <c r="E212" s="69"/>
      <c r="F212" s="70">
        <f t="shared" si="11"/>
        <v>159243.99126519868</v>
      </c>
      <c r="G212" s="71">
        <f t="shared" si="4"/>
        <v>1352.944344206182</v>
      </c>
      <c r="H212" s="71">
        <f t="shared" si="5"/>
        <v>24496.503873162084</v>
      </c>
      <c r="I212" s="71">
        <f t="shared" si="6"/>
        <v>14141.434627016601</v>
      </c>
      <c r="J212" s="72">
        <f t="shared" si="12"/>
        <v>6.5582187728466828</v>
      </c>
      <c r="K212" s="70">
        <f t="shared" si="7"/>
        <v>436848272.67000002</v>
      </c>
      <c r="L212" s="73">
        <f t="shared" si="8"/>
        <v>5270321.9360608552</v>
      </c>
      <c r="M212" s="73">
        <f t="shared" si="9"/>
        <v>96751466.776579201</v>
      </c>
      <c r="N212" s="71">
        <f t="shared" si="10"/>
        <v>57065181.080602355</v>
      </c>
      <c r="O212" s="1017">
        <f t="shared" si="13"/>
        <v>11171.329212605189</v>
      </c>
      <c r="P212" s="2078">
        <v>2019.679413373161</v>
      </c>
      <c r="Q212" s="1801">
        <v>3643.0851217678928</v>
      </c>
      <c r="R212" s="2079">
        <f t="shared" si="14"/>
        <v>5662.7645351410538</v>
      </c>
      <c r="S212" s="1844"/>
      <c r="T212" s="1842"/>
      <c r="U212" s="1842"/>
      <c r="V212" s="1843"/>
      <c r="W212" s="1800"/>
      <c r="X212" s="1800"/>
      <c r="Y212" s="1801"/>
      <c r="Z212" s="1801"/>
      <c r="AA212" s="1801"/>
      <c r="AB212" s="1801"/>
      <c r="AC212" s="1801"/>
      <c r="AD212" s="1801"/>
      <c r="AE212" s="1801"/>
      <c r="AF212" s="1801"/>
      <c r="AG212" s="1801"/>
      <c r="AH212" s="1801"/>
      <c r="AI212" s="1801"/>
      <c r="AJ212" s="1801"/>
      <c r="AK212" s="1801"/>
      <c r="AL212" s="1802"/>
      <c r="AM212" s="1802"/>
      <c r="AN212" s="1802"/>
      <c r="AO212" s="1802"/>
      <c r="AP212" s="1802"/>
      <c r="AQ212" s="1802"/>
      <c r="AR212" s="1802"/>
      <c r="AS212" s="1802"/>
      <c r="AT212" s="1802"/>
      <c r="AU212" s="1802"/>
      <c r="AV212" s="1802"/>
      <c r="AW212" s="1802"/>
      <c r="AX212" s="1802"/>
      <c r="AY212" s="1802"/>
      <c r="AZ212" s="1802"/>
      <c r="BA212" s="1802"/>
      <c r="BB212" s="1802"/>
      <c r="BC212" s="1802"/>
      <c r="BD212" s="1802"/>
      <c r="BE212" s="1802"/>
      <c r="BF212" s="1802"/>
      <c r="BG212" s="1802"/>
      <c r="BH212" s="1802"/>
      <c r="BI212" s="1802"/>
      <c r="BJ212" s="1802"/>
      <c r="BK212" s="1802"/>
      <c r="BL212" s="1802"/>
      <c r="BM212" s="1802"/>
      <c r="BN212" s="1802"/>
      <c r="BO212" s="1802"/>
      <c r="BP212" s="1802"/>
      <c r="BQ212" s="1802"/>
      <c r="BR212" s="1802"/>
      <c r="BS212" s="1802"/>
      <c r="BT212" s="1802"/>
      <c r="BU212" s="1802"/>
      <c r="BV212" s="1802"/>
      <c r="BW212" s="1802"/>
      <c r="BX212" s="1802"/>
      <c r="BY212" s="1802"/>
      <c r="BZ212" s="1802"/>
      <c r="CA212" s="1802"/>
      <c r="CB212" s="1802"/>
      <c r="CC212" s="1802"/>
      <c r="CD212" s="1802"/>
      <c r="CE212" s="1802"/>
      <c r="CF212" s="1802"/>
      <c r="CG212" s="1802"/>
      <c r="CH212" s="1802"/>
      <c r="CI212" s="1802"/>
      <c r="CJ212" s="1802"/>
      <c r="CK212" s="1802"/>
      <c r="CL212" s="1802"/>
      <c r="CM212" s="1802"/>
      <c r="CN212" s="1802"/>
      <c r="CO212" s="1802"/>
      <c r="CP212" s="1802"/>
      <c r="CQ212" s="1802"/>
      <c r="CR212" s="1802"/>
      <c r="CS212" s="1802"/>
      <c r="CT212" s="1802"/>
      <c r="CU212" s="1802"/>
      <c r="CV212" s="1802"/>
      <c r="CW212" s="1802"/>
      <c r="CX212" s="1802"/>
      <c r="CY212" s="1802"/>
      <c r="CZ212" s="1802"/>
      <c r="DA212" s="1802"/>
      <c r="DB212" s="1802"/>
      <c r="DC212" s="1802"/>
      <c r="DD212" s="1802"/>
      <c r="DE212" s="1802"/>
      <c r="DF212" s="1802"/>
      <c r="DG212" s="1802"/>
      <c r="DH212" s="1802"/>
      <c r="DI212" s="1802"/>
      <c r="DJ212" s="1802"/>
      <c r="DK212" s="1802"/>
      <c r="DL212" s="1802"/>
      <c r="DM212" s="1802"/>
      <c r="DN212" s="1802"/>
      <c r="DO212" s="1802"/>
      <c r="DP212" s="1802"/>
      <c r="DQ212" s="1802"/>
      <c r="DR212" s="1802"/>
      <c r="DS212" s="1802"/>
      <c r="DT212" s="1802"/>
      <c r="DU212" s="1802"/>
      <c r="DV212" s="1802"/>
      <c r="DW212" s="1802"/>
      <c r="DX212" s="1802"/>
      <c r="DY212" s="1802"/>
      <c r="DZ212" s="1802"/>
      <c r="EA212" s="1802"/>
      <c r="EB212" s="1802"/>
      <c r="EC212" s="1802"/>
      <c r="ED212" s="1802"/>
      <c r="EE212" s="1802"/>
      <c r="EF212" s="1802"/>
      <c r="EG212" s="1802"/>
      <c r="EH212" s="1802"/>
      <c r="EI212" s="1802"/>
      <c r="EJ212" s="1802"/>
      <c r="EK212" s="1802"/>
      <c r="EL212" s="1802"/>
      <c r="EM212" s="1802"/>
      <c r="EN212" s="1802"/>
      <c r="EO212" s="1802"/>
      <c r="EP212" s="1802"/>
      <c r="EQ212" s="1802"/>
      <c r="ER212" s="1802"/>
      <c r="ES212" s="1802"/>
      <c r="ET212" s="1802"/>
      <c r="EU212" s="1802"/>
      <c r="EV212" s="1802"/>
      <c r="EW212" s="1802"/>
      <c r="EX212" s="1802"/>
      <c r="EY212" s="1802"/>
      <c r="EZ212" s="1802"/>
      <c r="FA212" s="1802"/>
      <c r="FB212" s="1802"/>
      <c r="FC212" s="1802"/>
      <c r="FD212" s="1802"/>
      <c r="FE212" s="1802"/>
      <c r="FF212" s="1802"/>
      <c r="FG212" s="1802"/>
      <c r="FH212" s="1802"/>
      <c r="FI212" s="1802"/>
      <c r="FJ212" s="1802"/>
      <c r="FK212" s="1802"/>
      <c r="FL212" s="1802"/>
      <c r="FM212" s="1802"/>
      <c r="FN212" s="1802"/>
      <c r="FO212" s="1802"/>
      <c r="FP212" s="1802"/>
      <c r="FQ212" s="1802"/>
      <c r="FR212" s="1802"/>
      <c r="FS212" s="1802"/>
      <c r="FT212" s="1802"/>
      <c r="FU212" s="1802"/>
      <c r="FV212" s="1802"/>
      <c r="FW212" s="1802"/>
      <c r="FX212" s="1802"/>
      <c r="FY212" s="1802"/>
      <c r="FZ212" s="1802"/>
      <c r="GA212" s="1802"/>
      <c r="GB212" s="1802"/>
      <c r="GC212" s="1802"/>
      <c r="GD212" s="1802"/>
      <c r="GE212" s="1802"/>
      <c r="GF212" s="1802"/>
      <c r="GG212" s="1802"/>
      <c r="GH212" s="1802"/>
      <c r="GI212" s="1802"/>
      <c r="GJ212" s="1802"/>
      <c r="GK212" s="1802"/>
      <c r="GL212" s="1802"/>
      <c r="GM212" s="1802"/>
      <c r="GN212" s="1802"/>
      <c r="GO212" s="1802"/>
      <c r="GP212" s="1802"/>
      <c r="GQ212" s="1802"/>
      <c r="GR212" s="1802"/>
      <c r="GS212" s="1802"/>
      <c r="GT212" s="1802"/>
      <c r="GU212" s="1802"/>
      <c r="GV212" s="1802"/>
      <c r="GW212" s="1802"/>
      <c r="GX212" s="1802"/>
      <c r="GY212" s="1802"/>
      <c r="GZ212" s="1802"/>
      <c r="HA212" s="1802"/>
      <c r="HB212" s="1802"/>
      <c r="HC212" s="1802"/>
      <c r="HD212" s="1802"/>
      <c r="HE212" s="1802"/>
      <c r="HF212" s="1802"/>
      <c r="HG212" s="1802"/>
      <c r="HH212" s="1802"/>
      <c r="HI212" s="1802"/>
      <c r="HJ212" s="1802"/>
      <c r="HK212" s="1802"/>
      <c r="HL212" s="1802"/>
      <c r="HM212" s="1802"/>
      <c r="HN212" s="1802"/>
      <c r="HO212" s="1802"/>
      <c r="HP212" s="1802"/>
      <c r="HQ212" s="1802"/>
      <c r="HR212" s="1802"/>
      <c r="HS212" s="1802"/>
      <c r="HT212" s="1802"/>
      <c r="HU212" s="1802"/>
      <c r="HV212" s="1802"/>
      <c r="HW212" s="1802"/>
      <c r="HX212" s="1802"/>
      <c r="HY212" s="1802"/>
      <c r="HZ212" s="1802"/>
      <c r="IA212" s="1802"/>
      <c r="IB212" s="1802"/>
      <c r="IC212" s="1802"/>
      <c r="ID212" s="1802"/>
      <c r="IE212" s="1802"/>
      <c r="IF212" s="1802"/>
      <c r="IG212" s="1802"/>
      <c r="IH212" s="1802"/>
      <c r="II212" s="1802"/>
      <c r="IJ212" s="1802"/>
      <c r="IK212" s="1802"/>
      <c r="IL212" s="1802"/>
      <c r="IM212" s="1802"/>
      <c r="IN212" s="1802"/>
      <c r="IO212" s="1802"/>
      <c r="IP212" s="1802"/>
      <c r="IQ212" s="1802"/>
      <c r="IR212" s="1802"/>
      <c r="IS212" s="1802"/>
      <c r="IT212" s="1802"/>
      <c r="IU212" s="1802"/>
      <c r="IV212" s="1802"/>
      <c r="IW212" s="1802"/>
    </row>
    <row r="213" spans="3:257" s="888" customFormat="1" x14ac:dyDescent="0.45">
      <c r="C213" s="67" t="s">
        <v>560</v>
      </c>
      <c r="D213" s="68" t="s">
        <v>663</v>
      </c>
      <c r="E213" s="69"/>
      <c r="F213" s="70">
        <f t="shared" si="11"/>
        <v>231749.87287524471</v>
      </c>
      <c r="G213" s="71">
        <f t="shared" si="4"/>
        <v>2763.192627848041</v>
      </c>
      <c r="H213" s="71">
        <f t="shared" si="5"/>
        <v>39562.043842454288</v>
      </c>
      <c r="I213" s="71">
        <f t="shared" si="6"/>
        <v>0</v>
      </c>
      <c r="J213" s="72">
        <f t="shared" si="12"/>
        <v>3918.4609226209641</v>
      </c>
      <c r="K213" s="70">
        <f t="shared" si="7"/>
        <v>527203575.96000004</v>
      </c>
      <c r="L213" s="73">
        <f t="shared" si="8"/>
        <v>10763868.286580348</v>
      </c>
      <c r="M213" s="73">
        <f t="shared" si="9"/>
        <v>156254369.61354828</v>
      </c>
      <c r="N213" s="71">
        <f>AO228</f>
        <v>0</v>
      </c>
      <c r="O213" s="1017">
        <f t="shared" si="13"/>
        <v>6674768.8396080025</v>
      </c>
      <c r="P213" s="2078">
        <v>340.54849168322846</v>
      </c>
      <c r="Q213" s="1801">
        <v>5087.5780802189947</v>
      </c>
      <c r="R213" s="2079">
        <f t="shared" si="14"/>
        <v>5428.1265719022231</v>
      </c>
      <c r="S213" s="1844"/>
      <c r="T213" s="1842"/>
      <c r="U213" s="1842"/>
      <c r="V213" s="1843"/>
      <c r="W213" s="1800"/>
      <c r="X213" s="1800"/>
      <c r="Y213" s="1801"/>
      <c r="Z213" s="1801"/>
      <c r="AA213" s="1801"/>
      <c r="AB213" s="1801"/>
      <c r="AC213" s="1801"/>
      <c r="AD213" s="1801"/>
      <c r="AE213" s="1801"/>
      <c r="AF213" s="1801"/>
      <c r="AG213" s="1801"/>
      <c r="AH213" s="1801"/>
      <c r="AI213" s="1801"/>
      <c r="AJ213" s="1801"/>
      <c r="AK213" s="1801"/>
      <c r="AL213" s="1802"/>
      <c r="AM213" s="1802"/>
      <c r="AN213" s="1802"/>
      <c r="AO213" s="1802"/>
      <c r="AP213" s="1802"/>
      <c r="AQ213" s="1802"/>
      <c r="AR213" s="1802"/>
      <c r="AS213" s="1802"/>
      <c r="AT213" s="1802"/>
      <c r="AU213" s="1802"/>
      <c r="AV213" s="1802"/>
      <c r="AW213" s="1802"/>
      <c r="AX213" s="1802"/>
      <c r="AY213" s="1802"/>
      <c r="AZ213" s="1802"/>
      <c r="BA213" s="1802"/>
      <c r="BB213" s="1802"/>
      <c r="BC213" s="1802"/>
      <c r="BD213" s="1802"/>
      <c r="BE213" s="1802"/>
      <c r="BF213" s="1802"/>
      <c r="BG213" s="1802"/>
      <c r="BH213" s="1802"/>
      <c r="BI213" s="1802"/>
      <c r="BJ213" s="1802"/>
      <c r="BK213" s="1802"/>
      <c r="BL213" s="1802"/>
      <c r="BM213" s="1802"/>
      <c r="BN213" s="1802"/>
      <c r="BO213" s="1802"/>
      <c r="BP213" s="1802"/>
      <c r="BQ213" s="1802"/>
      <c r="BR213" s="1802"/>
      <c r="BS213" s="1802"/>
      <c r="BT213" s="1802"/>
      <c r="BU213" s="1802"/>
      <c r="BV213" s="1802"/>
      <c r="BW213" s="1802"/>
      <c r="BX213" s="1802"/>
      <c r="BY213" s="1802"/>
      <c r="BZ213" s="1802"/>
      <c r="CA213" s="1802"/>
      <c r="CB213" s="1802"/>
      <c r="CC213" s="1802"/>
      <c r="CD213" s="1802"/>
      <c r="CE213" s="1802"/>
      <c r="CF213" s="1802"/>
      <c r="CG213" s="1802"/>
      <c r="CH213" s="1802"/>
      <c r="CI213" s="1802"/>
      <c r="CJ213" s="1802"/>
      <c r="CK213" s="1802"/>
      <c r="CL213" s="1802"/>
      <c r="CM213" s="1802"/>
      <c r="CN213" s="1802"/>
      <c r="CO213" s="1802"/>
      <c r="CP213" s="1802"/>
      <c r="CQ213" s="1802"/>
      <c r="CR213" s="1802"/>
      <c r="CS213" s="1802"/>
      <c r="CT213" s="1802"/>
      <c r="CU213" s="1802"/>
      <c r="CV213" s="1802"/>
      <c r="CW213" s="1802"/>
      <c r="CX213" s="1802"/>
      <c r="CY213" s="1802"/>
      <c r="CZ213" s="1802"/>
      <c r="DA213" s="1802"/>
      <c r="DB213" s="1802"/>
      <c r="DC213" s="1802"/>
      <c r="DD213" s="1802"/>
      <c r="DE213" s="1802"/>
      <c r="DF213" s="1802"/>
      <c r="DG213" s="1802"/>
      <c r="DH213" s="1802"/>
      <c r="DI213" s="1802"/>
      <c r="DJ213" s="1802"/>
      <c r="DK213" s="1802"/>
      <c r="DL213" s="1802"/>
      <c r="DM213" s="1802"/>
      <c r="DN213" s="1802"/>
      <c r="DO213" s="1802"/>
      <c r="DP213" s="1802"/>
      <c r="DQ213" s="1802"/>
      <c r="DR213" s="1802"/>
      <c r="DS213" s="1802"/>
      <c r="DT213" s="1802"/>
      <c r="DU213" s="1802"/>
      <c r="DV213" s="1802"/>
      <c r="DW213" s="1802"/>
      <c r="DX213" s="1802"/>
      <c r="DY213" s="1802"/>
      <c r="DZ213" s="1802"/>
      <c r="EA213" s="1802"/>
      <c r="EB213" s="1802"/>
      <c r="EC213" s="1802"/>
      <c r="ED213" s="1802"/>
      <c r="EE213" s="1802"/>
      <c r="EF213" s="1802"/>
      <c r="EG213" s="1802"/>
      <c r="EH213" s="1802"/>
      <c r="EI213" s="1802"/>
      <c r="EJ213" s="1802"/>
      <c r="EK213" s="1802"/>
      <c r="EL213" s="1802"/>
      <c r="EM213" s="1802"/>
      <c r="EN213" s="1802"/>
      <c r="EO213" s="1802"/>
      <c r="EP213" s="1802"/>
      <c r="EQ213" s="1802"/>
      <c r="ER213" s="1802"/>
      <c r="ES213" s="1802"/>
      <c r="ET213" s="1802"/>
      <c r="EU213" s="1802"/>
      <c r="EV213" s="1802"/>
      <c r="EW213" s="1802"/>
      <c r="EX213" s="1802"/>
      <c r="EY213" s="1802"/>
      <c r="EZ213" s="1802"/>
      <c r="FA213" s="1802"/>
      <c r="FB213" s="1802"/>
      <c r="FC213" s="1802"/>
      <c r="FD213" s="1802"/>
      <c r="FE213" s="1802"/>
      <c r="FF213" s="1802"/>
      <c r="FG213" s="1802"/>
      <c r="FH213" s="1802"/>
      <c r="FI213" s="1802"/>
      <c r="FJ213" s="1802"/>
      <c r="FK213" s="1802"/>
      <c r="FL213" s="1802"/>
      <c r="FM213" s="1802"/>
      <c r="FN213" s="1802"/>
      <c r="FO213" s="1802"/>
      <c r="FP213" s="1802"/>
      <c r="FQ213" s="1802"/>
      <c r="FR213" s="1802"/>
      <c r="FS213" s="1802"/>
      <c r="FT213" s="1802"/>
      <c r="FU213" s="1802"/>
      <c r="FV213" s="1802"/>
      <c r="FW213" s="1802"/>
      <c r="FX213" s="1802"/>
      <c r="FY213" s="1802"/>
      <c r="FZ213" s="1802"/>
      <c r="GA213" s="1802"/>
      <c r="GB213" s="1802"/>
      <c r="GC213" s="1802"/>
      <c r="GD213" s="1802"/>
      <c r="GE213" s="1802"/>
      <c r="GF213" s="1802"/>
      <c r="GG213" s="1802"/>
      <c r="GH213" s="1802"/>
      <c r="GI213" s="1802"/>
      <c r="GJ213" s="1802"/>
      <c r="GK213" s="1802"/>
      <c r="GL213" s="1802"/>
      <c r="GM213" s="1802"/>
      <c r="GN213" s="1802"/>
      <c r="GO213" s="1802"/>
      <c r="GP213" s="1802"/>
      <c r="GQ213" s="1802"/>
      <c r="GR213" s="1802"/>
      <c r="GS213" s="1802"/>
      <c r="GT213" s="1802"/>
      <c r="GU213" s="1802"/>
      <c r="GV213" s="1802"/>
      <c r="GW213" s="1802"/>
      <c r="GX213" s="1802"/>
      <c r="GY213" s="1802"/>
      <c r="GZ213" s="1802"/>
      <c r="HA213" s="1802"/>
      <c r="HB213" s="1802"/>
      <c r="HC213" s="1802"/>
      <c r="HD213" s="1802"/>
      <c r="HE213" s="1802"/>
      <c r="HF213" s="1802"/>
      <c r="HG213" s="1802"/>
      <c r="HH213" s="1802"/>
      <c r="HI213" s="1802"/>
      <c r="HJ213" s="1802"/>
      <c r="HK213" s="1802"/>
      <c r="HL213" s="1802"/>
      <c r="HM213" s="1802"/>
      <c r="HN213" s="1802"/>
      <c r="HO213" s="1802"/>
      <c r="HP213" s="1802"/>
      <c r="HQ213" s="1802"/>
      <c r="HR213" s="1802"/>
      <c r="HS213" s="1802"/>
      <c r="HT213" s="1802"/>
      <c r="HU213" s="1802"/>
      <c r="HV213" s="1802"/>
      <c r="HW213" s="1802"/>
      <c r="HX213" s="1802"/>
      <c r="HY213" s="1802"/>
      <c r="HZ213" s="1802"/>
      <c r="IA213" s="1802"/>
      <c r="IB213" s="1802"/>
      <c r="IC213" s="1802"/>
      <c r="ID213" s="1802"/>
      <c r="IE213" s="1802"/>
      <c r="IF213" s="1802"/>
      <c r="IG213" s="1802"/>
      <c r="IH213" s="1802"/>
      <c r="II213" s="1802"/>
      <c r="IJ213" s="1802"/>
      <c r="IK213" s="1802"/>
      <c r="IL213" s="1802"/>
      <c r="IM213" s="1802"/>
      <c r="IN213" s="1802"/>
      <c r="IO213" s="1802"/>
      <c r="IP213" s="1802"/>
      <c r="IQ213" s="1802"/>
      <c r="IR213" s="1802"/>
      <c r="IS213" s="1802"/>
      <c r="IT213" s="1802"/>
      <c r="IU213" s="1802"/>
      <c r="IV213" s="1802"/>
      <c r="IW213" s="1802"/>
    </row>
    <row r="214" spans="3:257" s="888" customFormat="1" ht="14.65" thickBot="1" x14ac:dyDescent="0.5">
      <c r="C214" s="75" t="s">
        <v>664</v>
      </c>
      <c r="D214" s="76"/>
      <c r="E214" s="77"/>
      <c r="F214" s="78"/>
      <c r="G214" s="79"/>
      <c r="H214" s="71">
        <f t="shared" si="5"/>
        <v>26359.495075979998</v>
      </c>
      <c r="I214" s="79"/>
      <c r="J214" s="80"/>
      <c r="K214" s="78"/>
      <c r="L214" s="79"/>
      <c r="M214" s="73">
        <f t="shared" si="9"/>
        <v>105055578</v>
      </c>
      <c r="N214" s="81"/>
      <c r="O214" s="1018"/>
      <c r="P214" s="1033"/>
      <c r="Q214" s="1034"/>
      <c r="R214" s="1035"/>
      <c r="S214" s="1844"/>
      <c r="T214" s="1842"/>
      <c r="U214" s="1844"/>
      <c r="V214" s="1804"/>
      <c r="W214" s="1804"/>
      <c r="X214" s="1804"/>
      <c r="Y214" s="1804"/>
      <c r="Z214" s="1804"/>
      <c r="AA214" s="1804"/>
      <c r="AB214" s="1804"/>
      <c r="AC214" s="1804"/>
      <c r="AD214" s="1804"/>
      <c r="AE214" s="1804"/>
      <c r="AF214" s="1804"/>
      <c r="AG214" s="1804"/>
      <c r="AH214" s="1804"/>
      <c r="AI214" s="1804"/>
      <c r="AJ214" s="1804"/>
      <c r="AK214" s="1804"/>
      <c r="AL214" s="1804"/>
      <c r="AM214" s="1804"/>
      <c r="AN214" s="1804"/>
      <c r="AO214" s="1804"/>
      <c r="AP214" s="1804"/>
      <c r="AQ214" s="1804"/>
      <c r="AR214" s="1804"/>
      <c r="AS214" s="1804"/>
      <c r="AT214" s="1804"/>
      <c r="AU214" s="1804"/>
      <c r="AV214" s="1804"/>
      <c r="AW214" s="1804"/>
      <c r="AX214" s="1804"/>
      <c r="AY214" s="1804"/>
      <c r="AZ214" s="1804"/>
      <c r="BA214" s="1804"/>
      <c r="BB214" s="1804"/>
      <c r="BC214" s="1804"/>
      <c r="BD214" s="1804"/>
      <c r="BE214" s="1804"/>
      <c r="BF214" s="1804"/>
      <c r="BG214" s="1804"/>
      <c r="BH214" s="1804"/>
      <c r="BI214" s="1804"/>
      <c r="BJ214" s="1804"/>
      <c r="BK214" s="1804"/>
      <c r="BL214" s="1804"/>
      <c r="BM214" s="1804"/>
      <c r="BN214" s="1804"/>
      <c r="BO214" s="1804"/>
      <c r="BP214" s="1804"/>
      <c r="BQ214" s="1804"/>
      <c r="BR214" s="1804"/>
      <c r="BS214" s="1804"/>
      <c r="BT214" s="1804"/>
      <c r="BU214" s="1804"/>
      <c r="BV214" s="1804"/>
      <c r="BW214" s="1804"/>
      <c r="BX214" s="1804"/>
      <c r="BY214" s="1804"/>
      <c r="BZ214" s="1804"/>
      <c r="CA214" s="1804"/>
      <c r="CB214" s="1804"/>
      <c r="CC214" s="1804"/>
      <c r="CD214" s="1804"/>
      <c r="CE214" s="1804"/>
      <c r="CF214" s="1804"/>
      <c r="CG214" s="1804"/>
      <c r="CH214" s="1804"/>
      <c r="CI214" s="1804"/>
      <c r="CJ214" s="1804"/>
      <c r="CK214" s="1804"/>
      <c r="CL214" s="1804"/>
      <c r="CM214" s="1804"/>
      <c r="CN214" s="1804"/>
      <c r="CO214" s="1804"/>
      <c r="CP214" s="1804"/>
      <c r="CQ214" s="1804"/>
      <c r="CR214" s="1804"/>
      <c r="CS214" s="1804"/>
      <c r="CT214" s="1804"/>
      <c r="CU214" s="1804"/>
      <c r="CV214" s="1804"/>
      <c r="CW214" s="1804"/>
      <c r="CX214" s="1804"/>
      <c r="CY214" s="1804"/>
      <c r="CZ214" s="1804"/>
      <c r="DA214" s="1804"/>
      <c r="DB214" s="1804"/>
      <c r="DC214" s="1804"/>
      <c r="DD214" s="1804"/>
      <c r="DE214" s="1804"/>
      <c r="DF214" s="1804"/>
      <c r="DG214" s="1804"/>
      <c r="DH214" s="1804"/>
      <c r="DI214" s="1804"/>
      <c r="DJ214" s="1804"/>
      <c r="DK214" s="1804"/>
      <c r="DL214" s="1804"/>
      <c r="DM214" s="1804"/>
      <c r="DN214" s="1804"/>
      <c r="DO214" s="1804"/>
      <c r="DP214" s="1804"/>
      <c r="DQ214" s="1804"/>
      <c r="DR214" s="1804"/>
      <c r="DS214" s="1804"/>
      <c r="DT214" s="1804"/>
      <c r="DU214" s="1804"/>
      <c r="DV214" s="1804"/>
      <c r="DW214" s="1804"/>
      <c r="DX214" s="1804"/>
      <c r="DY214" s="1804"/>
      <c r="DZ214" s="1804"/>
      <c r="EA214" s="1804"/>
      <c r="EB214" s="1804"/>
      <c r="EC214" s="1804"/>
      <c r="ED214" s="1804"/>
      <c r="EE214" s="1804"/>
      <c r="EF214" s="1804"/>
      <c r="EG214" s="1804"/>
      <c r="EH214" s="1804"/>
      <c r="EI214" s="1804"/>
      <c r="EJ214" s="1804"/>
      <c r="EK214" s="1804"/>
      <c r="EL214" s="1804"/>
      <c r="EM214" s="1804"/>
      <c r="EN214" s="1804"/>
      <c r="EO214" s="1804"/>
      <c r="EP214" s="1804"/>
      <c r="EQ214" s="1804"/>
      <c r="ER214" s="1804"/>
      <c r="ES214" s="1804"/>
      <c r="ET214" s="1804"/>
      <c r="EU214" s="1804"/>
      <c r="EV214" s="1804"/>
      <c r="EW214" s="1804"/>
      <c r="EX214" s="1804"/>
      <c r="EY214" s="1804"/>
      <c r="EZ214" s="1804"/>
      <c r="FA214" s="1804"/>
      <c r="FB214" s="1804"/>
      <c r="FC214" s="1804"/>
      <c r="FD214" s="1804"/>
      <c r="FE214" s="1804"/>
      <c r="FF214" s="1804"/>
      <c r="FG214" s="1804"/>
      <c r="FH214" s="1804"/>
      <c r="FI214" s="1804"/>
      <c r="FJ214" s="1804"/>
      <c r="FK214" s="1804"/>
      <c r="FL214" s="1804"/>
      <c r="FM214" s="1804"/>
      <c r="FN214" s="1804"/>
      <c r="FO214" s="1804"/>
      <c r="FP214" s="1804"/>
      <c r="FQ214" s="1804"/>
      <c r="FR214" s="1804"/>
      <c r="FS214" s="1804"/>
      <c r="FT214" s="1804"/>
      <c r="FU214" s="1804"/>
      <c r="FV214" s="1804"/>
      <c r="FW214" s="1804"/>
      <c r="FX214" s="1804"/>
      <c r="FY214" s="1804"/>
      <c r="FZ214" s="1804"/>
      <c r="GA214" s="1804"/>
      <c r="GB214" s="1804"/>
      <c r="GC214" s="1804"/>
      <c r="GD214" s="1804"/>
      <c r="GE214" s="1804"/>
      <c r="GF214" s="1804"/>
      <c r="GG214" s="1804"/>
      <c r="GH214" s="1804"/>
      <c r="GI214" s="1804"/>
      <c r="GJ214" s="1804"/>
      <c r="GK214" s="1804"/>
      <c r="GL214" s="1804"/>
      <c r="GM214" s="1804"/>
      <c r="GN214" s="1804"/>
      <c r="GO214" s="1804"/>
      <c r="GP214" s="1804"/>
      <c r="GQ214" s="1804"/>
      <c r="GR214" s="1804"/>
      <c r="GS214" s="1804"/>
      <c r="GT214" s="1804"/>
      <c r="GU214" s="1804"/>
      <c r="GV214" s="1804"/>
      <c r="GW214" s="1804"/>
      <c r="GX214" s="1804"/>
      <c r="GY214" s="1804"/>
      <c r="GZ214" s="1804"/>
      <c r="HA214" s="1804"/>
      <c r="HB214" s="1804"/>
      <c r="HC214" s="1804"/>
      <c r="HD214" s="1804"/>
      <c r="HE214" s="1804"/>
      <c r="HF214" s="1804"/>
      <c r="HG214" s="1804"/>
      <c r="HH214" s="1804"/>
      <c r="HI214" s="1804"/>
      <c r="HJ214" s="1804"/>
      <c r="HK214" s="1804"/>
      <c r="HL214" s="1804"/>
      <c r="HM214" s="1804"/>
      <c r="HN214" s="1804"/>
      <c r="HO214" s="1804"/>
      <c r="HP214" s="1804"/>
      <c r="HQ214" s="1804"/>
      <c r="HR214" s="1804"/>
      <c r="HS214" s="1804"/>
      <c r="HT214" s="1804"/>
      <c r="HU214" s="1804"/>
      <c r="HV214" s="1804"/>
      <c r="HW214" s="1804"/>
      <c r="HX214" s="1804"/>
      <c r="HY214" s="1804"/>
      <c r="HZ214" s="1804"/>
      <c r="IA214" s="1804"/>
      <c r="IB214" s="1804"/>
      <c r="IC214" s="1804"/>
      <c r="ID214" s="1804"/>
      <c r="IE214" s="1804"/>
      <c r="IF214" s="1804"/>
      <c r="IG214" s="1804"/>
      <c r="IH214" s="1804"/>
      <c r="II214" s="1804"/>
      <c r="IJ214" s="1804"/>
      <c r="IK214" s="1804"/>
      <c r="IL214" s="1804"/>
      <c r="IM214" s="1804"/>
      <c r="IN214" s="1804"/>
      <c r="IO214" s="1804"/>
      <c r="IP214" s="1804"/>
      <c r="IQ214" s="1804"/>
      <c r="IR214" s="1804"/>
      <c r="IS214" s="1804"/>
      <c r="IT214" s="1804"/>
      <c r="IU214" s="1804"/>
      <c r="IV214" s="1804"/>
      <c r="IW214" s="1804"/>
    </row>
    <row r="215" spans="3:257" s="888" customFormat="1" ht="14.65" thickBot="1" x14ac:dyDescent="0.5">
      <c r="C215" s="82" t="s">
        <v>665</v>
      </c>
      <c r="D215" s="2318"/>
      <c r="E215" s="2310"/>
      <c r="F215" s="83">
        <f>SUM(F181:F213)</f>
        <v>6220486.3894384587</v>
      </c>
      <c r="G215" s="84">
        <f>SUM(G181:G213)</f>
        <v>77994.893509336631</v>
      </c>
      <c r="H215" s="84">
        <f>SUM(H181:H214)</f>
        <v>516961.11278062919</v>
      </c>
      <c r="I215" s="84">
        <f>SUM(I181:I213)</f>
        <v>1016249.3037802149</v>
      </c>
      <c r="J215" s="85">
        <f>SUM(J181:J213)</f>
        <v>40106.479659647026</v>
      </c>
      <c r="K215" s="83">
        <f>SUM(K181:K213)</f>
        <v>25681847656.151993</v>
      </c>
      <c r="L215" s="84">
        <f>SUM(L181:L213)</f>
        <v>303824913.36269182</v>
      </c>
      <c r="M215" s="84">
        <f>SUM(M181:M214)</f>
        <v>2042737230.9272454</v>
      </c>
      <c r="N215" s="84">
        <f>SUM(N181:N213)</f>
        <v>4104795692.2764487</v>
      </c>
      <c r="O215" s="84">
        <f>SUM(O181:O213)</f>
        <v>68318833.64533481</v>
      </c>
      <c r="P215" s="1019">
        <f>SUM(P181:P213)</f>
        <v>49479.471744875547</v>
      </c>
      <c r="Q215" s="1019">
        <f>SUM(Q181:Q213)</f>
        <v>150909.31271761141</v>
      </c>
      <c r="R215" s="1032">
        <f>SUM(R181:R213)</f>
        <v>200388.78446248695</v>
      </c>
      <c r="S215" s="1844"/>
      <c r="T215" s="1844"/>
      <c r="U215" s="1809"/>
      <c r="V215" s="1804"/>
      <c r="W215" s="1804"/>
      <c r="X215" s="1804"/>
      <c r="Y215" s="1804"/>
      <c r="Z215" s="1804"/>
      <c r="AA215" s="1804"/>
      <c r="AB215" s="1804"/>
      <c r="AC215" s="1804"/>
      <c r="AD215" s="1804"/>
      <c r="AE215" s="1804"/>
      <c r="AF215" s="1804"/>
      <c r="AG215" s="1804"/>
      <c r="AH215" s="1804"/>
      <c r="AI215" s="1804"/>
      <c r="AJ215" s="1804"/>
      <c r="AK215" s="1804"/>
      <c r="AL215" s="1804"/>
      <c r="AM215" s="1804"/>
      <c r="AN215" s="1804"/>
      <c r="AO215" s="1804"/>
      <c r="AP215" s="1804"/>
      <c r="AQ215" s="1804"/>
      <c r="AR215" s="1804"/>
      <c r="AS215" s="1804"/>
      <c r="AT215" s="1804"/>
      <c r="AU215" s="1804"/>
      <c r="AV215" s="1804"/>
      <c r="AW215" s="1804"/>
      <c r="AX215" s="1804"/>
      <c r="AY215" s="1804"/>
      <c r="AZ215" s="1804"/>
      <c r="BA215" s="1804"/>
      <c r="BB215" s="1804"/>
      <c r="BC215" s="1804"/>
      <c r="BD215" s="1804"/>
      <c r="BE215" s="1804"/>
      <c r="BF215" s="1804"/>
      <c r="BG215" s="1804"/>
      <c r="BH215" s="1804"/>
      <c r="BI215" s="1804"/>
      <c r="BJ215" s="1804"/>
      <c r="BK215" s="1804"/>
      <c r="BL215" s="1804"/>
      <c r="BM215" s="1804"/>
      <c r="BN215" s="1804"/>
      <c r="BO215" s="1804"/>
      <c r="BP215" s="1804"/>
      <c r="BQ215" s="1804"/>
      <c r="BR215" s="1804"/>
      <c r="BS215" s="1804"/>
      <c r="BT215" s="1804"/>
      <c r="BU215" s="1804"/>
      <c r="BV215" s="1804"/>
      <c r="BW215" s="1804"/>
      <c r="BX215" s="1804"/>
      <c r="BY215" s="1804"/>
      <c r="BZ215" s="1804"/>
      <c r="CA215" s="1804"/>
      <c r="CB215" s="1804"/>
      <c r="CC215" s="1804"/>
      <c r="CD215" s="1804"/>
      <c r="CE215" s="1804"/>
      <c r="CF215" s="1804"/>
      <c r="CG215" s="1804"/>
      <c r="CH215" s="1804"/>
      <c r="CI215" s="1804"/>
      <c r="CJ215" s="1804"/>
      <c r="CK215" s="1804"/>
      <c r="CL215" s="1804"/>
      <c r="CM215" s="1804"/>
      <c r="CN215" s="1804"/>
      <c r="CO215" s="1804"/>
      <c r="CP215" s="1804"/>
      <c r="CQ215" s="1804"/>
      <c r="CR215" s="1804"/>
      <c r="CS215" s="1804"/>
      <c r="CT215" s="1804"/>
      <c r="CU215" s="1804"/>
      <c r="CV215" s="1804"/>
      <c r="CW215" s="1804"/>
      <c r="CX215" s="1804"/>
      <c r="CY215" s="1804"/>
      <c r="CZ215" s="1804"/>
      <c r="DA215" s="1804"/>
      <c r="DB215" s="1804"/>
      <c r="DC215" s="1804"/>
      <c r="DD215" s="1804"/>
      <c r="DE215" s="1804"/>
      <c r="DF215" s="1804"/>
      <c r="DG215" s="1804"/>
      <c r="DH215" s="1804"/>
      <c r="DI215" s="1804"/>
      <c r="DJ215" s="1804"/>
      <c r="DK215" s="1804"/>
      <c r="DL215" s="1804"/>
      <c r="DM215" s="1804"/>
      <c r="DN215" s="1804"/>
      <c r="DO215" s="1804"/>
      <c r="DP215" s="1804"/>
      <c r="DQ215" s="1804"/>
      <c r="DR215" s="1804"/>
      <c r="DS215" s="1804"/>
      <c r="DT215" s="1804"/>
      <c r="DU215" s="1804"/>
      <c r="DV215" s="1804"/>
      <c r="DW215" s="1804"/>
      <c r="DX215" s="1804"/>
      <c r="DY215" s="1804"/>
      <c r="DZ215" s="1804"/>
      <c r="EA215" s="1804"/>
      <c r="EB215" s="1804"/>
      <c r="EC215" s="1804"/>
      <c r="ED215" s="1804"/>
      <c r="EE215" s="1804"/>
      <c r="EF215" s="1804"/>
      <c r="EG215" s="1804"/>
      <c r="EH215" s="1804"/>
      <c r="EI215" s="1804"/>
      <c r="EJ215" s="1804"/>
      <c r="EK215" s="1804"/>
      <c r="EL215" s="1804"/>
      <c r="EM215" s="1804"/>
      <c r="EN215" s="1804"/>
      <c r="EO215" s="1804"/>
      <c r="EP215" s="1804"/>
      <c r="EQ215" s="1804"/>
      <c r="ER215" s="1804"/>
      <c r="ES215" s="1804"/>
      <c r="ET215" s="1804"/>
      <c r="EU215" s="1804"/>
      <c r="EV215" s="1804"/>
      <c r="EW215" s="1804"/>
      <c r="EX215" s="1804"/>
      <c r="EY215" s="1804"/>
      <c r="EZ215" s="1804"/>
      <c r="FA215" s="1804"/>
      <c r="FB215" s="1804"/>
      <c r="FC215" s="1804"/>
      <c r="FD215" s="1804"/>
      <c r="FE215" s="1804"/>
      <c r="FF215" s="1804"/>
      <c r="FG215" s="1804"/>
      <c r="FH215" s="1804"/>
      <c r="FI215" s="1804"/>
      <c r="FJ215" s="1804"/>
      <c r="FK215" s="1804"/>
      <c r="FL215" s="1804"/>
      <c r="FM215" s="1804"/>
      <c r="FN215" s="1804"/>
      <c r="FO215" s="1804"/>
      <c r="FP215" s="1804"/>
      <c r="FQ215" s="1804"/>
      <c r="FR215" s="1804"/>
      <c r="FS215" s="1804"/>
      <c r="FT215" s="1804"/>
      <c r="FU215" s="1804"/>
      <c r="FV215" s="1804"/>
      <c r="FW215" s="1804"/>
      <c r="FX215" s="1804"/>
      <c r="FY215" s="1804"/>
      <c r="FZ215" s="1804"/>
      <c r="GA215" s="1804"/>
      <c r="GB215" s="1804"/>
      <c r="GC215" s="1804"/>
      <c r="GD215" s="1804"/>
      <c r="GE215" s="1804"/>
      <c r="GF215" s="1804"/>
      <c r="GG215" s="1804"/>
      <c r="GH215" s="1804"/>
      <c r="GI215" s="1804"/>
      <c r="GJ215" s="1804"/>
      <c r="GK215" s="1804"/>
      <c r="GL215" s="1804"/>
      <c r="GM215" s="1804"/>
      <c r="GN215" s="1804"/>
      <c r="GO215" s="1804"/>
      <c r="GP215" s="1804"/>
      <c r="GQ215" s="1804"/>
      <c r="GR215" s="1804"/>
      <c r="GS215" s="1804"/>
      <c r="GT215" s="1804"/>
      <c r="GU215" s="1804"/>
      <c r="GV215" s="1804"/>
      <c r="GW215" s="1804"/>
      <c r="GX215" s="1804"/>
      <c r="GY215" s="1804"/>
      <c r="GZ215" s="1804"/>
      <c r="HA215" s="1804"/>
      <c r="HB215" s="1804"/>
      <c r="HC215" s="1804"/>
      <c r="HD215" s="1804"/>
      <c r="HE215" s="1804"/>
      <c r="HF215" s="1804"/>
      <c r="HG215" s="1804"/>
      <c r="HH215" s="1804"/>
      <c r="HI215" s="1804"/>
      <c r="HJ215" s="1804"/>
      <c r="HK215" s="1804"/>
      <c r="HL215" s="1804"/>
      <c r="HM215" s="1804"/>
      <c r="HN215" s="1804"/>
      <c r="HO215" s="1804"/>
      <c r="HP215" s="1804"/>
      <c r="HQ215" s="1804"/>
      <c r="HR215" s="1804"/>
      <c r="HS215" s="1804"/>
      <c r="HT215" s="1804"/>
      <c r="HU215" s="1804"/>
      <c r="HV215" s="1804"/>
      <c r="HW215" s="1804"/>
      <c r="HX215" s="1804"/>
      <c r="HY215" s="1804"/>
      <c r="HZ215" s="1804"/>
      <c r="IA215" s="1804"/>
      <c r="IB215" s="1804"/>
      <c r="IC215" s="1804"/>
      <c r="ID215" s="1804"/>
      <c r="IE215" s="1804"/>
      <c r="IF215" s="1804"/>
      <c r="IG215" s="1804"/>
      <c r="IH215" s="1804"/>
      <c r="II215" s="1804"/>
      <c r="IJ215" s="1804"/>
      <c r="IK215" s="1804"/>
      <c r="IL215" s="1804"/>
      <c r="IM215" s="1804"/>
      <c r="IN215" s="1804"/>
      <c r="IO215" s="1804"/>
      <c r="IP215" s="1804"/>
      <c r="IQ215" s="1804"/>
      <c r="IR215" s="1804"/>
      <c r="IS215" s="1804"/>
      <c r="IT215" s="1804"/>
      <c r="IU215" s="1804"/>
      <c r="IV215" s="1804"/>
      <c r="IW215" s="1804"/>
    </row>
    <row r="216" spans="3:257" s="888" customFormat="1" x14ac:dyDescent="0.45">
      <c r="C216" s="1804"/>
      <c r="D216" s="1804"/>
      <c r="E216" s="1804"/>
      <c r="F216" s="1804"/>
      <c r="G216" s="1804"/>
      <c r="H216" s="1808"/>
      <c r="I216" s="1808"/>
      <c r="J216" s="1804"/>
      <c r="K216" s="1804"/>
      <c r="L216" s="1804"/>
      <c r="M216" s="1804"/>
      <c r="N216" s="1808"/>
      <c r="O216" s="1804"/>
      <c r="P216" s="1804"/>
      <c r="Q216" s="1804"/>
      <c r="R216" s="1804"/>
      <c r="S216" s="1809"/>
      <c r="T216" s="1809"/>
      <c r="U216" s="1810"/>
      <c r="V216" s="1804"/>
      <c r="W216" s="1804"/>
      <c r="X216" s="1804"/>
      <c r="Y216" s="1804"/>
      <c r="Z216" s="1804"/>
      <c r="AA216" s="1804"/>
      <c r="AB216" s="1804"/>
      <c r="AC216" s="1804"/>
      <c r="AD216" s="1804"/>
      <c r="AE216" s="1804"/>
      <c r="AF216" s="1804"/>
      <c r="AG216" s="1804"/>
      <c r="AH216" s="1804"/>
      <c r="AI216" s="1804"/>
      <c r="AJ216" s="1804"/>
      <c r="AK216" s="1804"/>
      <c r="AL216" s="1804"/>
      <c r="AM216" s="1804"/>
      <c r="AN216" s="1804"/>
      <c r="AO216" s="1804"/>
      <c r="AP216" s="1804"/>
      <c r="AQ216" s="1804"/>
      <c r="AR216" s="1804"/>
      <c r="AS216" s="1804"/>
      <c r="AT216" s="1804"/>
      <c r="AU216" s="1804"/>
      <c r="AV216" s="1804"/>
      <c r="AW216" s="1804"/>
      <c r="AX216" s="1804"/>
      <c r="AY216" s="1804"/>
      <c r="AZ216" s="1804"/>
      <c r="BA216" s="1804"/>
      <c r="BB216" s="1804"/>
      <c r="BC216" s="1804"/>
      <c r="BD216" s="1804"/>
      <c r="BE216" s="1804"/>
      <c r="BF216" s="1804"/>
      <c r="BG216" s="1804"/>
      <c r="BH216" s="1804"/>
      <c r="BI216" s="1804"/>
      <c r="BJ216" s="1804"/>
      <c r="BK216" s="1804"/>
      <c r="BL216" s="1804"/>
      <c r="BM216" s="1804"/>
      <c r="BN216" s="1804"/>
      <c r="BO216" s="1804"/>
      <c r="BP216" s="1804"/>
      <c r="BQ216" s="1804"/>
      <c r="BR216" s="1804"/>
      <c r="BS216" s="1804"/>
      <c r="BT216" s="1804"/>
      <c r="BU216" s="1804"/>
      <c r="BV216" s="1804"/>
      <c r="BW216" s="1804"/>
      <c r="BX216" s="1804"/>
      <c r="BY216" s="1804"/>
      <c r="BZ216" s="1804"/>
      <c r="CA216" s="1804"/>
      <c r="CB216" s="1804"/>
      <c r="CC216" s="1804"/>
      <c r="CD216" s="1804"/>
      <c r="CE216" s="1804"/>
      <c r="CF216" s="1804"/>
      <c r="CG216" s="1804"/>
      <c r="CH216" s="1804"/>
      <c r="CI216" s="1804"/>
      <c r="CJ216" s="1804"/>
      <c r="CK216" s="1804"/>
      <c r="CL216" s="1804"/>
      <c r="CM216" s="1804"/>
      <c r="CN216" s="1804"/>
      <c r="CO216" s="1804"/>
      <c r="CP216" s="1804"/>
      <c r="CQ216" s="1804"/>
      <c r="CR216" s="1804"/>
      <c r="CS216" s="1804"/>
      <c r="CT216" s="1804"/>
      <c r="CU216" s="1804"/>
      <c r="CV216" s="1804"/>
      <c r="CW216" s="1804"/>
      <c r="CX216" s="1804"/>
      <c r="CY216" s="1804"/>
      <c r="CZ216" s="1804"/>
      <c r="DA216" s="1804"/>
      <c r="DB216" s="1804"/>
      <c r="DC216" s="1804"/>
      <c r="DD216" s="1804"/>
      <c r="DE216" s="1804"/>
      <c r="DF216" s="1804"/>
      <c r="DG216" s="1804"/>
      <c r="DH216" s="1804"/>
      <c r="DI216" s="1804"/>
      <c r="DJ216" s="1804"/>
      <c r="DK216" s="1804"/>
      <c r="DL216" s="1804"/>
      <c r="DM216" s="1804"/>
      <c r="DN216" s="1804"/>
      <c r="DO216" s="1804"/>
      <c r="DP216" s="1804"/>
      <c r="DQ216" s="1804"/>
      <c r="DR216" s="1804"/>
      <c r="DS216" s="1804"/>
      <c r="DT216" s="1804"/>
      <c r="DU216" s="1804"/>
      <c r="DV216" s="1804"/>
      <c r="DW216" s="1804"/>
      <c r="DX216" s="1804"/>
      <c r="DY216" s="1804"/>
      <c r="DZ216" s="1804"/>
      <c r="EA216" s="1804"/>
      <c r="EB216" s="1804"/>
      <c r="EC216" s="1804"/>
      <c r="ED216" s="1804"/>
      <c r="EE216" s="1804"/>
      <c r="EF216" s="1804"/>
      <c r="EG216" s="1804"/>
      <c r="EH216" s="1804"/>
      <c r="EI216" s="1804"/>
      <c r="EJ216" s="1804"/>
      <c r="EK216" s="1804"/>
      <c r="EL216" s="1804"/>
      <c r="EM216" s="1804"/>
      <c r="EN216" s="1804"/>
      <c r="EO216" s="1804"/>
      <c r="EP216" s="1804"/>
      <c r="EQ216" s="1804"/>
      <c r="ER216" s="1804"/>
      <c r="ES216" s="1804"/>
      <c r="ET216" s="1804"/>
      <c r="EU216" s="1804"/>
      <c r="EV216" s="1804"/>
      <c r="EW216" s="1804"/>
      <c r="EX216" s="1804"/>
      <c r="EY216" s="1804"/>
      <c r="EZ216" s="1804"/>
      <c r="FA216" s="1804"/>
      <c r="FB216" s="1804"/>
      <c r="FC216" s="1804"/>
      <c r="FD216" s="1804"/>
      <c r="FE216" s="1804"/>
      <c r="FF216" s="1804"/>
      <c r="FG216" s="1804"/>
      <c r="FH216" s="1804"/>
      <c r="FI216" s="1804"/>
      <c r="FJ216" s="1804"/>
      <c r="FK216" s="1804"/>
      <c r="FL216" s="1804"/>
      <c r="FM216" s="1804"/>
      <c r="FN216" s="1804"/>
      <c r="FO216" s="1804"/>
      <c r="FP216" s="1804"/>
      <c r="FQ216" s="1804"/>
      <c r="FR216" s="1804"/>
      <c r="FS216" s="1804"/>
      <c r="FT216" s="1804"/>
      <c r="FU216" s="1804"/>
      <c r="FV216" s="1804"/>
      <c r="FW216" s="1804"/>
      <c r="FX216" s="1804"/>
      <c r="FY216" s="1804"/>
      <c r="FZ216" s="1804"/>
      <c r="GA216" s="1804"/>
      <c r="GB216" s="1804"/>
      <c r="GC216" s="1804"/>
      <c r="GD216" s="1804"/>
      <c r="GE216" s="1804"/>
      <c r="GF216" s="1804"/>
      <c r="GG216" s="1804"/>
      <c r="GH216" s="1804"/>
      <c r="GI216" s="1804"/>
      <c r="GJ216" s="1804"/>
      <c r="GK216" s="1804"/>
      <c r="GL216" s="1804"/>
      <c r="GM216" s="1804"/>
      <c r="GN216" s="1804"/>
      <c r="GO216" s="1804"/>
      <c r="GP216" s="1804"/>
      <c r="GQ216" s="1804"/>
      <c r="GR216" s="1804"/>
      <c r="GS216" s="1804"/>
      <c r="GT216" s="1804"/>
      <c r="GU216" s="1804"/>
      <c r="GV216" s="1804"/>
      <c r="GW216" s="1804"/>
      <c r="GX216" s="1804"/>
      <c r="GY216" s="1804"/>
      <c r="GZ216" s="1804"/>
      <c r="HA216" s="1804"/>
      <c r="HB216" s="1804"/>
      <c r="HC216" s="1804"/>
      <c r="HD216" s="1804"/>
      <c r="HE216" s="1804"/>
      <c r="HF216" s="1804"/>
      <c r="HG216" s="1804"/>
      <c r="HH216" s="1804"/>
      <c r="HI216" s="1804"/>
      <c r="HJ216" s="1804"/>
      <c r="HK216" s="1804"/>
      <c r="HL216" s="1804"/>
      <c r="HM216" s="1804"/>
      <c r="HN216" s="1804"/>
      <c r="HO216" s="1804"/>
      <c r="HP216" s="1804"/>
      <c r="HQ216" s="1804"/>
      <c r="HR216" s="1804"/>
      <c r="HS216" s="1804"/>
      <c r="HT216" s="1804"/>
      <c r="HU216" s="1804"/>
      <c r="HV216" s="1804"/>
      <c r="HW216" s="1804"/>
      <c r="HX216" s="1804"/>
      <c r="HY216" s="1804"/>
      <c r="HZ216" s="1804"/>
      <c r="IA216" s="1804"/>
      <c r="IB216" s="1804"/>
      <c r="IC216" s="1804"/>
      <c r="ID216" s="1804"/>
      <c r="IE216" s="1804"/>
      <c r="IF216" s="1804"/>
      <c r="IG216" s="1804"/>
      <c r="IH216" s="1804"/>
      <c r="II216" s="1804"/>
      <c r="IJ216" s="1804"/>
      <c r="IK216" s="1804"/>
      <c r="IL216" s="1804"/>
      <c r="IM216" s="1804"/>
      <c r="IN216" s="1804"/>
      <c r="IO216" s="1804"/>
      <c r="IP216" s="1804"/>
      <c r="IQ216" s="1804"/>
      <c r="IR216" s="1804"/>
      <c r="IS216" s="1804"/>
      <c r="IT216" s="1804"/>
      <c r="IU216" s="1804"/>
      <c r="IV216" s="1804"/>
      <c r="IW216" s="1804"/>
    </row>
    <row r="217" spans="3:257" s="888" customFormat="1" ht="21" x14ac:dyDescent="0.45">
      <c r="C217" s="1803" t="s">
        <v>666</v>
      </c>
      <c r="D217" s="1803" t="s">
        <v>866</v>
      </c>
      <c r="E217" s="1804"/>
      <c r="F217" s="1804"/>
      <c r="G217" s="1804"/>
      <c r="H217" s="1804"/>
      <c r="I217" s="1804"/>
      <c r="J217" s="1804"/>
      <c r="K217" s="1804"/>
      <c r="L217" s="1804"/>
      <c r="M217" s="1804"/>
      <c r="N217" s="1804"/>
      <c r="O217" s="1804"/>
      <c r="P217" s="1804"/>
      <c r="Q217" s="1804"/>
      <c r="R217" s="1804"/>
      <c r="S217" s="1810"/>
      <c r="T217" s="1810"/>
      <c r="U217" s="1810"/>
      <c r="V217" s="1804"/>
      <c r="W217" s="1804"/>
      <c r="X217" s="1804"/>
      <c r="Y217" s="1804"/>
      <c r="Z217" s="1804"/>
      <c r="AA217" s="1804"/>
      <c r="AB217" s="1804"/>
      <c r="AC217" s="1804"/>
      <c r="AD217" s="1804"/>
      <c r="AE217" s="1804"/>
      <c r="AF217" s="1804"/>
      <c r="AG217" s="1804"/>
      <c r="AH217" s="1804"/>
      <c r="AI217" s="1804"/>
      <c r="AJ217" s="1804"/>
      <c r="AK217" s="1804"/>
      <c r="AL217" s="1804"/>
      <c r="AM217" s="1804"/>
      <c r="AN217" s="1804"/>
      <c r="AO217" s="1804"/>
      <c r="AP217" s="1804"/>
      <c r="AQ217" s="1804"/>
      <c r="AR217" s="1804"/>
      <c r="AS217" s="1804"/>
      <c r="AT217" s="1804"/>
      <c r="AU217" s="1804"/>
      <c r="AV217" s="1804"/>
      <c r="AW217" s="1804"/>
      <c r="AX217" s="1804"/>
      <c r="AY217" s="1804"/>
      <c r="AZ217" s="1804"/>
      <c r="BA217" s="1804"/>
      <c r="BB217" s="1804"/>
      <c r="BC217" s="1804"/>
      <c r="BD217" s="1804"/>
      <c r="BE217" s="1804"/>
      <c r="BF217" s="1804"/>
      <c r="BG217" s="1804"/>
      <c r="BH217" s="1804"/>
      <c r="BI217" s="1804"/>
      <c r="BJ217" s="1804"/>
      <c r="BK217" s="1804"/>
      <c r="BL217" s="1804"/>
      <c r="BM217" s="1804"/>
      <c r="BN217" s="1804"/>
      <c r="BO217" s="1804"/>
      <c r="BP217" s="1804"/>
      <c r="BQ217" s="1804"/>
      <c r="BR217" s="1804"/>
      <c r="BS217" s="1804"/>
      <c r="BT217" s="1804"/>
      <c r="BU217" s="1804"/>
      <c r="BV217" s="1804"/>
      <c r="BW217" s="1804"/>
      <c r="BX217" s="1804"/>
      <c r="BY217" s="1804"/>
      <c r="BZ217" s="1804"/>
      <c r="CA217" s="1804"/>
      <c r="CB217" s="1804"/>
      <c r="CC217" s="1804"/>
      <c r="CD217" s="1804"/>
      <c r="CE217" s="1804"/>
      <c r="CF217" s="1804"/>
      <c r="CG217" s="1804"/>
      <c r="CH217" s="1804"/>
      <c r="CI217" s="1804"/>
      <c r="CJ217" s="1804"/>
      <c r="CK217" s="1804"/>
      <c r="CL217" s="1804"/>
      <c r="CM217" s="1804"/>
      <c r="CN217" s="1804"/>
      <c r="CO217" s="1804"/>
      <c r="CP217" s="1804"/>
      <c r="CQ217" s="1804"/>
      <c r="CR217" s="1804"/>
      <c r="CS217" s="1804"/>
      <c r="CT217" s="1804"/>
      <c r="CU217" s="1804"/>
      <c r="CV217" s="1804"/>
      <c r="CW217" s="1804"/>
      <c r="CX217" s="1804"/>
      <c r="CY217" s="1804"/>
      <c r="CZ217" s="1804"/>
      <c r="DA217" s="1804"/>
      <c r="DB217" s="1804"/>
      <c r="DC217" s="1804"/>
      <c r="DD217" s="1804"/>
      <c r="DE217" s="1804"/>
      <c r="DF217" s="1804"/>
      <c r="DG217" s="1804"/>
      <c r="DH217" s="1804"/>
      <c r="DI217" s="1804"/>
      <c r="DJ217" s="1804"/>
      <c r="DK217" s="1804"/>
      <c r="DL217" s="1804"/>
      <c r="DM217" s="1804"/>
      <c r="DN217" s="1804"/>
      <c r="DO217" s="1804"/>
      <c r="DP217" s="1804"/>
      <c r="DQ217" s="1804"/>
      <c r="DR217" s="1804"/>
      <c r="DS217" s="1804"/>
      <c r="DT217" s="1804"/>
      <c r="DU217" s="1804"/>
      <c r="DV217" s="1804"/>
      <c r="DW217" s="1804"/>
      <c r="DX217" s="1804"/>
      <c r="DY217" s="1804"/>
      <c r="DZ217" s="1804"/>
      <c r="EA217" s="1804"/>
      <c r="EB217" s="1804"/>
      <c r="EC217" s="1804"/>
      <c r="ED217" s="1804"/>
      <c r="EE217" s="1804"/>
      <c r="EF217" s="1804"/>
      <c r="EG217" s="1804"/>
      <c r="EH217" s="1804"/>
      <c r="EI217" s="1804"/>
      <c r="EJ217" s="1804"/>
      <c r="EK217" s="1804"/>
      <c r="EL217" s="1804"/>
      <c r="EM217" s="1804"/>
      <c r="EN217" s="1804"/>
      <c r="EO217" s="1804"/>
      <c r="EP217" s="1804"/>
      <c r="EQ217" s="1804"/>
      <c r="ER217" s="1804"/>
      <c r="ES217" s="1804"/>
      <c r="ET217" s="1804"/>
      <c r="EU217" s="1804"/>
      <c r="EV217" s="1804"/>
      <c r="EW217" s="1804"/>
      <c r="EX217" s="1804"/>
      <c r="EY217" s="1804"/>
      <c r="EZ217" s="1804"/>
      <c r="FA217" s="1804"/>
      <c r="FB217" s="1804"/>
      <c r="FC217" s="1804"/>
      <c r="FD217" s="1804"/>
      <c r="FE217" s="1804"/>
      <c r="FF217" s="1804"/>
      <c r="FG217" s="1804"/>
      <c r="FH217" s="1804"/>
      <c r="FI217" s="1804"/>
      <c r="FJ217" s="1804"/>
      <c r="FK217" s="1804"/>
      <c r="FL217" s="1804"/>
      <c r="FM217" s="1804"/>
      <c r="FN217" s="1804"/>
      <c r="FO217" s="1804"/>
      <c r="FP217" s="1804"/>
      <c r="FQ217" s="1804"/>
      <c r="FR217" s="1804"/>
      <c r="FS217" s="1804"/>
      <c r="FT217" s="1804"/>
      <c r="FU217" s="1804"/>
      <c r="FV217" s="1804"/>
      <c r="FW217" s="1804"/>
      <c r="FX217" s="1804"/>
      <c r="FY217" s="1804"/>
      <c r="FZ217" s="1804"/>
      <c r="GA217" s="1804"/>
      <c r="GB217" s="1804"/>
      <c r="GC217" s="1804"/>
      <c r="GD217" s="1804"/>
      <c r="GE217" s="1804"/>
      <c r="GF217" s="1804"/>
      <c r="GG217" s="1804"/>
      <c r="GH217" s="1804"/>
      <c r="GI217" s="1804"/>
      <c r="GJ217" s="1804"/>
      <c r="GK217" s="1804"/>
      <c r="GL217" s="1804"/>
      <c r="GM217" s="1804"/>
      <c r="GN217" s="1804"/>
      <c r="GO217" s="1804"/>
      <c r="GP217" s="1804"/>
      <c r="GQ217" s="1804"/>
      <c r="GR217" s="1804"/>
      <c r="GS217" s="1804"/>
      <c r="GT217" s="1804"/>
      <c r="GU217" s="1804"/>
      <c r="GV217" s="1804"/>
      <c r="GW217" s="1804"/>
      <c r="GX217" s="1804"/>
      <c r="GY217" s="1804"/>
      <c r="GZ217" s="1804"/>
      <c r="HA217" s="1804"/>
      <c r="HB217" s="1804"/>
      <c r="HC217" s="1804"/>
      <c r="HD217" s="1804"/>
      <c r="HE217" s="1804"/>
      <c r="HF217" s="1804"/>
      <c r="HG217" s="1804"/>
      <c r="HH217" s="1804"/>
      <c r="HI217" s="1804"/>
      <c r="HJ217" s="1804"/>
      <c r="HK217" s="1804"/>
      <c r="HL217" s="1804"/>
      <c r="HM217" s="1804"/>
      <c r="HN217" s="1804"/>
      <c r="HO217" s="1804"/>
      <c r="HP217" s="1804"/>
      <c r="HQ217" s="1804"/>
      <c r="HR217" s="1804"/>
      <c r="HS217" s="1804"/>
      <c r="HT217" s="1804"/>
      <c r="HU217" s="1804"/>
      <c r="HV217" s="1804"/>
      <c r="HW217" s="1804"/>
      <c r="HX217" s="1804"/>
      <c r="HY217" s="1804"/>
      <c r="HZ217" s="1804"/>
      <c r="IA217" s="1804"/>
      <c r="IB217" s="1804"/>
      <c r="IC217" s="1804"/>
      <c r="ID217" s="1804"/>
      <c r="IE217" s="1804"/>
      <c r="IF217" s="1804"/>
      <c r="IG217" s="1804"/>
      <c r="IH217" s="1804"/>
      <c r="II217" s="1804"/>
      <c r="IJ217" s="1804"/>
      <c r="IK217" s="1804"/>
      <c r="IL217" s="1804"/>
      <c r="IM217" s="1804"/>
      <c r="IN217" s="1804"/>
      <c r="IO217" s="1804"/>
      <c r="IP217" s="1804"/>
      <c r="IQ217" s="1804"/>
      <c r="IR217" s="1804"/>
      <c r="IS217" s="1804"/>
      <c r="IT217" s="1804"/>
      <c r="IU217" s="1804"/>
      <c r="IV217" s="1804"/>
      <c r="IW217" s="1804"/>
    </row>
    <row r="218" spans="3:257" s="888" customFormat="1" ht="14.65" thickBot="1" x14ac:dyDescent="0.5">
      <c r="C218" s="1804"/>
      <c r="D218" s="1811"/>
      <c r="E218" s="1804"/>
      <c r="F218" s="1804"/>
      <c r="G218" s="1804"/>
      <c r="H218" s="1804"/>
      <c r="I218" s="1804"/>
      <c r="J218" s="1804"/>
      <c r="K218" s="1804"/>
      <c r="L218" s="1804"/>
      <c r="M218" s="1804"/>
      <c r="N218" s="1804"/>
      <c r="O218" s="1804"/>
      <c r="P218" s="1804"/>
      <c r="Q218" s="1804"/>
      <c r="R218" s="1804"/>
      <c r="S218" s="1804"/>
      <c r="T218" s="1804"/>
      <c r="U218" s="1804"/>
      <c r="V218" s="1804"/>
      <c r="W218" s="1804"/>
      <c r="X218" s="1804"/>
      <c r="Y218" s="1804"/>
      <c r="Z218" s="1804"/>
      <c r="AA218" s="1804"/>
      <c r="AB218" s="1804"/>
      <c r="AC218" s="1804"/>
      <c r="AD218" s="1804"/>
      <c r="AE218" s="1804"/>
      <c r="AF218" s="1804"/>
      <c r="AG218" s="1804"/>
      <c r="AH218" s="1804"/>
      <c r="AI218" s="1804"/>
      <c r="AJ218" s="1804"/>
      <c r="AK218" s="1804"/>
      <c r="AL218" s="1804"/>
      <c r="AM218" s="1804"/>
      <c r="AN218" s="1804"/>
      <c r="AO218" s="1804"/>
      <c r="AP218" s="1804"/>
      <c r="AQ218" s="1804"/>
      <c r="AR218" s="1804"/>
      <c r="AS218" s="1804"/>
      <c r="AT218" s="1804"/>
      <c r="AU218" s="1804"/>
      <c r="AV218" s="1804"/>
      <c r="AW218" s="1804"/>
      <c r="AX218" s="1804"/>
      <c r="AY218" s="1804"/>
      <c r="AZ218" s="1804"/>
      <c r="BA218" s="1804"/>
      <c r="BB218" s="1804"/>
      <c r="BC218" s="1804"/>
      <c r="BD218" s="1804"/>
      <c r="BE218" s="1804"/>
      <c r="BF218" s="1804"/>
      <c r="BG218" s="1804"/>
      <c r="BH218" s="1804"/>
      <c r="BI218" s="1804"/>
      <c r="BJ218" s="1804"/>
      <c r="BK218" s="1804"/>
      <c r="BL218" s="1804"/>
      <c r="BM218" s="1804"/>
      <c r="BN218" s="1804"/>
      <c r="BO218" s="1804"/>
      <c r="BP218" s="1804"/>
      <c r="BQ218" s="1804"/>
      <c r="BR218" s="1804"/>
      <c r="BS218" s="1804"/>
      <c r="BT218" s="1804"/>
      <c r="BU218" s="1804"/>
      <c r="BV218" s="1804"/>
      <c r="BW218" s="1804"/>
      <c r="BX218" s="1804"/>
      <c r="BY218" s="1804"/>
      <c r="BZ218" s="1804"/>
      <c r="CA218" s="1804"/>
      <c r="CB218" s="1804"/>
      <c r="CC218" s="1804"/>
      <c r="CD218" s="1804"/>
      <c r="CE218" s="1804"/>
      <c r="CF218" s="1804"/>
      <c r="CG218" s="1804"/>
      <c r="CH218" s="1804"/>
      <c r="CI218" s="1804"/>
      <c r="CJ218" s="1804"/>
      <c r="CK218" s="1804"/>
      <c r="CL218" s="1804"/>
      <c r="CM218" s="1804"/>
      <c r="CN218" s="1804"/>
      <c r="CO218" s="1804"/>
      <c r="CP218" s="1804"/>
      <c r="CQ218" s="1804"/>
      <c r="CR218" s="1804"/>
      <c r="CS218" s="1804"/>
      <c r="CT218" s="1804"/>
      <c r="CU218" s="1804"/>
      <c r="CV218" s="1804"/>
      <c r="CW218" s="1804"/>
      <c r="CX218" s="1804"/>
      <c r="CY218" s="1804"/>
      <c r="CZ218" s="1804"/>
      <c r="DA218" s="1804"/>
      <c r="DB218" s="1804"/>
      <c r="DC218" s="1804"/>
      <c r="DD218" s="1804"/>
      <c r="DE218" s="1804"/>
      <c r="DF218" s="1804"/>
      <c r="DG218" s="1804"/>
      <c r="DH218" s="1804"/>
      <c r="DI218" s="1804"/>
      <c r="DJ218" s="1804"/>
      <c r="DK218" s="1804"/>
      <c r="DL218" s="1804"/>
      <c r="DM218" s="1804"/>
      <c r="DN218" s="1804"/>
      <c r="DO218" s="1804"/>
      <c r="DP218" s="1804"/>
      <c r="DQ218" s="1804"/>
      <c r="DR218" s="1804"/>
      <c r="DS218" s="1804"/>
      <c r="DT218" s="1804"/>
      <c r="DU218" s="1804"/>
      <c r="DV218" s="1804"/>
      <c r="DW218" s="1804"/>
      <c r="DX218" s="1804"/>
      <c r="DY218" s="1804"/>
      <c r="DZ218" s="1804"/>
      <c r="EA218" s="1804"/>
      <c r="EB218" s="1804"/>
      <c r="EC218" s="1804"/>
      <c r="ED218" s="1804"/>
      <c r="EE218" s="1804"/>
      <c r="EF218" s="1804"/>
      <c r="EG218" s="1804"/>
      <c r="EH218" s="1804"/>
      <c r="EI218" s="1804"/>
      <c r="EJ218" s="1804"/>
      <c r="EK218" s="1804"/>
      <c r="EL218" s="1804"/>
      <c r="EM218" s="1804"/>
      <c r="EN218" s="1804"/>
      <c r="EO218" s="1804"/>
      <c r="EP218" s="1804"/>
      <c r="EQ218" s="1804"/>
      <c r="ER218" s="1804"/>
      <c r="ES218" s="1804"/>
      <c r="ET218" s="1804"/>
      <c r="EU218" s="1804"/>
      <c r="EV218" s="1804"/>
      <c r="EW218" s="1804"/>
      <c r="EX218" s="1804"/>
      <c r="EY218" s="1804"/>
      <c r="EZ218" s="1804"/>
      <c r="FA218" s="1804"/>
      <c r="FB218" s="1804"/>
      <c r="FC218" s="1804"/>
      <c r="FD218" s="1804"/>
      <c r="FE218" s="1804"/>
      <c r="FF218" s="1804"/>
      <c r="FG218" s="1804"/>
      <c r="FH218" s="1804"/>
      <c r="FI218" s="1804"/>
      <c r="FJ218" s="1804"/>
      <c r="FK218" s="1804"/>
      <c r="FL218" s="1804"/>
      <c r="FM218" s="1804"/>
      <c r="FN218" s="1804"/>
      <c r="FO218" s="1804"/>
      <c r="FP218" s="1804"/>
      <c r="FQ218" s="1804"/>
      <c r="FR218" s="1804"/>
      <c r="FS218" s="1804"/>
      <c r="FT218" s="1804"/>
      <c r="FU218" s="1804"/>
      <c r="FV218" s="1804"/>
      <c r="FW218" s="1804"/>
      <c r="FX218" s="1804"/>
      <c r="FY218" s="1804"/>
      <c r="FZ218" s="1804"/>
      <c r="GA218" s="1804"/>
      <c r="GB218" s="1804"/>
      <c r="GC218" s="1804"/>
      <c r="GD218" s="1804"/>
      <c r="GE218" s="1804"/>
      <c r="GF218" s="1804"/>
      <c r="GG218" s="1804"/>
      <c r="GH218" s="1804"/>
      <c r="GI218" s="1804"/>
      <c r="GJ218" s="1804"/>
      <c r="GK218" s="1804"/>
      <c r="GL218" s="1804"/>
      <c r="GM218" s="1804"/>
      <c r="GN218" s="1804"/>
      <c r="GO218" s="1804"/>
      <c r="GP218" s="1804"/>
      <c r="GQ218" s="1804"/>
      <c r="GR218" s="1804"/>
      <c r="GS218" s="1804"/>
      <c r="GT218" s="1804"/>
      <c r="GU218" s="1804"/>
      <c r="GV218" s="1804"/>
      <c r="GW218" s="1804"/>
      <c r="GX218" s="1804"/>
      <c r="GY218" s="1804"/>
      <c r="GZ218" s="1804"/>
      <c r="HA218" s="1804"/>
      <c r="HB218" s="1804"/>
      <c r="HC218" s="1804"/>
      <c r="HD218" s="1804"/>
      <c r="HE218" s="1804"/>
      <c r="HF218" s="1804"/>
      <c r="HG218" s="1804"/>
      <c r="HH218" s="1804"/>
      <c r="HI218" s="1804"/>
      <c r="HJ218" s="1804"/>
      <c r="HK218" s="1804"/>
      <c r="HL218" s="1804"/>
      <c r="HM218" s="1804"/>
      <c r="HN218" s="1804"/>
      <c r="HO218" s="1804"/>
      <c r="HP218" s="1804"/>
      <c r="HQ218" s="1804"/>
      <c r="HR218" s="1804"/>
      <c r="HS218" s="1804"/>
      <c r="HT218" s="1804"/>
      <c r="HU218" s="1804"/>
      <c r="HV218" s="1804"/>
      <c r="HW218" s="1804"/>
      <c r="HX218" s="1804"/>
      <c r="HY218" s="1804"/>
      <c r="HZ218" s="1804"/>
      <c r="IA218" s="1804"/>
      <c r="IB218" s="1804"/>
      <c r="IC218" s="1804"/>
      <c r="ID218" s="1804"/>
      <c r="IE218" s="1804"/>
      <c r="IF218" s="1804"/>
      <c r="IG218" s="1804"/>
      <c r="IH218" s="1804"/>
      <c r="II218" s="1804"/>
      <c r="IJ218" s="1804"/>
      <c r="IK218" s="1804"/>
      <c r="IL218" s="1804"/>
      <c r="IM218" s="1804"/>
      <c r="IN218" s="1804"/>
      <c r="IO218" s="1804"/>
      <c r="IP218" s="1804"/>
      <c r="IQ218" s="1804"/>
      <c r="IR218" s="1804"/>
      <c r="IS218" s="1804"/>
      <c r="IT218" s="1804"/>
      <c r="IU218" s="1804"/>
      <c r="IV218" s="1804"/>
      <c r="IW218" s="1804"/>
    </row>
    <row r="219" spans="3:257" s="888" customFormat="1" x14ac:dyDescent="0.45">
      <c r="C219" s="2374" t="s">
        <v>618</v>
      </c>
      <c r="D219" s="2377" t="s">
        <v>619</v>
      </c>
      <c r="E219" s="2377" t="s">
        <v>620</v>
      </c>
      <c r="F219" s="527" t="s">
        <v>623</v>
      </c>
      <c r="G219" s="526"/>
      <c r="H219" s="526"/>
      <c r="I219" s="526"/>
      <c r="J219" s="526"/>
      <c r="K219" s="526"/>
      <c r="L219" s="526"/>
      <c r="M219" s="526"/>
      <c r="N219" s="526"/>
      <c r="O219" s="526"/>
      <c r="P219" s="526"/>
      <c r="Q219" s="526"/>
      <c r="R219" s="526"/>
      <c r="S219" s="526"/>
      <c r="T219" s="526"/>
      <c r="U219" s="526"/>
      <c r="V219" s="526"/>
      <c r="W219" s="526"/>
      <c r="X219" s="526"/>
      <c r="Y219" s="526"/>
      <c r="Z219" s="526"/>
      <c r="AA219" s="526"/>
      <c r="AB219" s="526"/>
      <c r="AC219" s="526"/>
      <c r="AD219" s="526"/>
      <c r="AE219" s="526"/>
      <c r="AF219" s="526"/>
      <c r="AG219" s="526"/>
      <c r="AH219" s="526"/>
      <c r="AI219" s="526"/>
      <c r="AJ219" s="526"/>
      <c r="AK219" s="526"/>
      <c r="AL219" s="526"/>
      <c r="AM219" s="526"/>
      <c r="AN219" s="528"/>
      <c r="AO219" s="2383" t="s">
        <v>667</v>
      </c>
      <c r="AP219" s="1839"/>
      <c r="AQ219" s="1839"/>
      <c r="AR219" s="1839"/>
      <c r="AS219" s="1839"/>
      <c r="AT219" s="1804"/>
      <c r="AU219" s="1804"/>
      <c r="AV219" s="1804"/>
      <c r="AW219" s="1804"/>
      <c r="AX219" s="1804"/>
      <c r="AY219" s="1804"/>
      <c r="AZ219" s="1804"/>
      <c r="BA219" s="1804"/>
      <c r="BB219" s="1804"/>
      <c r="BC219" s="1804"/>
      <c r="BD219" s="1804"/>
      <c r="BE219" s="1804"/>
      <c r="BF219" s="1804"/>
      <c r="BG219" s="1804"/>
      <c r="BH219" s="1804"/>
      <c r="BI219" s="1804"/>
      <c r="BJ219" s="1804"/>
      <c r="BK219" s="1804"/>
      <c r="BL219" s="1804"/>
      <c r="BM219" s="1804"/>
      <c r="BN219" s="1804"/>
      <c r="BO219" s="1804"/>
      <c r="BP219" s="1804"/>
      <c r="BQ219" s="1804"/>
      <c r="BR219" s="1804"/>
      <c r="BS219" s="1804"/>
      <c r="BT219" s="1804"/>
      <c r="BU219" s="1804"/>
      <c r="BV219" s="1804"/>
      <c r="BW219" s="1804"/>
      <c r="BX219" s="1804"/>
      <c r="BY219" s="1804"/>
      <c r="BZ219" s="1804"/>
      <c r="CA219" s="1804"/>
      <c r="CB219" s="1804"/>
      <c r="CC219" s="1804"/>
      <c r="CD219" s="1804"/>
      <c r="CE219" s="1804"/>
      <c r="CF219" s="1804"/>
      <c r="CG219" s="1804"/>
      <c r="CH219" s="1804"/>
      <c r="CI219" s="1804"/>
      <c r="CJ219" s="1804"/>
      <c r="CK219" s="1804"/>
      <c r="CL219" s="1804"/>
      <c r="CM219" s="1804"/>
      <c r="CN219" s="1804"/>
      <c r="CO219" s="1804"/>
      <c r="CP219" s="1804"/>
      <c r="CQ219" s="1804"/>
      <c r="CR219" s="1804"/>
      <c r="CS219" s="1804"/>
      <c r="CT219" s="1804"/>
      <c r="CU219" s="1804"/>
      <c r="CV219" s="1804"/>
      <c r="CW219" s="1804"/>
      <c r="CX219" s="1804"/>
      <c r="CY219" s="1804"/>
      <c r="CZ219" s="1804"/>
      <c r="DA219" s="1804"/>
      <c r="DB219" s="1804"/>
      <c r="DC219" s="1804"/>
      <c r="DD219" s="1804"/>
      <c r="DE219" s="1804"/>
      <c r="DF219" s="1804"/>
      <c r="DG219" s="1804"/>
      <c r="DH219" s="1804"/>
      <c r="DI219" s="1804"/>
      <c r="DJ219" s="1804"/>
      <c r="DK219" s="1804"/>
      <c r="DL219" s="1804"/>
      <c r="DM219" s="1804"/>
      <c r="DN219" s="1804"/>
      <c r="DO219" s="1804"/>
      <c r="DP219" s="1804"/>
      <c r="DQ219" s="1804"/>
      <c r="DR219" s="1804"/>
      <c r="DS219" s="1804"/>
      <c r="DT219" s="1804"/>
      <c r="DU219" s="1804"/>
      <c r="DV219" s="1804"/>
      <c r="DW219" s="1804"/>
      <c r="DX219" s="1804"/>
      <c r="DY219" s="1804"/>
      <c r="DZ219" s="1804"/>
      <c r="EA219" s="1804"/>
      <c r="EB219" s="1804"/>
      <c r="EC219" s="1804"/>
      <c r="ED219" s="1804"/>
      <c r="EE219" s="1804"/>
      <c r="EF219" s="1804"/>
      <c r="EG219" s="1804"/>
      <c r="EH219" s="1804"/>
      <c r="EI219" s="1804"/>
      <c r="EJ219" s="1804"/>
      <c r="EK219" s="1804"/>
      <c r="EL219" s="1804"/>
      <c r="EM219" s="1804"/>
      <c r="EN219" s="1804"/>
      <c r="EO219" s="1804"/>
      <c r="EP219" s="1804"/>
      <c r="EQ219" s="1804"/>
      <c r="ER219" s="1804"/>
      <c r="ES219" s="1804"/>
      <c r="ET219" s="1804"/>
      <c r="EU219" s="1804"/>
      <c r="EV219" s="1804"/>
      <c r="EW219" s="1804"/>
      <c r="EX219" s="1804"/>
      <c r="EY219" s="1804"/>
      <c r="EZ219" s="1804"/>
      <c r="FA219" s="1804"/>
      <c r="FB219" s="1804"/>
      <c r="FC219" s="1804"/>
      <c r="FD219" s="1804"/>
      <c r="FE219" s="1804"/>
      <c r="FF219" s="1804"/>
      <c r="FG219" s="1804"/>
      <c r="FH219" s="1804"/>
      <c r="FI219" s="1804"/>
      <c r="FJ219" s="1804"/>
      <c r="FK219" s="1804"/>
      <c r="FL219" s="1804"/>
      <c r="FM219" s="1804"/>
      <c r="FN219" s="1804"/>
      <c r="FO219" s="1804"/>
      <c r="FP219" s="1804"/>
      <c r="FQ219" s="1804"/>
      <c r="FR219" s="1804"/>
      <c r="FS219" s="1804"/>
      <c r="FT219" s="1804"/>
      <c r="FU219" s="1804"/>
      <c r="FV219" s="1804"/>
      <c r="FW219" s="1804"/>
      <c r="FX219" s="1804"/>
      <c r="FY219" s="1804"/>
      <c r="FZ219" s="1804"/>
      <c r="GA219" s="1804"/>
      <c r="GB219" s="1804"/>
      <c r="GC219" s="1804"/>
      <c r="GD219" s="1804"/>
      <c r="GE219" s="1804"/>
      <c r="GF219" s="1804"/>
      <c r="GG219" s="1804"/>
      <c r="GH219" s="1804"/>
      <c r="GI219" s="1804"/>
      <c r="GJ219" s="1804"/>
      <c r="GK219" s="1804"/>
      <c r="GL219" s="1804"/>
      <c r="GM219" s="1804"/>
      <c r="GN219" s="1804"/>
      <c r="GO219" s="1804"/>
      <c r="GP219" s="1804"/>
      <c r="GQ219" s="1804"/>
      <c r="GR219" s="1804"/>
      <c r="GS219" s="1804"/>
      <c r="GT219" s="1804"/>
      <c r="GU219" s="1804"/>
      <c r="GV219" s="1804"/>
      <c r="GW219" s="1804"/>
      <c r="GX219" s="1804"/>
      <c r="GY219" s="1804"/>
      <c r="GZ219" s="1804"/>
      <c r="HA219" s="1804"/>
      <c r="HB219" s="1804"/>
      <c r="HC219" s="1804"/>
      <c r="HD219" s="1804"/>
      <c r="HE219" s="1804"/>
      <c r="HF219" s="1804"/>
      <c r="HG219" s="1804"/>
      <c r="HH219" s="1804"/>
      <c r="HI219" s="1804"/>
      <c r="HJ219" s="1804"/>
      <c r="HK219" s="1804"/>
      <c r="HL219" s="1804"/>
      <c r="HM219" s="1804"/>
      <c r="HN219" s="1804"/>
      <c r="HO219" s="1804"/>
      <c r="HP219" s="1804"/>
      <c r="HQ219" s="1804"/>
      <c r="HR219" s="1804"/>
      <c r="HS219" s="1804"/>
      <c r="HT219" s="1804"/>
      <c r="HU219" s="1804"/>
      <c r="HV219" s="1804"/>
      <c r="HW219" s="1804"/>
      <c r="HX219" s="1804"/>
      <c r="HY219" s="1804"/>
      <c r="HZ219" s="1804"/>
      <c r="IA219" s="1804"/>
      <c r="IB219" s="1804"/>
      <c r="IC219" s="1804"/>
      <c r="ID219" s="1804"/>
      <c r="IE219" s="1804"/>
      <c r="IF219" s="1804"/>
      <c r="IG219" s="1804"/>
      <c r="IH219" s="1804"/>
      <c r="II219" s="1804"/>
      <c r="IJ219" s="1804"/>
      <c r="IK219" s="1804"/>
      <c r="IL219" s="1804"/>
      <c r="IM219" s="1804"/>
      <c r="IN219" s="1804"/>
      <c r="IO219" s="1804"/>
      <c r="IP219" s="1804"/>
      <c r="IQ219" s="1804"/>
      <c r="IR219" s="1804"/>
      <c r="IS219" s="1804"/>
      <c r="IT219" s="1804"/>
      <c r="IU219" s="1804"/>
      <c r="IV219" s="1804"/>
      <c r="IW219" s="1804"/>
    </row>
    <row r="220" spans="3:257" s="888" customFormat="1" ht="15" customHeight="1" x14ac:dyDescent="0.45">
      <c r="C220" s="2375"/>
      <c r="D220" s="2378"/>
      <c r="E220" s="2378"/>
      <c r="F220" s="2357" t="s">
        <v>668</v>
      </c>
      <c r="G220" s="2382"/>
      <c r="H220" s="2382"/>
      <c r="I220" s="2382"/>
      <c r="J220" s="2382"/>
      <c r="K220" s="2382"/>
      <c r="L220" s="2382"/>
      <c r="M220" s="2382"/>
      <c r="N220" s="2382"/>
      <c r="O220" s="2382"/>
      <c r="P220" s="2382"/>
      <c r="Q220" s="2358"/>
      <c r="R220" s="596" t="s">
        <v>669</v>
      </c>
      <c r="S220" s="597"/>
      <c r="T220" s="597"/>
      <c r="U220" s="597"/>
      <c r="V220" s="597"/>
      <c r="W220" s="597"/>
      <c r="X220" s="597"/>
      <c r="Y220" s="597"/>
      <c r="Z220" s="597"/>
      <c r="AA220" s="597"/>
      <c r="AB220" s="598"/>
      <c r="AC220" s="2386" t="s">
        <v>670</v>
      </c>
      <c r="AD220" s="2387"/>
      <c r="AE220" s="2386" t="s">
        <v>671</v>
      </c>
      <c r="AF220" s="2387"/>
      <c r="AG220" s="2386" t="s">
        <v>672</v>
      </c>
      <c r="AH220" s="2387"/>
      <c r="AI220" s="2386" t="s">
        <v>673</v>
      </c>
      <c r="AJ220" s="2387"/>
      <c r="AK220" s="2386" t="s">
        <v>674</v>
      </c>
      <c r="AL220" s="2387"/>
      <c r="AM220" s="2386" t="s">
        <v>675</v>
      </c>
      <c r="AN220" s="2387"/>
      <c r="AO220" s="2384"/>
      <c r="AP220" s="1804"/>
      <c r="AQ220" s="1804"/>
      <c r="AR220" s="1804"/>
      <c r="AS220" s="1804"/>
      <c r="AT220" s="1804"/>
      <c r="AU220" s="1804"/>
      <c r="AV220" s="1804"/>
      <c r="AW220" s="1804"/>
      <c r="AX220" s="1804"/>
      <c r="AY220" s="1804"/>
      <c r="AZ220" s="1804"/>
      <c r="BA220" s="1804"/>
      <c r="BB220" s="1804"/>
      <c r="BC220" s="1804"/>
      <c r="BD220" s="1804"/>
      <c r="BE220" s="1804"/>
      <c r="BF220" s="1804"/>
      <c r="BG220" s="1804"/>
      <c r="BH220" s="1804"/>
      <c r="BI220" s="1804"/>
      <c r="BJ220" s="1804"/>
      <c r="BK220" s="1804"/>
      <c r="BL220" s="1804"/>
      <c r="BM220" s="1804"/>
      <c r="BN220" s="1804"/>
      <c r="BO220" s="1804"/>
      <c r="BP220" s="1804"/>
      <c r="BQ220" s="1804"/>
      <c r="BR220" s="1804"/>
      <c r="BS220" s="1804"/>
      <c r="BT220" s="1804"/>
      <c r="BU220" s="1804"/>
      <c r="BV220" s="1804"/>
      <c r="BW220" s="1804"/>
      <c r="BX220" s="1804"/>
      <c r="BY220" s="1804"/>
      <c r="BZ220" s="1804"/>
      <c r="CA220" s="1804"/>
      <c r="CB220" s="1804"/>
      <c r="CC220" s="1804"/>
      <c r="CD220" s="1804"/>
      <c r="CE220" s="1804"/>
      <c r="CF220" s="1804"/>
      <c r="CG220" s="1804"/>
      <c r="CH220" s="1804"/>
      <c r="CI220" s="1804"/>
      <c r="CJ220" s="1804"/>
      <c r="CK220" s="1804"/>
      <c r="CL220" s="1804"/>
      <c r="CM220" s="1804"/>
      <c r="CN220" s="1804"/>
      <c r="CO220" s="1804"/>
      <c r="CP220" s="1804"/>
      <c r="CQ220" s="1804"/>
      <c r="CR220" s="1804"/>
      <c r="CS220" s="1804"/>
      <c r="CT220" s="1804"/>
      <c r="CU220" s="1804"/>
      <c r="CV220" s="1804"/>
      <c r="CW220" s="1804"/>
      <c r="CX220" s="1804"/>
      <c r="CY220" s="1804"/>
      <c r="CZ220" s="1804"/>
      <c r="DA220" s="1804"/>
      <c r="DB220" s="1804"/>
      <c r="DC220" s="1804"/>
      <c r="DD220" s="1804"/>
      <c r="DE220" s="1804"/>
      <c r="DF220" s="1804"/>
      <c r="DG220" s="1804"/>
      <c r="DH220" s="1804"/>
      <c r="DI220" s="1804"/>
      <c r="DJ220" s="1804"/>
      <c r="DK220" s="1804"/>
      <c r="DL220" s="1804"/>
      <c r="DM220" s="1804"/>
      <c r="DN220" s="1804"/>
      <c r="DO220" s="1804"/>
      <c r="DP220" s="1804"/>
      <c r="DQ220" s="1804"/>
      <c r="DR220" s="1804"/>
      <c r="DS220" s="1804"/>
      <c r="DT220" s="1804"/>
      <c r="DU220" s="1804"/>
      <c r="DV220" s="1804"/>
      <c r="DW220" s="1804"/>
      <c r="DX220" s="1804"/>
      <c r="DY220" s="1804"/>
      <c r="DZ220" s="1804"/>
      <c r="EA220" s="1804"/>
      <c r="EB220" s="1804"/>
      <c r="EC220" s="1804"/>
      <c r="ED220" s="1804"/>
      <c r="EE220" s="1804"/>
      <c r="EF220" s="1804"/>
      <c r="EG220" s="1804"/>
      <c r="EH220" s="1804"/>
      <c r="EI220" s="1804"/>
      <c r="EJ220" s="1804"/>
      <c r="EK220" s="1804"/>
      <c r="EL220" s="1804"/>
      <c r="EM220" s="1804"/>
      <c r="EN220" s="1804"/>
      <c r="EO220" s="1804"/>
      <c r="EP220" s="1804"/>
      <c r="EQ220" s="1804"/>
      <c r="ER220" s="1804"/>
      <c r="ES220" s="1804"/>
      <c r="ET220" s="1804"/>
      <c r="EU220" s="1804"/>
      <c r="EV220" s="1804"/>
      <c r="EW220" s="1804"/>
      <c r="EX220" s="1804"/>
      <c r="EY220" s="1804"/>
      <c r="EZ220" s="1804"/>
      <c r="FA220" s="1804"/>
      <c r="FB220" s="1804"/>
      <c r="FC220" s="1804"/>
      <c r="FD220" s="1804"/>
      <c r="FE220" s="1804"/>
      <c r="FF220" s="1804"/>
      <c r="FG220" s="1804"/>
      <c r="FH220" s="1804"/>
      <c r="FI220" s="1804"/>
      <c r="FJ220" s="1804"/>
      <c r="FK220" s="1804"/>
      <c r="FL220" s="1804"/>
      <c r="FM220" s="1804"/>
      <c r="FN220" s="1804"/>
      <c r="FO220" s="1804"/>
      <c r="FP220" s="1804"/>
      <c r="FQ220" s="1804"/>
      <c r="FR220" s="1804"/>
      <c r="FS220" s="1804"/>
      <c r="FT220" s="1804"/>
      <c r="FU220" s="1804"/>
      <c r="FV220" s="1804"/>
      <c r="FW220" s="1804"/>
      <c r="FX220" s="1804"/>
      <c r="FY220" s="1804"/>
      <c r="FZ220" s="1804"/>
      <c r="GA220" s="1804"/>
      <c r="GB220" s="1804"/>
      <c r="GC220" s="1804"/>
      <c r="GD220" s="1804"/>
      <c r="GE220" s="1804"/>
      <c r="GF220" s="1804"/>
      <c r="GG220" s="1804"/>
      <c r="GH220" s="1804"/>
      <c r="GI220" s="1804"/>
      <c r="GJ220" s="1804"/>
      <c r="GK220" s="1804"/>
      <c r="GL220" s="1804"/>
      <c r="GM220" s="1804"/>
      <c r="GN220" s="1804"/>
      <c r="GO220" s="1804"/>
      <c r="GP220" s="1804"/>
      <c r="GQ220" s="1804"/>
      <c r="GR220" s="1804"/>
      <c r="GS220" s="1804"/>
      <c r="GT220" s="1804"/>
      <c r="GU220" s="1804"/>
      <c r="GV220" s="1804"/>
      <c r="GW220" s="1804"/>
      <c r="GX220" s="1804"/>
      <c r="GY220" s="1804"/>
      <c r="GZ220" s="1804"/>
      <c r="HA220" s="1804"/>
      <c r="HB220" s="1804"/>
      <c r="HC220" s="1804"/>
      <c r="HD220" s="1804"/>
      <c r="HE220" s="1804"/>
      <c r="HF220" s="1804"/>
      <c r="HG220" s="1804"/>
      <c r="HH220" s="1804"/>
      <c r="HI220" s="1804"/>
      <c r="HJ220" s="1804"/>
      <c r="HK220" s="1804"/>
      <c r="HL220" s="1804"/>
      <c r="HM220" s="1804"/>
      <c r="HN220" s="1804"/>
      <c r="HO220" s="1804"/>
      <c r="HP220" s="1804"/>
      <c r="HQ220" s="1804"/>
      <c r="HR220" s="1804"/>
      <c r="HS220" s="1804"/>
      <c r="HT220" s="1804"/>
      <c r="HU220" s="1804"/>
      <c r="HV220" s="1804"/>
      <c r="HW220" s="1804"/>
      <c r="HX220" s="1804"/>
      <c r="HY220" s="1804"/>
      <c r="HZ220" s="1804"/>
      <c r="IA220" s="1804"/>
      <c r="IB220" s="1804"/>
      <c r="IC220" s="1804"/>
      <c r="ID220" s="1804"/>
      <c r="IE220" s="1804"/>
      <c r="IF220" s="1804"/>
      <c r="IG220" s="1804"/>
      <c r="IH220" s="1804"/>
      <c r="II220" s="1804"/>
      <c r="IJ220" s="1804"/>
      <c r="IK220" s="1804"/>
      <c r="IL220" s="1804"/>
      <c r="IM220" s="1804"/>
      <c r="IN220" s="1804"/>
      <c r="IO220" s="1804"/>
      <c r="IP220" s="1804"/>
      <c r="IQ220" s="1804"/>
      <c r="IR220" s="1804"/>
      <c r="IS220" s="1804"/>
      <c r="IT220" s="1804"/>
      <c r="IU220" s="1804"/>
      <c r="IV220" s="1804"/>
      <c r="IW220" s="1804"/>
    </row>
    <row r="221" spans="3:257" s="888" customFormat="1" x14ac:dyDescent="0.45">
      <c r="C221" s="2375"/>
      <c r="D221" s="2378"/>
      <c r="E221" s="2378"/>
      <c r="F221" s="86" t="s">
        <v>676</v>
      </c>
      <c r="G221" s="86" t="s">
        <v>677</v>
      </c>
      <c r="H221" s="2380" t="s">
        <v>678</v>
      </c>
      <c r="I221" s="2380"/>
      <c r="J221" s="2380"/>
      <c r="K221" s="2380"/>
      <c r="L221" s="2381" t="s">
        <v>679</v>
      </c>
      <c r="M221" s="2381"/>
      <c r="N221" s="2357" t="s">
        <v>394</v>
      </c>
      <c r="O221" s="2382"/>
      <c r="P221" s="2382"/>
      <c r="Q221" s="2358"/>
      <c r="R221" s="86" t="s">
        <v>676</v>
      </c>
      <c r="S221" s="86" t="s">
        <v>677</v>
      </c>
      <c r="T221" s="599" t="s">
        <v>678</v>
      </c>
      <c r="U221" s="600"/>
      <c r="V221" s="600"/>
      <c r="W221" s="601"/>
      <c r="X221" s="2381" t="s">
        <v>679</v>
      </c>
      <c r="Y221" s="2381"/>
      <c r="Z221" s="2381" t="s">
        <v>394</v>
      </c>
      <c r="AA221" s="2381"/>
      <c r="AB221" s="2381"/>
      <c r="AC221" s="86" t="s">
        <v>676</v>
      </c>
      <c r="AD221" s="86" t="s">
        <v>677</v>
      </c>
      <c r="AE221" s="86" t="s">
        <v>676</v>
      </c>
      <c r="AF221" s="86" t="s">
        <v>677</v>
      </c>
      <c r="AG221" s="86" t="s">
        <v>676</v>
      </c>
      <c r="AH221" s="86" t="s">
        <v>677</v>
      </c>
      <c r="AI221" s="86" t="s">
        <v>676</v>
      </c>
      <c r="AJ221" s="86" t="s">
        <v>677</v>
      </c>
      <c r="AK221" s="86" t="s">
        <v>676</v>
      </c>
      <c r="AL221" s="86" t="s">
        <v>677</v>
      </c>
      <c r="AM221" s="86" t="s">
        <v>676</v>
      </c>
      <c r="AN221" s="87" t="s">
        <v>677</v>
      </c>
      <c r="AO221" s="2385"/>
      <c r="AP221" s="1804"/>
      <c r="AQ221" s="1804"/>
      <c r="AR221" s="1804"/>
      <c r="AS221" s="1804"/>
      <c r="AT221" s="1839"/>
      <c r="AU221" s="1839"/>
      <c r="AV221" s="1839"/>
      <c r="AW221" s="1839"/>
      <c r="AX221" s="1839"/>
      <c r="AY221" s="1839"/>
      <c r="AZ221" s="1839"/>
      <c r="BA221" s="1839"/>
      <c r="BB221" s="1839"/>
      <c r="BC221" s="1839"/>
      <c r="BD221" s="1839"/>
      <c r="BE221" s="1839"/>
      <c r="BF221" s="1839"/>
      <c r="BG221" s="1839"/>
      <c r="BH221" s="1839"/>
      <c r="BI221" s="1839"/>
      <c r="BJ221" s="1839"/>
      <c r="BK221" s="1839"/>
      <c r="BL221" s="1839"/>
      <c r="BM221" s="1839"/>
      <c r="BN221" s="1839"/>
      <c r="BO221" s="1839"/>
      <c r="BP221" s="1839"/>
      <c r="BQ221" s="1839"/>
      <c r="BR221" s="1839"/>
      <c r="BS221" s="1839"/>
      <c r="BT221" s="1839"/>
      <c r="BU221" s="1839"/>
      <c r="BV221" s="1839"/>
      <c r="BW221" s="1839"/>
      <c r="BX221" s="1839"/>
      <c r="BY221" s="1839"/>
      <c r="BZ221" s="1839"/>
      <c r="CA221" s="1839"/>
      <c r="CB221" s="1839"/>
      <c r="CC221" s="1839"/>
      <c r="CD221" s="1839"/>
      <c r="CE221" s="1839"/>
      <c r="CF221" s="1839"/>
      <c r="CG221" s="1839"/>
      <c r="CH221" s="1839"/>
      <c r="CI221" s="1839"/>
      <c r="CJ221" s="1839"/>
      <c r="CK221" s="1839"/>
      <c r="CL221" s="1839"/>
      <c r="CM221" s="1839"/>
      <c r="CN221" s="1839"/>
      <c r="CO221" s="1839"/>
      <c r="CP221" s="1839"/>
      <c r="CQ221" s="1839"/>
      <c r="CR221" s="1839"/>
      <c r="CS221" s="1839"/>
      <c r="CT221" s="1839"/>
      <c r="CU221" s="1839"/>
      <c r="CV221" s="1839"/>
      <c r="CW221" s="1839"/>
      <c r="CX221" s="1839"/>
      <c r="CY221" s="1839"/>
      <c r="CZ221" s="1839"/>
      <c r="DA221" s="1839"/>
      <c r="DB221" s="1839"/>
      <c r="DC221" s="1839"/>
      <c r="DD221" s="1839"/>
      <c r="DE221" s="1839"/>
      <c r="DF221" s="1839"/>
      <c r="DG221" s="1839"/>
      <c r="DH221" s="1839"/>
      <c r="DI221" s="1839"/>
      <c r="DJ221" s="1839"/>
      <c r="DK221" s="1839"/>
      <c r="DL221" s="1839"/>
      <c r="DM221" s="1839"/>
      <c r="DN221" s="1839"/>
      <c r="DO221" s="1839"/>
      <c r="DP221" s="1839"/>
      <c r="DQ221" s="1839"/>
      <c r="DR221" s="1839"/>
      <c r="DS221" s="1839"/>
      <c r="DT221" s="1839"/>
      <c r="DU221" s="1839"/>
      <c r="DV221" s="1839"/>
      <c r="DW221" s="1839"/>
      <c r="DX221" s="1839"/>
      <c r="DY221" s="1839"/>
      <c r="DZ221" s="1839"/>
      <c r="EA221" s="1839"/>
      <c r="EB221" s="1839"/>
      <c r="EC221" s="1839"/>
      <c r="ED221" s="1839"/>
      <c r="EE221" s="1839"/>
      <c r="EF221" s="1839"/>
      <c r="EG221" s="1839"/>
      <c r="EH221" s="1839"/>
      <c r="EI221" s="1839"/>
      <c r="EJ221" s="1839"/>
      <c r="EK221" s="1839"/>
      <c r="EL221" s="1839"/>
      <c r="EM221" s="1839"/>
      <c r="EN221" s="1839"/>
      <c r="EO221" s="1839"/>
      <c r="EP221" s="1839"/>
      <c r="EQ221" s="1839"/>
      <c r="ER221" s="1839"/>
      <c r="ES221" s="1839"/>
      <c r="ET221" s="1839"/>
      <c r="EU221" s="1839"/>
      <c r="EV221" s="1839"/>
      <c r="EW221" s="1839"/>
      <c r="EX221" s="1839"/>
      <c r="EY221" s="1839"/>
      <c r="EZ221" s="1839"/>
      <c r="FA221" s="1839"/>
      <c r="FB221" s="1839"/>
      <c r="FC221" s="1839"/>
      <c r="FD221" s="1839"/>
      <c r="FE221" s="1839"/>
      <c r="FF221" s="1839"/>
      <c r="FG221" s="1839"/>
      <c r="FH221" s="1839"/>
      <c r="FI221" s="1839"/>
      <c r="FJ221" s="1839"/>
      <c r="FK221" s="1839"/>
      <c r="FL221" s="1839"/>
      <c r="FM221" s="1839"/>
      <c r="FN221" s="1839"/>
      <c r="FO221" s="1839"/>
      <c r="FP221" s="1839"/>
      <c r="FQ221" s="1839"/>
      <c r="FR221" s="1839"/>
      <c r="FS221" s="1839"/>
      <c r="FT221" s="1839"/>
      <c r="FU221" s="1839"/>
      <c r="FV221" s="1839"/>
      <c r="FW221" s="1839"/>
      <c r="FX221" s="1839"/>
      <c r="FY221" s="1839"/>
      <c r="FZ221" s="1839"/>
      <c r="GA221" s="1839"/>
      <c r="GB221" s="1839"/>
      <c r="GC221" s="1839"/>
      <c r="GD221" s="1839"/>
      <c r="GE221" s="1839"/>
      <c r="GF221" s="1839"/>
      <c r="GG221" s="1839"/>
      <c r="GH221" s="1839"/>
      <c r="GI221" s="1839"/>
      <c r="GJ221" s="1839"/>
      <c r="GK221" s="1839"/>
      <c r="GL221" s="1839"/>
      <c r="GM221" s="1839"/>
      <c r="GN221" s="1839"/>
      <c r="GO221" s="1839"/>
      <c r="GP221" s="1839"/>
      <c r="GQ221" s="1839"/>
      <c r="GR221" s="1839"/>
      <c r="GS221" s="1839"/>
      <c r="GT221" s="1839"/>
      <c r="GU221" s="1839"/>
      <c r="GV221" s="1839"/>
      <c r="GW221" s="1839"/>
      <c r="GX221" s="1839"/>
      <c r="GY221" s="1839"/>
      <c r="GZ221" s="1839"/>
      <c r="HA221" s="1839"/>
      <c r="HB221" s="1839"/>
      <c r="HC221" s="1839"/>
      <c r="HD221" s="1839"/>
      <c r="HE221" s="1839"/>
      <c r="HF221" s="1839"/>
      <c r="HG221" s="1839"/>
      <c r="HH221" s="1839"/>
      <c r="HI221" s="1839"/>
      <c r="HJ221" s="1839"/>
      <c r="HK221" s="1839"/>
      <c r="HL221" s="1839"/>
      <c r="HM221" s="1839"/>
      <c r="HN221" s="1839"/>
      <c r="HO221" s="1839"/>
      <c r="HP221" s="1839"/>
      <c r="HQ221" s="1839"/>
      <c r="HR221" s="1839"/>
      <c r="HS221" s="1839"/>
      <c r="HT221" s="1839"/>
      <c r="HU221" s="1839"/>
      <c r="HV221" s="1839"/>
      <c r="HW221" s="1839"/>
      <c r="HX221" s="1839"/>
      <c r="HY221" s="1839"/>
      <c r="HZ221" s="1839"/>
      <c r="IA221" s="1839"/>
      <c r="IB221" s="1839"/>
      <c r="IC221" s="1839"/>
      <c r="ID221" s="1839"/>
      <c r="IE221" s="1839"/>
      <c r="IF221" s="1839"/>
      <c r="IG221" s="1839"/>
      <c r="IH221" s="1839"/>
      <c r="II221" s="1839"/>
      <c r="IJ221" s="1839"/>
      <c r="IK221" s="1839"/>
      <c r="IL221" s="1839"/>
      <c r="IM221" s="1839"/>
      <c r="IN221" s="1839"/>
      <c r="IO221" s="1839"/>
      <c r="IP221" s="1839"/>
      <c r="IQ221" s="1839"/>
      <c r="IR221" s="1839"/>
      <c r="IS221" s="1839"/>
      <c r="IT221" s="1839"/>
      <c r="IU221" s="1839"/>
      <c r="IV221" s="1839"/>
      <c r="IW221" s="1839"/>
    </row>
    <row r="222" spans="3:257" s="888" customFormat="1" ht="14.65" x14ac:dyDescent="0.45">
      <c r="C222" s="2376"/>
      <c r="D222" s="2379"/>
      <c r="E222" s="2379"/>
      <c r="F222" s="88" t="s">
        <v>680</v>
      </c>
      <c r="G222" s="88" t="s">
        <v>680</v>
      </c>
      <c r="H222" s="48" t="s">
        <v>681</v>
      </c>
      <c r="I222" s="48" t="s">
        <v>682</v>
      </c>
      <c r="J222" s="48" t="s">
        <v>683</v>
      </c>
      <c r="K222" s="48" t="s">
        <v>684</v>
      </c>
      <c r="L222" s="89" t="s">
        <v>685</v>
      </c>
      <c r="M222" s="48" t="s">
        <v>686</v>
      </c>
      <c r="N222" s="88" t="s">
        <v>687</v>
      </c>
      <c r="O222" s="90" t="s">
        <v>688</v>
      </c>
      <c r="P222" s="88" t="s">
        <v>689</v>
      </c>
      <c r="Q222" s="88" t="s">
        <v>690</v>
      </c>
      <c r="R222" s="90" t="s">
        <v>680</v>
      </c>
      <c r="S222" s="90" t="s">
        <v>680</v>
      </c>
      <c r="T222" s="48" t="s">
        <v>681</v>
      </c>
      <c r="U222" s="48" t="s">
        <v>691</v>
      </c>
      <c r="V222" s="48" t="s">
        <v>683</v>
      </c>
      <c r="W222" s="48" t="s">
        <v>684</v>
      </c>
      <c r="X222" s="48" t="s">
        <v>685</v>
      </c>
      <c r="Y222" s="48" t="s">
        <v>686</v>
      </c>
      <c r="Z222" s="90" t="s">
        <v>692</v>
      </c>
      <c r="AA222" s="90" t="s">
        <v>693</v>
      </c>
      <c r="AB222" s="90" t="s">
        <v>694</v>
      </c>
      <c r="AC222" s="91" t="s">
        <v>680</v>
      </c>
      <c r="AD222" s="88" t="s">
        <v>680</v>
      </c>
      <c r="AE222" s="88" t="s">
        <v>680</v>
      </c>
      <c r="AF222" s="88" t="s">
        <v>680</v>
      </c>
      <c r="AG222" s="88" t="s">
        <v>680</v>
      </c>
      <c r="AH222" s="88" t="s">
        <v>680</v>
      </c>
      <c r="AI222" s="88" t="s">
        <v>680</v>
      </c>
      <c r="AJ222" s="88" t="s">
        <v>680</v>
      </c>
      <c r="AK222" s="88" t="s">
        <v>680</v>
      </c>
      <c r="AL222" s="88" t="s">
        <v>680</v>
      </c>
      <c r="AM222" s="88" t="s">
        <v>680</v>
      </c>
      <c r="AN222" s="88" t="s">
        <v>680</v>
      </c>
      <c r="AO222" s="92" t="s">
        <v>115</v>
      </c>
      <c r="AP222" s="1839"/>
      <c r="AQ222" s="1839"/>
      <c r="AR222" s="1839"/>
      <c r="AS222" s="1839"/>
      <c r="AT222" s="1804"/>
      <c r="AU222" s="1804"/>
      <c r="AV222" s="1804"/>
      <c r="AW222" s="1804"/>
      <c r="AX222" s="1804"/>
      <c r="AY222" s="1804"/>
      <c r="AZ222" s="1804"/>
      <c r="BA222" s="1804"/>
      <c r="BB222" s="1804"/>
      <c r="BC222" s="1804"/>
      <c r="BD222" s="1804"/>
      <c r="BE222" s="1804"/>
      <c r="BF222" s="1804"/>
      <c r="BG222" s="1804"/>
      <c r="BH222" s="1804"/>
      <c r="BI222" s="1804"/>
      <c r="BJ222" s="1804"/>
      <c r="BK222" s="1804"/>
      <c r="BL222" s="1804"/>
      <c r="BM222" s="1804"/>
      <c r="BN222" s="1804"/>
      <c r="BO222" s="1804"/>
      <c r="BP222" s="1804"/>
      <c r="BQ222" s="1804"/>
      <c r="BR222" s="1804"/>
      <c r="BS222" s="1804"/>
      <c r="BT222" s="1804"/>
      <c r="BU222" s="1804"/>
      <c r="BV222" s="1804"/>
      <c r="BW222" s="1804"/>
      <c r="BX222" s="1804"/>
      <c r="BY222" s="1804"/>
      <c r="BZ222" s="1804"/>
      <c r="CA222" s="1804"/>
      <c r="CB222" s="1804"/>
      <c r="CC222" s="1804"/>
      <c r="CD222" s="1804"/>
      <c r="CE222" s="1804"/>
      <c r="CF222" s="1804"/>
      <c r="CG222" s="1804"/>
      <c r="CH222" s="1804"/>
      <c r="CI222" s="1804"/>
      <c r="CJ222" s="1804"/>
      <c r="CK222" s="1804"/>
      <c r="CL222" s="1804"/>
      <c r="CM222" s="1804"/>
      <c r="CN222" s="1804"/>
      <c r="CO222" s="1804"/>
      <c r="CP222" s="1804"/>
      <c r="CQ222" s="1804"/>
      <c r="CR222" s="1804"/>
      <c r="CS222" s="1804"/>
      <c r="CT222" s="1804"/>
      <c r="CU222" s="1804"/>
      <c r="CV222" s="1804"/>
      <c r="CW222" s="1804"/>
      <c r="CX222" s="1804"/>
      <c r="CY222" s="1804"/>
      <c r="CZ222" s="1804"/>
      <c r="DA222" s="1804"/>
      <c r="DB222" s="1804"/>
      <c r="DC222" s="1804"/>
      <c r="DD222" s="1804"/>
      <c r="DE222" s="1804"/>
      <c r="DF222" s="1804"/>
      <c r="DG222" s="1804"/>
      <c r="DH222" s="1804"/>
      <c r="DI222" s="1804"/>
      <c r="DJ222" s="1804"/>
      <c r="DK222" s="1804"/>
      <c r="DL222" s="1804"/>
      <c r="DM222" s="1804"/>
      <c r="DN222" s="1804"/>
      <c r="DO222" s="1804"/>
      <c r="DP222" s="1804"/>
      <c r="DQ222" s="1804"/>
      <c r="DR222" s="1804"/>
      <c r="DS222" s="1804"/>
      <c r="DT222" s="1804"/>
      <c r="DU222" s="1804"/>
      <c r="DV222" s="1804"/>
      <c r="DW222" s="1804"/>
      <c r="DX222" s="1804"/>
      <c r="DY222" s="1804"/>
      <c r="DZ222" s="1804"/>
      <c r="EA222" s="1804"/>
      <c r="EB222" s="1804"/>
      <c r="EC222" s="1804"/>
      <c r="ED222" s="1804"/>
      <c r="EE222" s="1804"/>
      <c r="EF222" s="1804"/>
      <c r="EG222" s="1804"/>
      <c r="EH222" s="1804"/>
      <c r="EI222" s="1804"/>
      <c r="EJ222" s="1804"/>
      <c r="EK222" s="1804"/>
      <c r="EL222" s="1804"/>
      <c r="EM222" s="1804"/>
      <c r="EN222" s="1804"/>
      <c r="EO222" s="1804"/>
      <c r="EP222" s="1804"/>
      <c r="EQ222" s="1804"/>
      <c r="ER222" s="1804"/>
      <c r="ES222" s="1804"/>
      <c r="ET222" s="1804"/>
      <c r="EU222" s="1804"/>
      <c r="EV222" s="1804"/>
      <c r="EW222" s="1804"/>
      <c r="EX222" s="1804"/>
      <c r="EY222" s="1804"/>
      <c r="EZ222" s="1804"/>
      <c r="FA222" s="1804"/>
      <c r="FB222" s="1804"/>
      <c r="FC222" s="1804"/>
      <c r="FD222" s="1804"/>
      <c r="FE222" s="1804"/>
      <c r="FF222" s="1804"/>
      <c r="FG222" s="1804"/>
      <c r="FH222" s="1804"/>
      <c r="FI222" s="1804"/>
      <c r="FJ222" s="1804"/>
      <c r="FK222" s="1804"/>
      <c r="FL222" s="1804"/>
      <c r="FM222" s="1804"/>
      <c r="FN222" s="1804"/>
      <c r="FO222" s="1804"/>
      <c r="FP222" s="1804"/>
      <c r="FQ222" s="1804"/>
      <c r="FR222" s="1804"/>
      <c r="FS222" s="1804"/>
      <c r="FT222" s="1804"/>
      <c r="FU222" s="1804"/>
      <c r="FV222" s="1804"/>
      <c r="FW222" s="1804"/>
      <c r="FX222" s="1804"/>
      <c r="FY222" s="1804"/>
      <c r="FZ222" s="1804"/>
      <c r="GA222" s="1804"/>
      <c r="GB222" s="1804"/>
      <c r="GC222" s="1804"/>
      <c r="GD222" s="1804"/>
      <c r="GE222" s="1804"/>
      <c r="GF222" s="1804"/>
      <c r="GG222" s="1804"/>
      <c r="GH222" s="1804"/>
      <c r="GI222" s="1804"/>
      <c r="GJ222" s="1804"/>
      <c r="GK222" s="1804"/>
      <c r="GL222" s="1804"/>
      <c r="GM222" s="1804"/>
      <c r="GN222" s="1804"/>
      <c r="GO222" s="1804"/>
      <c r="GP222" s="1804"/>
      <c r="GQ222" s="1804"/>
      <c r="GR222" s="1804"/>
      <c r="GS222" s="1804"/>
      <c r="GT222" s="1804"/>
      <c r="GU222" s="1804"/>
      <c r="GV222" s="1804"/>
      <c r="GW222" s="1804"/>
      <c r="GX222" s="1804"/>
      <c r="GY222" s="1804"/>
      <c r="GZ222" s="1804"/>
      <c r="HA222" s="1804"/>
      <c r="HB222" s="1804"/>
      <c r="HC222" s="1804"/>
      <c r="HD222" s="1804"/>
      <c r="HE222" s="1804"/>
      <c r="HF222" s="1804"/>
      <c r="HG222" s="1804"/>
      <c r="HH222" s="1804"/>
      <c r="HI222" s="1804"/>
      <c r="HJ222" s="1804"/>
      <c r="HK222" s="1804"/>
      <c r="HL222" s="1804"/>
      <c r="HM222" s="1804"/>
      <c r="HN222" s="1804"/>
      <c r="HO222" s="1804"/>
      <c r="HP222" s="1804"/>
      <c r="HQ222" s="1804"/>
      <c r="HR222" s="1804"/>
      <c r="HS222" s="1804"/>
      <c r="HT222" s="1804"/>
      <c r="HU222" s="1804"/>
      <c r="HV222" s="1804"/>
      <c r="HW222" s="1804"/>
      <c r="HX222" s="1804"/>
      <c r="HY222" s="1804"/>
      <c r="HZ222" s="1804"/>
      <c r="IA222" s="1804"/>
      <c r="IB222" s="1804"/>
      <c r="IC222" s="1804"/>
      <c r="ID222" s="1804"/>
      <c r="IE222" s="1804"/>
      <c r="IF222" s="1804"/>
      <c r="IG222" s="1804"/>
      <c r="IH222" s="1804"/>
      <c r="II222" s="1804"/>
      <c r="IJ222" s="1804"/>
      <c r="IK222" s="1804"/>
      <c r="IL222" s="1804"/>
      <c r="IM222" s="1804"/>
      <c r="IN222" s="1804"/>
      <c r="IO222" s="1804"/>
      <c r="IP222" s="1804"/>
      <c r="IQ222" s="1804"/>
      <c r="IR222" s="1804"/>
      <c r="IS222" s="1804"/>
      <c r="IT222" s="1804"/>
      <c r="IU222" s="1804"/>
      <c r="IV222" s="1804"/>
      <c r="IW222" s="1804"/>
    </row>
    <row r="223" spans="3:257" s="888" customFormat="1" x14ac:dyDescent="0.45">
      <c r="C223" s="67" t="s">
        <v>528</v>
      </c>
      <c r="D223" s="68" t="s">
        <v>630</v>
      </c>
      <c r="E223" s="69"/>
      <c r="F223" s="93">
        <v>0</v>
      </c>
      <c r="G223" s="93">
        <v>0</v>
      </c>
      <c r="H223" s="93">
        <v>0</v>
      </c>
      <c r="I223" s="94">
        <v>0</v>
      </c>
      <c r="J223" s="93">
        <v>0</v>
      </c>
      <c r="K223" s="93">
        <v>0</v>
      </c>
      <c r="L223" s="93">
        <v>0</v>
      </c>
      <c r="M223" s="94">
        <v>0</v>
      </c>
      <c r="N223" s="93">
        <v>0</v>
      </c>
      <c r="O223" s="93">
        <v>0</v>
      </c>
      <c r="P223" s="94">
        <v>0</v>
      </c>
      <c r="Q223" s="94">
        <v>0</v>
      </c>
      <c r="R223" s="94">
        <v>0</v>
      </c>
      <c r="S223" s="94">
        <v>0</v>
      </c>
      <c r="T223" s="94">
        <v>0</v>
      </c>
      <c r="U223" s="95">
        <v>0</v>
      </c>
      <c r="V223" s="95">
        <v>0</v>
      </c>
      <c r="W223" s="95">
        <v>0</v>
      </c>
      <c r="X223" s="95">
        <v>0</v>
      </c>
      <c r="Y223" s="95">
        <v>0</v>
      </c>
      <c r="Z223" s="95">
        <v>0</v>
      </c>
      <c r="AA223" s="95">
        <v>0</v>
      </c>
      <c r="AB223" s="95">
        <v>0</v>
      </c>
      <c r="AC223" s="96">
        <v>0</v>
      </c>
      <c r="AD223" s="96">
        <v>0</v>
      </c>
      <c r="AE223" s="96">
        <v>0</v>
      </c>
      <c r="AF223" s="96">
        <v>0</v>
      </c>
      <c r="AG223" s="96">
        <v>0</v>
      </c>
      <c r="AH223" s="96">
        <v>0</v>
      </c>
      <c r="AI223" s="96">
        <v>0</v>
      </c>
      <c r="AJ223" s="96">
        <v>0</v>
      </c>
      <c r="AK223" s="96">
        <v>0</v>
      </c>
      <c r="AL223" s="96">
        <v>0</v>
      </c>
      <c r="AM223" s="96">
        <v>0</v>
      </c>
      <c r="AN223" s="97">
        <v>0</v>
      </c>
      <c r="AO223" s="98">
        <f t="shared" ref="AO223:AO255" si="15">((F223+G223+R223+S223+SUM(AC223:AN223))*$D$475)+((H223+T223)*$D$472)+((I223+U223)*$D$473)+((J223+V223)*$D$474)+((K223+W223)*$D$471)+((L223+X223)*$D$468)+((M223+Y223)*$D$467)</f>
        <v>0</v>
      </c>
      <c r="AP223" s="1804"/>
      <c r="AQ223" s="1804"/>
      <c r="AR223" s="1804"/>
      <c r="AS223" s="1804"/>
      <c r="AT223" s="1804"/>
      <c r="AU223" s="1804"/>
      <c r="AV223" s="1804"/>
      <c r="AW223" s="1804"/>
      <c r="AX223" s="1804"/>
      <c r="AY223" s="1804"/>
      <c r="AZ223" s="1804"/>
      <c r="BA223" s="1804"/>
      <c r="BB223" s="1804"/>
      <c r="BC223" s="1804"/>
      <c r="BD223" s="1804"/>
      <c r="BE223" s="1804"/>
      <c r="BF223" s="1804"/>
      <c r="BG223" s="1804"/>
      <c r="BH223" s="1804"/>
      <c r="BI223" s="1804"/>
      <c r="BJ223" s="1804"/>
      <c r="BK223" s="1804"/>
      <c r="BL223" s="1804"/>
      <c r="BM223" s="1804"/>
      <c r="BN223" s="1804"/>
      <c r="BO223" s="1804"/>
      <c r="BP223" s="1804"/>
      <c r="BQ223" s="1804"/>
      <c r="BR223" s="1804"/>
      <c r="BS223" s="1804"/>
      <c r="BT223" s="1804"/>
      <c r="BU223" s="1804"/>
      <c r="BV223" s="1804"/>
      <c r="BW223" s="1804"/>
      <c r="BX223" s="1804"/>
      <c r="BY223" s="1804"/>
      <c r="BZ223" s="1804"/>
      <c r="CA223" s="1804"/>
      <c r="CB223" s="1804"/>
      <c r="CC223" s="1804"/>
      <c r="CD223" s="1804"/>
      <c r="CE223" s="1804"/>
      <c r="CF223" s="1804"/>
      <c r="CG223" s="1804"/>
      <c r="CH223" s="1804"/>
      <c r="CI223" s="1804"/>
      <c r="CJ223" s="1804"/>
      <c r="CK223" s="1804"/>
      <c r="CL223" s="1804"/>
      <c r="CM223" s="1804"/>
      <c r="CN223" s="1804"/>
      <c r="CO223" s="1804"/>
      <c r="CP223" s="1804"/>
      <c r="CQ223" s="1804"/>
      <c r="CR223" s="1804"/>
      <c r="CS223" s="1804"/>
      <c r="CT223" s="1804"/>
      <c r="CU223" s="1804"/>
      <c r="CV223" s="1804"/>
      <c r="CW223" s="1804"/>
      <c r="CX223" s="1804"/>
      <c r="CY223" s="1804"/>
      <c r="CZ223" s="1804"/>
      <c r="DA223" s="1804"/>
      <c r="DB223" s="1804"/>
      <c r="DC223" s="1804"/>
      <c r="DD223" s="1804"/>
      <c r="DE223" s="1804"/>
      <c r="DF223" s="1804"/>
      <c r="DG223" s="1804"/>
      <c r="DH223" s="1804"/>
      <c r="DI223" s="1804"/>
      <c r="DJ223" s="1804"/>
      <c r="DK223" s="1804"/>
      <c r="DL223" s="1804"/>
      <c r="DM223" s="1804"/>
      <c r="DN223" s="1804"/>
      <c r="DO223" s="1804"/>
      <c r="DP223" s="1804"/>
      <c r="DQ223" s="1804"/>
      <c r="DR223" s="1804"/>
      <c r="DS223" s="1804"/>
      <c r="DT223" s="1804"/>
      <c r="DU223" s="1804"/>
      <c r="DV223" s="1804"/>
      <c r="DW223" s="1804"/>
      <c r="DX223" s="1804"/>
      <c r="DY223" s="1804"/>
      <c r="DZ223" s="1804"/>
      <c r="EA223" s="1804"/>
      <c r="EB223" s="1804"/>
      <c r="EC223" s="1804"/>
      <c r="ED223" s="1804"/>
      <c r="EE223" s="1804"/>
      <c r="EF223" s="1804"/>
      <c r="EG223" s="1804"/>
      <c r="EH223" s="1804"/>
      <c r="EI223" s="1804"/>
      <c r="EJ223" s="1804"/>
      <c r="EK223" s="1804"/>
      <c r="EL223" s="1804"/>
      <c r="EM223" s="1804"/>
      <c r="EN223" s="1804"/>
      <c r="EO223" s="1804"/>
      <c r="EP223" s="1804"/>
      <c r="EQ223" s="1804"/>
      <c r="ER223" s="1804"/>
      <c r="ES223" s="1804"/>
      <c r="ET223" s="1804"/>
      <c r="EU223" s="1804"/>
      <c r="EV223" s="1804"/>
      <c r="EW223" s="1804"/>
      <c r="EX223" s="1804"/>
      <c r="EY223" s="1804"/>
      <c r="EZ223" s="1804"/>
      <c r="FA223" s="1804"/>
      <c r="FB223" s="1804"/>
      <c r="FC223" s="1804"/>
      <c r="FD223" s="1804"/>
      <c r="FE223" s="1804"/>
      <c r="FF223" s="1804"/>
      <c r="FG223" s="1804"/>
      <c r="FH223" s="1804"/>
      <c r="FI223" s="1804"/>
      <c r="FJ223" s="1804"/>
      <c r="FK223" s="1804"/>
      <c r="FL223" s="1804"/>
      <c r="FM223" s="1804"/>
      <c r="FN223" s="1804"/>
      <c r="FO223" s="1804"/>
      <c r="FP223" s="1804"/>
      <c r="FQ223" s="1804"/>
      <c r="FR223" s="1804"/>
      <c r="FS223" s="1804"/>
      <c r="FT223" s="1804"/>
      <c r="FU223" s="1804"/>
      <c r="FV223" s="1804"/>
      <c r="FW223" s="1804"/>
      <c r="FX223" s="1804"/>
      <c r="FY223" s="1804"/>
      <c r="FZ223" s="1804"/>
      <c r="GA223" s="1804"/>
      <c r="GB223" s="1804"/>
      <c r="GC223" s="1804"/>
      <c r="GD223" s="1804"/>
      <c r="GE223" s="1804"/>
      <c r="GF223" s="1804"/>
      <c r="GG223" s="1804"/>
      <c r="GH223" s="1804"/>
      <c r="GI223" s="1804"/>
      <c r="GJ223" s="1804"/>
      <c r="GK223" s="1804"/>
      <c r="GL223" s="1804"/>
      <c r="GM223" s="1804"/>
      <c r="GN223" s="1804"/>
      <c r="GO223" s="1804"/>
      <c r="GP223" s="1804"/>
      <c r="GQ223" s="1804"/>
      <c r="GR223" s="1804"/>
      <c r="GS223" s="1804"/>
      <c r="GT223" s="1804"/>
      <c r="GU223" s="1804"/>
      <c r="GV223" s="1804"/>
      <c r="GW223" s="1804"/>
      <c r="GX223" s="1804"/>
      <c r="GY223" s="1804"/>
      <c r="GZ223" s="1804"/>
      <c r="HA223" s="1804"/>
      <c r="HB223" s="1804"/>
      <c r="HC223" s="1804"/>
      <c r="HD223" s="1804"/>
      <c r="HE223" s="1804"/>
      <c r="HF223" s="1804"/>
      <c r="HG223" s="1804"/>
      <c r="HH223" s="1804"/>
      <c r="HI223" s="1804"/>
      <c r="HJ223" s="1804"/>
      <c r="HK223" s="1804"/>
      <c r="HL223" s="1804"/>
      <c r="HM223" s="1804"/>
      <c r="HN223" s="1804"/>
      <c r="HO223" s="1804"/>
      <c r="HP223" s="1804"/>
      <c r="HQ223" s="1804"/>
      <c r="HR223" s="1804"/>
      <c r="HS223" s="1804"/>
      <c r="HT223" s="1804"/>
      <c r="HU223" s="1804"/>
      <c r="HV223" s="1804"/>
      <c r="HW223" s="1804"/>
      <c r="HX223" s="1804"/>
      <c r="HY223" s="1804"/>
      <c r="HZ223" s="1804"/>
      <c r="IA223" s="1804"/>
      <c r="IB223" s="1804"/>
      <c r="IC223" s="1804"/>
      <c r="ID223" s="1804"/>
      <c r="IE223" s="1804"/>
      <c r="IF223" s="1804"/>
      <c r="IG223" s="1804"/>
      <c r="IH223" s="1804"/>
      <c r="II223" s="1804"/>
      <c r="IJ223" s="1804"/>
      <c r="IK223" s="1804"/>
      <c r="IL223" s="1804"/>
      <c r="IM223" s="1804"/>
      <c r="IN223" s="1804"/>
      <c r="IO223" s="1804"/>
      <c r="IP223" s="1804"/>
      <c r="IQ223" s="1804"/>
      <c r="IR223" s="1804"/>
      <c r="IS223" s="1804"/>
      <c r="IT223" s="1804"/>
      <c r="IU223" s="1804"/>
      <c r="IV223" s="1804"/>
      <c r="IW223" s="1804"/>
    </row>
    <row r="224" spans="3:257" s="888" customFormat="1" x14ac:dyDescent="0.45">
      <c r="C224" s="67" t="s">
        <v>529</v>
      </c>
      <c r="D224" s="68" t="s">
        <v>631</v>
      </c>
      <c r="E224" s="69"/>
      <c r="F224" s="93">
        <v>0</v>
      </c>
      <c r="G224" s="93">
        <v>5.7400347100500637</v>
      </c>
      <c r="H224" s="93">
        <v>0</v>
      </c>
      <c r="I224" s="94">
        <v>0</v>
      </c>
      <c r="J224" s="93">
        <v>0</v>
      </c>
      <c r="K224" s="93">
        <v>0</v>
      </c>
      <c r="L224" s="93">
        <v>0</v>
      </c>
      <c r="M224" s="94">
        <v>0</v>
      </c>
      <c r="N224" s="93">
        <v>0</v>
      </c>
      <c r="O224" s="93">
        <v>0</v>
      </c>
      <c r="P224" s="94">
        <v>0</v>
      </c>
      <c r="Q224" s="94">
        <v>0</v>
      </c>
      <c r="R224" s="94">
        <v>0</v>
      </c>
      <c r="S224" s="94">
        <v>0</v>
      </c>
      <c r="T224" s="94">
        <v>0</v>
      </c>
      <c r="U224" s="95">
        <v>0</v>
      </c>
      <c r="V224" s="95">
        <v>0</v>
      </c>
      <c r="W224" s="95">
        <v>0</v>
      </c>
      <c r="X224" s="95">
        <v>0</v>
      </c>
      <c r="Y224" s="95">
        <v>0</v>
      </c>
      <c r="Z224" s="95">
        <v>0</v>
      </c>
      <c r="AA224" s="95">
        <v>0</v>
      </c>
      <c r="AB224" s="95">
        <v>0</v>
      </c>
      <c r="AC224" s="95">
        <v>0</v>
      </c>
      <c r="AD224" s="95">
        <v>0</v>
      </c>
      <c r="AE224" s="95">
        <v>0</v>
      </c>
      <c r="AF224" s="95">
        <v>0</v>
      </c>
      <c r="AG224" s="95">
        <v>0</v>
      </c>
      <c r="AH224" s="99">
        <v>64.31867418041108</v>
      </c>
      <c r="AI224" s="95">
        <v>0</v>
      </c>
      <c r="AJ224" s="95">
        <v>0</v>
      </c>
      <c r="AK224" s="95">
        <v>0</v>
      </c>
      <c r="AL224" s="95">
        <v>0</v>
      </c>
      <c r="AM224" s="95">
        <v>0</v>
      </c>
      <c r="AN224" s="97">
        <v>0</v>
      </c>
      <c r="AO224" s="98">
        <f>((F224+G224+R224+S224+SUM(AC224:AN224))*$D$475)+((H224+T224)*$D$472)+((I224+U224)*$D$473)+((J224+V224)*$D$474)+((K224+W224)*$D$471)+((L224+X224)*$D$468)+((M224+Y224)*$D$467)</f>
        <v>899413.7047357402</v>
      </c>
      <c r="AP224" s="1804"/>
      <c r="AQ224" s="1804"/>
      <c r="AR224" s="1804"/>
      <c r="AS224" s="1804"/>
      <c r="AT224" s="1804"/>
      <c r="AU224" s="1804"/>
      <c r="AV224" s="1804"/>
      <c r="AW224" s="1804"/>
      <c r="AX224" s="1804"/>
      <c r="AY224" s="1804"/>
      <c r="AZ224" s="1804"/>
      <c r="BA224" s="1804"/>
      <c r="BB224" s="1804"/>
      <c r="BC224" s="1804"/>
      <c r="BD224" s="1804"/>
      <c r="BE224" s="1804"/>
      <c r="BF224" s="1804"/>
      <c r="BG224" s="1804"/>
      <c r="BH224" s="1804"/>
      <c r="BI224" s="1804"/>
      <c r="BJ224" s="1804"/>
      <c r="BK224" s="1804"/>
      <c r="BL224" s="1804"/>
      <c r="BM224" s="1804"/>
      <c r="BN224" s="1804"/>
      <c r="BO224" s="1804"/>
      <c r="BP224" s="1804"/>
      <c r="BQ224" s="1804"/>
      <c r="BR224" s="1804"/>
      <c r="BS224" s="1804"/>
      <c r="BT224" s="1804"/>
      <c r="BU224" s="1804"/>
      <c r="BV224" s="1804"/>
      <c r="BW224" s="1804"/>
      <c r="BX224" s="1804"/>
      <c r="BY224" s="1804"/>
      <c r="BZ224" s="1804"/>
      <c r="CA224" s="1804"/>
      <c r="CB224" s="1804"/>
      <c r="CC224" s="1804"/>
      <c r="CD224" s="1804"/>
      <c r="CE224" s="1804"/>
      <c r="CF224" s="1804"/>
      <c r="CG224" s="1804"/>
      <c r="CH224" s="1804"/>
      <c r="CI224" s="1804"/>
      <c r="CJ224" s="1804"/>
      <c r="CK224" s="1804"/>
      <c r="CL224" s="1804"/>
      <c r="CM224" s="1804"/>
      <c r="CN224" s="1804"/>
      <c r="CO224" s="1804"/>
      <c r="CP224" s="1804"/>
      <c r="CQ224" s="1804"/>
      <c r="CR224" s="1804"/>
      <c r="CS224" s="1804"/>
      <c r="CT224" s="1804"/>
      <c r="CU224" s="1804"/>
      <c r="CV224" s="1804"/>
      <c r="CW224" s="1804"/>
      <c r="CX224" s="1804"/>
      <c r="CY224" s="1804"/>
      <c r="CZ224" s="1804"/>
      <c r="DA224" s="1804"/>
      <c r="DB224" s="1804"/>
      <c r="DC224" s="1804"/>
      <c r="DD224" s="1804"/>
      <c r="DE224" s="1804"/>
      <c r="DF224" s="1804"/>
      <c r="DG224" s="1804"/>
      <c r="DH224" s="1804"/>
      <c r="DI224" s="1804"/>
      <c r="DJ224" s="1804"/>
      <c r="DK224" s="1804"/>
      <c r="DL224" s="1804"/>
      <c r="DM224" s="1804"/>
      <c r="DN224" s="1804"/>
      <c r="DO224" s="1804"/>
      <c r="DP224" s="1804"/>
      <c r="DQ224" s="1804"/>
      <c r="DR224" s="1804"/>
      <c r="DS224" s="1804"/>
      <c r="DT224" s="1804"/>
      <c r="DU224" s="1804"/>
      <c r="DV224" s="1804"/>
      <c r="DW224" s="1804"/>
      <c r="DX224" s="1804"/>
      <c r="DY224" s="1804"/>
      <c r="DZ224" s="1804"/>
      <c r="EA224" s="1804"/>
      <c r="EB224" s="1804"/>
      <c r="EC224" s="1804"/>
      <c r="ED224" s="1804"/>
      <c r="EE224" s="1804"/>
      <c r="EF224" s="1804"/>
      <c r="EG224" s="1804"/>
      <c r="EH224" s="1804"/>
      <c r="EI224" s="1804"/>
      <c r="EJ224" s="1804"/>
      <c r="EK224" s="1804"/>
      <c r="EL224" s="1804"/>
      <c r="EM224" s="1804"/>
      <c r="EN224" s="1804"/>
      <c r="EO224" s="1804"/>
      <c r="EP224" s="1804"/>
      <c r="EQ224" s="1804"/>
      <c r="ER224" s="1804"/>
      <c r="ES224" s="1804"/>
      <c r="ET224" s="1804"/>
      <c r="EU224" s="1804"/>
      <c r="EV224" s="1804"/>
      <c r="EW224" s="1804"/>
      <c r="EX224" s="1804"/>
      <c r="EY224" s="1804"/>
      <c r="EZ224" s="1804"/>
      <c r="FA224" s="1804"/>
      <c r="FB224" s="1804"/>
      <c r="FC224" s="1804"/>
      <c r="FD224" s="1804"/>
      <c r="FE224" s="1804"/>
      <c r="FF224" s="1804"/>
      <c r="FG224" s="1804"/>
      <c r="FH224" s="1804"/>
      <c r="FI224" s="1804"/>
      <c r="FJ224" s="1804"/>
      <c r="FK224" s="1804"/>
      <c r="FL224" s="1804"/>
      <c r="FM224" s="1804"/>
      <c r="FN224" s="1804"/>
      <c r="FO224" s="1804"/>
      <c r="FP224" s="1804"/>
      <c r="FQ224" s="1804"/>
      <c r="FR224" s="1804"/>
      <c r="FS224" s="1804"/>
      <c r="FT224" s="1804"/>
      <c r="FU224" s="1804"/>
      <c r="FV224" s="1804"/>
      <c r="FW224" s="1804"/>
      <c r="FX224" s="1804"/>
      <c r="FY224" s="1804"/>
      <c r="FZ224" s="1804"/>
      <c r="GA224" s="1804"/>
      <c r="GB224" s="1804"/>
      <c r="GC224" s="1804"/>
      <c r="GD224" s="1804"/>
      <c r="GE224" s="1804"/>
      <c r="GF224" s="1804"/>
      <c r="GG224" s="1804"/>
      <c r="GH224" s="1804"/>
      <c r="GI224" s="1804"/>
      <c r="GJ224" s="1804"/>
      <c r="GK224" s="1804"/>
      <c r="GL224" s="1804"/>
      <c r="GM224" s="1804"/>
      <c r="GN224" s="1804"/>
      <c r="GO224" s="1804"/>
      <c r="GP224" s="1804"/>
      <c r="GQ224" s="1804"/>
      <c r="GR224" s="1804"/>
      <c r="GS224" s="1804"/>
      <c r="GT224" s="1804"/>
      <c r="GU224" s="1804"/>
      <c r="GV224" s="1804"/>
      <c r="GW224" s="1804"/>
      <c r="GX224" s="1804"/>
      <c r="GY224" s="1804"/>
      <c r="GZ224" s="1804"/>
      <c r="HA224" s="1804"/>
      <c r="HB224" s="1804"/>
      <c r="HC224" s="1804"/>
      <c r="HD224" s="1804"/>
      <c r="HE224" s="1804"/>
      <c r="HF224" s="1804"/>
      <c r="HG224" s="1804"/>
      <c r="HH224" s="1804"/>
      <c r="HI224" s="1804"/>
      <c r="HJ224" s="1804"/>
      <c r="HK224" s="1804"/>
      <c r="HL224" s="1804"/>
      <c r="HM224" s="1804"/>
      <c r="HN224" s="1804"/>
      <c r="HO224" s="1804"/>
      <c r="HP224" s="1804"/>
      <c r="HQ224" s="1804"/>
      <c r="HR224" s="1804"/>
      <c r="HS224" s="1804"/>
      <c r="HT224" s="1804"/>
      <c r="HU224" s="1804"/>
      <c r="HV224" s="1804"/>
      <c r="HW224" s="1804"/>
      <c r="HX224" s="1804"/>
      <c r="HY224" s="1804"/>
      <c r="HZ224" s="1804"/>
      <c r="IA224" s="1804"/>
      <c r="IB224" s="1804"/>
      <c r="IC224" s="1804"/>
      <c r="ID224" s="1804"/>
      <c r="IE224" s="1804"/>
      <c r="IF224" s="1804"/>
      <c r="IG224" s="1804"/>
      <c r="IH224" s="1804"/>
      <c r="II224" s="1804"/>
      <c r="IJ224" s="1804"/>
      <c r="IK224" s="1804"/>
      <c r="IL224" s="1804"/>
      <c r="IM224" s="1804"/>
      <c r="IN224" s="1804"/>
      <c r="IO224" s="1804"/>
      <c r="IP224" s="1804"/>
      <c r="IQ224" s="1804"/>
      <c r="IR224" s="1804"/>
      <c r="IS224" s="1804"/>
      <c r="IT224" s="1804"/>
      <c r="IU224" s="1804"/>
      <c r="IV224" s="1804"/>
      <c r="IW224" s="1804"/>
    </row>
    <row r="225" spans="3:257" s="888" customFormat="1" x14ac:dyDescent="0.45">
      <c r="C225" s="67" t="s">
        <v>530</v>
      </c>
      <c r="D225" s="68" t="s">
        <v>632</v>
      </c>
      <c r="E225" s="69"/>
      <c r="F225" s="93">
        <v>0</v>
      </c>
      <c r="G225" s="93">
        <v>0</v>
      </c>
      <c r="H225" s="93">
        <v>0</v>
      </c>
      <c r="I225" s="94">
        <v>0</v>
      </c>
      <c r="J225" s="93">
        <v>0</v>
      </c>
      <c r="K225" s="93">
        <v>0</v>
      </c>
      <c r="L225" s="93">
        <v>0</v>
      </c>
      <c r="M225" s="94">
        <v>0</v>
      </c>
      <c r="N225" s="93">
        <v>0</v>
      </c>
      <c r="O225" s="93">
        <v>0</v>
      </c>
      <c r="P225" s="94">
        <v>0</v>
      </c>
      <c r="Q225" s="94">
        <v>0</v>
      </c>
      <c r="R225" s="94">
        <v>0</v>
      </c>
      <c r="S225" s="94">
        <v>2623.726491397405</v>
      </c>
      <c r="T225" s="94">
        <v>0</v>
      </c>
      <c r="U225" s="95">
        <v>0</v>
      </c>
      <c r="V225" s="95">
        <v>0</v>
      </c>
      <c r="W225" s="95">
        <v>0</v>
      </c>
      <c r="X225" s="95">
        <v>0</v>
      </c>
      <c r="Y225" s="95">
        <v>0</v>
      </c>
      <c r="Z225" s="95">
        <v>0</v>
      </c>
      <c r="AA225" s="95">
        <v>0</v>
      </c>
      <c r="AB225" s="95">
        <v>0</v>
      </c>
      <c r="AC225" s="95">
        <v>0</v>
      </c>
      <c r="AD225" s="95">
        <v>0</v>
      </c>
      <c r="AE225" s="95">
        <v>0</v>
      </c>
      <c r="AF225" s="99">
        <v>41.723684306961658</v>
      </c>
      <c r="AG225" s="95">
        <v>0</v>
      </c>
      <c r="AH225" s="95">
        <v>0</v>
      </c>
      <c r="AI225" s="95">
        <v>0</v>
      </c>
      <c r="AJ225" s="95">
        <v>0</v>
      </c>
      <c r="AK225" s="95">
        <v>0</v>
      </c>
      <c r="AL225" s="95">
        <v>0</v>
      </c>
      <c r="AM225" s="95">
        <v>0</v>
      </c>
      <c r="AN225" s="97">
        <v>0</v>
      </c>
      <c r="AO225" s="98">
        <f t="shared" si="15"/>
        <v>34219049.355692662</v>
      </c>
      <c r="AP225" s="1804"/>
      <c r="AQ225" s="1804"/>
      <c r="AR225" s="1804"/>
      <c r="AS225" s="1804"/>
      <c r="AT225" s="1804"/>
      <c r="AU225" s="1804"/>
      <c r="AV225" s="1804"/>
      <c r="AW225" s="1804"/>
      <c r="AX225" s="1804"/>
      <c r="AY225" s="1804"/>
      <c r="AZ225" s="1804"/>
      <c r="BA225" s="1804"/>
      <c r="BB225" s="1804"/>
      <c r="BC225" s="1804"/>
      <c r="BD225" s="1804"/>
      <c r="BE225" s="1804"/>
      <c r="BF225" s="1804"/>
      <c r="BG225" s="1804"/>
      <c r="BH225" s="1804"/>
      <c r="BI225" s="1804"/>
      <c r="BJ225" s="1804"/>
      <c r="BK225" s="1804"/>
      <c r="BL225" s="1804"/>
      <c r="BM225" s="1804"/>
      <c r="BN225" s="1804"/>
      <c r="BO225" s="1804"/>
      <c r="BP225" s="1804"/>
      <c r="BQ225" s="1804"/>
      <c r="BR225" s="1804"/>
      <c r="BS225" s="1804"/>
      <c r="BT225" s="1804"/>
      <c r="BU225" s="1804"/>
      <c r="BV225" s="1804"/>
      <c r="BW225" s="1804"/>
      <c r="BX225" s="1804"/>
      <c r="BY225" s="1804"/>
      <c r="BZ225" s="1804"/>
      <c r="CA225" s="1804"/>
      <c r="CB225" s="1804"/>
      <c r="CC225" s="1804"/>
      <c r="CD225" s="1804"/>
      <c r="CE225" s="1804"/>
      <c r="CF225" s="1804"/>
      <c r="CG225" s="1804"/>
      <c r="CH225" s="1804"/>
      <c r="CI225" s="1804"/>
      <c r="CJ225" s="1804"/>
      <c r="CK225" s="1804"/>
      <c r="CL225" s="1804"/>
      <c r="CM225" s="1804"/>
      <c r="CN225" s="1804"/>
      <c r="CO225" s="1804"/>
      <c r="CP225" s="1804"/>
      <c r="CQ225" s="1804"/>
      <c r="CR225" s="1804"/>
      <c r="CS225" s="1804"/>
      <c r="CT225" s="1804"/>
      <c r="CU225" s="1804"/>
      <c r="CV225" s="1804"/>
      <c r="CW225" s="1804"/>
      <c r="CX225" s="1804"/>
      <c r="CY225" s="1804"/>
      <c r="CZ225" s="1804"/>
      <c r="DA225" s="1804"/>
      <c r="DB225" s="1804"/>
      <c r="DC225" s="1804"/>
      <c r="DD225" s="1804"/>
      <c r="DE225" s="1804"/>
      <c r="DF225" s="1804"/>
      <c r="DG225" s="1804"/>
      <c r="DH225" s="1804"/>
      <c r="DI225" s="1804"/>
      <c r="DJ225" s="1804"/>
      <c r="DK225" s="1804"/>
      <c r="DL225" s="1804"/>
      <c r="DM225" s="1804"/>
      <c r="DN225" s="1804"/>
      <c r="DO225" s="1804"/>
      <c r="DP225" s="1804"/>
      <c r="DQ225" s="1804"/>
      <c r="DR225" s="1804"/>
      <c r="DS225" s="1804"/>
      <c r="DT225" s="1804"/>
      <c r="DU225" s="1804"/>
      <c r="DV225" s="1804"/>
      <c r="DW225" s="1804"/>
      <c r="DX225" s="1804"/>
      <c r="DY225" s="1804"/>
      <c r="DZ225" s="1804"/>
      <c r="EA225" s="1804"/>
      <c r="EB225" s="1804"/>
      <c r="EC225" s="1804"/>
      <c r="ED225" s="1804"/>
      <c r="EE225" s="1804"/>
      <c r="EF225" s="1804"/>
      <c r="EG225" s="1804"/>
      <c r="EH225" s="1804"/>
      <c r="EI225" s="1804"/>
      <c r="EJ225" s="1804"/>
      <c r="EK225" s="1804"/>
      <c r="EL225" s="1804"/>
      <c r="EM225" s="1804"/>
      <c r="EN225" s="1804"/>
      <c r="EO225" s="1804"/>
      <c r="EP225" s="1804"/>
      <c r="EQ225" s="1804"/>
      <c r="ER225" s="1804"/>
      <c r="ES225" s="1804"/>
      <c r="ET225" s="1804"/>
      <c r="EU225" s="1804"/>
      <c r="EV225" s="1804"/>
      <c r="EW225" s="1804"/>
      <c r="EX225" s="1804"/>
      <c r="EY225" s="1804"/>
      <c r="EZ225" s="1804"/>
      <c r="FA225" s="1804"/>
      <c r="FB225" s="1804"/>
      <c r="FC225" s="1804"/>
      <c r="FD225" s="1804"/>
      <c r="FE225" s="1804"/>
      <c r="FF225" s="1804"/>
      <c r="FG225" s="1804"/>
      <c r="FH225" s="1804"/>
      <c r="FI225" s="1804"/>
      <c r="FJ225" s="1804"/>
      <c r="FK225" s="1804"/>
      <c r="FL225" s="1804"/>
      <c r="FM225" s="1804"/>
      <c r="FN225" s="1804"/>
      <c r="FO225" s="1804"/>
      <c r="FP225" s="1804"/>
      <c r="FQ225" s="1804"/>
      <c r="FR225" s="1804"/>
      <c r="FS225" s="1804"/>
      <c r="FT225" s="1804"/>
      <c r="FU225" s="1804"/>
      <c r="FV225" s="1804"/>
      <c r="FW225" s="1804"/>
      <c r="FX225" s="1804"/>
      <c r="FY225" s="1804"/>
      <c r="FZ225" s="1804"/>
      <c r="GA225" s="1804"/>
      <c r="GB225" s="1804"/>
      <c r="GC225" s="1804"/>
      <c r="GD225" s="1804"/>
      <c r="GE225" s="1804"/>
      <c r="GF225" s="1804"/>
      <c r="GG225" s="1804"/>
      <c r="GH225" s="1804"/>
      <c r="GI225" s="1804"/>
      <c r="GJ225" s="1804"/>
      <c r="GK225" s="1804"/>
      <c r="GL225" s="1804"/>
      <c r="GM225" s="1804"/>
      <c r="GN225" s="1804"/>
      <c r="GO225" s="1804"/>
      <c r="GP225" s="1804"/>
      <c r="GQ225" s="1804"/>
      <c r="GR225" s="1804"/>
      <c r="GS225" s="1804"/>
      <c r="GT225" s="1804"/>
      <c r="GU225" s="1804"/>
      <c r="GV225" s="1804"/>
      <c r="GW225" s="1804"/>
      <c r="GX225" s="1804"/>
      <c r="GY225" s="1804"/>
      <c r="GZ225" s="1804"/>
      <c r="HA225" s="1804"/>
      <c r="HB225" s="1804"/>
      <c r="HC225" s="1804"/>
      <c r="HD225" s="1804"/>
      <c r="HE225" s="1804"/>
      <c r="HF225" s="1804"/>
      <c r="HG225" s="1804"/>
      <c r="HH225" s="1804"/>
      <c r="HI225" s="1804"/>
      <c r="HJ225" s="1804"/>
      <c r="HK225" s="1804"/>
      <c r="HL225" s="1804"/>
      <c r="HM225" s="1804"/>
      <c r="HN225" s="1804"/>
      <c r="HO225" s="1804"/>
      <c r="HP225" s="1804"/>
      <c r="HQ225" s="1804"/>
      <c r="HR225" s="1804"/>
      <c r="HS225" s="1804"/>
      <c r="HT225" s="1804"/>
      <c r="HU225" s="1804"/>
      <c r="HV225" s="1804"/>
      <c r="HW225" s="1804"/>
      <c r="HX225" s="1804"/>
      <c r="HY225" s="1804"/>
      <c r="HZ225" s="1804"/>
      <c r="IA225" s="1804"/>
      <c r="IB225" s="1804"/>
      <c r="IC225" s="1804"/>
      <c r="ID225" s="1804"/>
      <c r="IE225" s="1804"/>
      <c r="IF225" s="1804"/>
      <c r="IG225" s="1804"/>
      <c r="IH225" s="1804"/>
      <c r="II225" s="1804"/>
      <c r="IJ225" s="1804"/>
      <c r="IK225" s="1804"/>
      <c r="IL225" s="1804"/>
      <c r="IM225" s="1804"/>
      <c r="IN225" s="1804"/>
      <c r="IO225" s="1804"/>
      <c r="IP225" s="1804"/>
      <c r="IQ225" s="1804"/>
      <c r="IR225" s="1804"/>
      <c r="IS225" s="1804"/>
      <c r="IT225" s="1804"/>
      <c r="IU225" s="1804"/>
      <c r="IV225" s="1804"/>
      <c r="IW225" s="1804"/>
    </row>
    <row r="226" spans="3:257" s="888" customFormat="1" x14ac:dyDescent="0.45">
      <c r="C226" s="67" t="s">
        <v>531</v>
      </c>
      <c r="D226" s="68" t="s">
        <v>633</v>
      </c>
      <c r="E226" s="69"/>
      <c r="F226" s="93">
        <v>0</v>
      </c>
      <c r="G226" s="93">
        <v>35.978303311124321</v>
      </c>
      <c r="H226" s="93">
        <v>0</v>
      </c>
      <c r="I226" s="94">
        <v>0</v>
      </c>
      <c r="J226" s="93">
        <v>0</v>
      </c>
      <c r="K226" s="93">
        <v>0</v>
      </c>
      <c r="L226" s="93">
        <v>0</v>
      </c>
      <c r="M226" s="94">
        <v>0</v>
      </c>
      <c r="N226" s="93">
        <v>0</v>
      </c>
      <c r="O226" s="93">
        <v>0</v>
      </c>
      <c r="P226" s="94">
        <v>0</v>
      </c>
      <c r="Q226" s="94">
        <v>0</v>
      </c>
      <c r="R226" s="94">
        <v>0</v>
      </c>
      <c r="S226" s="94">
        <v>0</v>
      </c>
      <c r="T226" s="94">
        <v>0</v>
      </c>
      <c r="U226" s="95">
        <v>0</v>
      </c>
      <c r="V226" s="95">
        <v>0</v>
      </c>
      <c r="W226" s="95">
        <v>0</v>
      </c>
      <c r="X226" s="95">
        <v>0</v>
      </c>
      <c r="Y226" s="95">
        <v>0</v>
      </c>
      <c r="Z226" s="95">
        <v>0</v>
      </c>
      <c r="AA226" s="95">
        <v>0</v>
      </c>
      <c r="AB226" s="95">
        <v>0</v>
      </c>
      <c r="AC226" s="95">
        <v>0</v>
      </c>
      <c r="AD226" s="95">
        <v>0</v>
      </c>
      <c r="AE226" s="95">
        <v>0</v>
      </c>
      <c r="AF226" s="95">
        <v>0</v>
      </c>
      <c r="AG226" s="95">
        <v>0</v>
      </c>
      <c r="AH226" s="99">
        <v>61.358168612692637</v>
      </c>
      <c r="AI226" s="95">
        <v>0</v>
      </c>
      <c r="AJ226" s="95">
        <v>0</v>
      </c>
      <c r="AK226" s="95">
        <v>0</v>
      </c>
      <c r="AL226" s="95">
        <v>0</v>
      </c>
      <c r="AM226" s="95">
        <v>0</v>
      </c>
      <c r="AN226" s="97">
        <v>0</v>
      </c>
      <c r="AO226" s="98">
        <f t="shared" si="15"/>
        <v>1249605.626557962</v>
      </c>
      <c r="AP226" s="1804"/>
      <c r="AQ226" s="1804"/>
      <c r="AR226" s="1804"/>
      <c r="AS226" s="1804"/>
      <c r="AT226" s="1804"/>
      <c r="AU226" s="1804"/>
      <c r="AV226" s="1804"/>
      <c r="AW226" s="1804"/>
      <c r="AX226" s="1804"/>
      <c r="AY226" s="1804"/>
      <c r="AZ226" s="1804"/>
      <c r="BA226" s="1804"/>
      <c r="BB226" s="1804"/>
      <c r="BC226" s="1804"/>
      <c r="BD226" s="1804"/>
      <c r="BE226" s="1804"/>
      <c r="BF226" s="1804"/>
      <c r="BG226" s="1804"/>
      <c r="BH226" s="1804"/>
      <c r="BI226" s="1804"/>
      <c r="BJ226" s="1804"/>
      <c r="BK226" s="1804"/>
      <c r="BL226" s="1804"/>
      <c r="BM226" s="1804"/>
      <c r="BN226" s="1804"/>
      <c r="BO226" s="1804"/>
      <c r="BP226" s="1804"/>
      <c r="BQ226" s="1804"/>
      <c r="BR226" s="1804"/>
      <c r="BS226" s="1804"/>
      <c r="BT226" s="1804"/>
      <c r="BU226" s="1804"/>
      <c r="BV226" s="1804"/>
      <c r="BW226" s="1804"/>
      <c r="BX226" s="1804"/>
      <c r="BY226" s="1804"/>
      <c r="BZ226" s="1804"/>
      <c r="CA226" s="1804"/>
      <c r="CB226" s="1804"/>
      <c r="CC226" s="1804"/>
      <c r="CD226" s="1804"/>
      <c r="CE226" s="1804"/>
      <c r="CF226" s="1804"/>
      <c r="CG226" s="1804"/>
      <c r="CH226" s="1804"/>
      <c r="CI226" s="1804"/>
      <c r="CJ226" s="1804"/>
      <c r="CK226" s="1804"/>
      <c r="CL226" s="1804"/>
      <c r="CM226" s="1804"/>
      <c r="CN226" s="1804"/>
      <c r="CO226" s="1804"/>
      <c r="CP226" s="1804"/>
      <c r="CQ226" s="1804"/>
      <c r="CR226" s="1804"/>
      <c r="CS226" s="1804"/>
      <c r="CT226" s="1804"/>
      <c r="CU226" s="1804"/>
      <c r="CV226" s="1804"/>
      <c r="CW226" s="1804"/>
      <c r="CX226" s="1804"/>
      <c r="CY226" s="1804"/>
      <c r="CZ226" s="1804"/>
      <c r="DA226" s="1804"/>
      <c r="DB226" s="1804"/>
      <c r="DC226" s="1804"/>
      <c r="DD226" s="1804"/>
      <c r="DE226" s="1804"/>
      <c r="DF226" s="1804"/>
      <c r="DG226" s="1804"/>
      <c r="DH226" s="1804"/>
      <c r="DI226" s="1804"/>
      <c r="DJ226" s="1804"/>
      <c r="DK226" s="1804"/>
      <c r="DL226" s="1804"/>
      <c r="DM226" s="1804"/>
      <c r="DN226" s="1804"/>
      <c r="DO226" s="1804"/>
      <c r="DP226" s="1804"/>
      <c r="DQ226" s="1804"/>
      <c r="DR226" s="1804"/>
      <c r="DS226" s="1804"/>
      <c r="DT226" s="1804"/>
      <c r="DU226" s="1804"/>
      <c r="DV226" s="1804"/>
      <c r="DW226" s="1804"/>
      <c r="DX226" s="1804"/>
      <c r="DY226" s="1804"/>
      <c r="DZ226" s="1804"/>
      <c r="EA226" s="1804"/>
      <c r="EB226" s="1804"/>
      <c r="EC226" s="1804"/>
      <c r="ED226" s="1804"/>
      <c r="EE226" s="1804"/>
      <c r="EF226" s="1804"/>
      <c r="EG226" s="1804"/>
      <c r="EH226" s="1804"/>
      <c r="EI226" s="1804"/>
      <c r="EJ226" s="1804"/>
      <c r="EK226" s="1804"/>
      <c r="EL226" s="1804"/>
      <c r="EM226" s="1804"/>
      <c r="EN226" s="1804"/>
      <c r="EO226" s="1804"/>
      <c r="EP226" s="1804"/>
      <c r="EQ226" s="1804"/>
      <c r="ER226" s="1804"/>
      <c r="ES226" s="1804"/>
      <c r="ET226" s="1804"/>
      <c r="EU226" s="1804"/>
      <c r="EV226" s="1804"/>
      <c r="EW226" s="1804"/>
      <c r="EX226" s="1804"/>
      <c r="EY226" s="1804"/>
      <c r="EZ226" s="1804"/>
      <c r="FA226" s="1804"/>
      <c r="FB226" s="1804"/>
      <c r="FC226" s="1804"/>
      <c r="FD226" s="1804"/>
      <c r="FE226" s="1804"/>
      <c r="FF226" s="1804"/>
      <c r="FG226" s="1804"/>
      <c r="FH226" s="1804"/>
      <c r="FI226" s="1804"/>
      <c r="FJ226" s="1804"/>
      <c r="FK226" s="1804"/>
      <c r="FL226" s="1804"/>
      <c r="FM226" s="1804"/>
      <c r="FN226" s="1804"/>
      <c r="FO226" s="1804"/>
      <c r="FP226" s="1804"/>
      <c r="FQ226" s="1804"/>
      <c r="FR226" s="1804"/>
      <c r="FS226" s="1804"/>
      <c r="FT226" s="1804"/>
      <c r="FU226" s="1804"/>
      <c r="FV226" s="1804"/>
      <c r="FW226" s="1804"/>
      <c r="FX226" s="1804"/>
      <c r="FY226" s="1804"/>
      <c r="FZ226" s="1804"/>
      <c r="GA226" s="1804"/>
      <c r="GB226" s="1804"/>
      <c r="GC226" s="1804"/>
      <c r="GD226" s="1804"/>
      <c r="GE226" s="1804"/>
      <c r="GF226" s="1804"/>
      <c r="GG226" s="1804"/>
      <c r="GH226" s="1804"/>
      <c r="GI226" s="1804"/>
      <c r="GJ226" s="1804"/>
      <c r="GK226" s="1804"/>
      <c r="GL226" s="1804"/>
      <c r="GM226" s="1804"/>
      <c r="GN226" s="1804"/>
      <c r="GO226" s="1804"/>
      <c r="GP226" s="1804"/>
      <c r="GQ226" s="1804"/>
      <c r="GR226" s="1804"/>
      <c r="GS226" s="1804"/>
      <c r="GT226" s="1804"/>
      <c r="GU226" s="1804"/>
      <c r="GV226" s="1804"/>
      <c r="GW226" s="1804"/>
      <c r="GX226" s="1804"/>
      <c r="GY226" s="1804"/>
      <c r="GZ226" s="1804"/>
      <c r="HA226" s="1804"/>
      <c r="HB226" s="1804"/>
      <c r="HC226" s="1804"/>
      <c r="HD226" s="1804"/>
      <c r="HE226" s="1804"/>
      <c r="HF226" s="1804"/>
      <c r="HG226" s="1804"/>
      <c r="HH226" s="1804"/>
      <c r="HI226" s="1804"/>
      <c r="HJ226" s="1804"/>
      <c r="HK226" s="1804"/>
      <c r="HL226" s="1804"/>
      <c r="HM226" s="1804"/>
      <c r="HN226" s="1804"/>
      <c r="HO226" s="1804"/>
      <c r="HP226" s="1804"/>
      <c r="HQ226" s="1804"/>
      <c r="HR226" s="1804"/>
      <c r="HS226" s="1804"/>
      <c r="HT226" s="1804"/>
      <c r="HU226" s="1804"/>
      <c r="HV226" s="1804"/>
      <c r="HW226" s="1804"/>
      <c r="HX226" s="1804"/>
      <c r="HY226" s="1804"/>
      <c r="HZ226" s="1804"/>
      <c r="IA226" s="1804"/>
      <c r="IB226" s="1804"/>
      <c r="IC226" s="1804"/>
      <c r="ID226" s="1804"/>
      <c r="IE226" s="1804"/>
      <c r="IF226" s="1804"/>
      <c r="IG226" s="1804"/>
      <c r="IH226" s="1804"/>
      <c r="II226" s="1804"/>
      <c r="IJ226" s="1804"/>
      <c r="IK226" s="1804"/>
      <c r="IL226" s="1804"/>
      <c r="IM226" s="1804"/>
      <c r="IN226" s="1804"/>
      <c r="IO226" s="1804"/>
      <c r="IP226" s="1804"/>
      <c r="IQ226" s="1804"/>
      <c r="IR226" s="1804"/>
      <c r="IS226" s="1804"/>
      <c r="IT226" s="1804"/>
      <c r="IU226" s="1804"/>
      <c r="IV226" s="1804"/>
      <c r="IW226" s="1804"/>
    </row>
    <row r="227" spans="3:257" s="888" customFormat="1" x14ac:dyDescent="0.45">
      <c r="C227" s="67" t="s">
        <v>532</v>
      </c>
      <c r="D227" s="68" t="s">
        <v>634</v>
      </c>
      <c r="E227" s="69"/>
      <c r="F227" s="93">
        <v>0</v>
      </c>
      <c r="G227" s="93">
        <v>0</v>
      </c>
      <c r="H227" s="93">
        <v>0</v>
      </c>
      <c r="I227" s="94">
        <v>0</v>
      </c>
      <c r="J227" s="93">
        <v>0</v>
      </c>
      <c r="K227" s="93">
        <v>0</v>
      </c>
      <c r="L227" s="93">
        <v>0</v>
      </c>
      <c r="M227" s="94">
        <v>0</v>
      </c>
      <c r="N227" s="93">
        <v>0</v>
      </c>
      <c r="O227" s="93">
        <v>0</v>
      </c>
      <c r="P227" s="94">
        <v>0</v>
      </c>
      <c r="Q227" s="94">
        <v>0</v>
      </c>
      <c r="R227" s="94">
        <v>0</v>
      </c>
      <c r="S227" s="94">
        <v>0</v>
      </c>
      <c r="T227" s="94">
        <v>0</v>
      </c>
      <c r="U227" s="95">
        <v>0</v>
      </c>
      <c r="V227" s="95">
        <v>0</v>
      </c>
      <c r="W227" s="95">
        <v>0</v>
      </c>
      <c r="X227" s="95">
        <v>0</v>
      </c>
      <c r="Y227" s="95">
        <v>0</v>
      </c>
      <c r="Z227" s="95">
        <v>0</v>
      </c>
      <c r="AA227" s="95">
        <v>0</v>
      </c>
      <c r="AB227" s="95">
        <v>0</v>
      </c>
      <c r="AC227" s="95">
        <v>0</v>
      </c>
      <c r="AD227" s="95">
        <v>0</v>
      </c>
      <c r="AE227" s="99">
        <v>247.55120782945338</v>
      </c>
      <c r="AF227" s="99">
        <v>195.90027057269515</v>
      </c>
      <c r="AG227" s="95">
        <v>0</v>
      </c>
      <c r="AH227" s="95">
        <v>0</v>
      </c>
      <c r="AI227" s="95">
        <v>0</v>
      </c>
      <c r="AJ227" s="95">
        <v>0</v>
      </c>
      <c r="AK227" s="95">
        <v>0</v>
      </c>
      <c r="AL227" s="95">
        <v>0</v>
      </c>
      <c r="AM227" s="95">
        <v>0</v>
      </c>
      <c r="AN227" s="97">
        <v>0</v>
      </c>
      <c r="AO227" s="98">
        <f t="shared" si="15"/>
        <v>5693030.0797267826</v>
      </c>
      <c r="AP227" s="1804"/>
      <c r="AQ227" s="1804"/>
      <c r="AR227" s="1804"/>
      <c r="AS227" s="1804"/>
      <c r="AT227" s="1804"/>
      <c r="AU227" s="1804"/>
      <c r="AV227" s="1804"/>
      <c r="AW227" s="1804"/>
      <c r="AX227" s="1804"/>
      <c r="AY227" s="1804"/>
      <c r="AZ227" s="1804"/>
      <c r="BA227" s="1804"/>
      <c r="BB227" s="1804"/>
      <c r="BC227" s="1804"/>
      <c r="BD227" s="1804"/>
      <c r="BE227" s="1804"/>
      <c r="BF227" s="1804"/>
      <c r="BG227" s="1804"/>
      <c r="BH227" s="1804"/>
      <c r="BI227" s="1804"/>
      <c r="BJ227" s="1804"/>
      <c r="BK227" s="1804"/>
      <c r="BL227" s="1804"/>
      <c r="BM227" s="1804"/>
      <c r="BN227" s="1804"/>
      <c r="BO227" s="1804"/>
      <c r="BP227" s="1804"/>
      <c r="BQ227" s="1804"/>
      <c r="BR227" s="1804"/>
      <c r="BS227" s="1804"/>
      <c r="BT227" s="1804"/>
      <c r="BU227" s="1804"/>
      <c r="BV227" s="1804"/>
      <c r="BW227" s="1804"/>
      <c r="BX227" s="1804"/>
      <c r="BY227" s="1804"/>
      <c r="BZ227" s="1804"/>
      <c r="CA227" s="1804"/>
      <c r="CB227" s="1804"/>
      <c r="CC227" s="1804"/>
      <c r="CD227" s="1804"/>
      <c r="CE227" s="1804"/>
      <c r="CF227" s="1804"/>
      <c r="CG227" s="1804"/>
      <c r="CH227" s="1804"/>
      <c r="CI227" s="1804"/>
      <c r="CJ227" s="1804"/>
      <c r="CK227" s="1804"/>
      <c r="CL227" s="1804"/>
      <c r="CM227" s="1804"/>
      <c r="CN227" s="1804"/>
      <c r="CO227" s="1804"/>
      <c r="CP227" s="1804"/>
      <c r="CQ227" s="1804"/>
      <c r="CR227" s="1804"/>
      <c r="CS227" s="1804"/>
      <c r="CT227" s="1804"/>
      <c r="CU227" s="1804"/>
      <c r="CV227" s="1804"/>
      <c r="CW227" s="1804"/>
      <c r="CX227" s="1804"/>
      <c r="CY227" s="1804"/>
      <c r="CZ227" s="1804"/>
      <c r="DA227" s="1804"/>
      <c r="DB227" s="1804"/>
      <c r="DC227" s="1804"/>
      <c r="DD227" s="1804"/>
      <c r="DE227" s="1804"/>
      <c r="DF227" s="1804"/>
      <c r="DG227" s="1804"/>
      <c r="DH227" s="1804"/>
      <c r="DI227" s="1804"/>
      <c r="DJ227" s="1804"/>
      <c r="DK227" s="1804"/>
      <c r="DL227" s="1804"/>
      <c r="DM227" s="1804"/>
      <c r="DN227" s="1804"/>
      <c r="DO227" s="1804"/>
      <c r="DP227" s="1804"/>
      <c r="DQ227" s="1804"/>
      <c r="DR227" s="1804"/>
      <c r="DS227" s="1804"/>
      <c r="DT227" s="1804"/>
      <c r="DU227" s="1804"/>
      <c r="DV227" s="1804"/>
      <c r="DW227" s="1804"/>
      <c r="DX227" s="1804"/>
      <c r="DY227" s="1804"/>
      <c r="DZ227" s="1804"/>
      <c r="EA227" s="1804"/>
      <c r="EB227" s="1804"/>
      <c r="EC227" s="1804"/>
      <c r="ED227" s="1804"/>
      <c r="EE227" s="1804"/>
      <c r="EF227" s="1804"/>
      <c r="EG227" s="1804"/>
      <c r="EH227" s="1804"/>
      <c r="EI227" s="1804"/>
      <c r="EJ227" s="1804"/>
      <c r="EK227" s="1804"/>
      <c r="EL227" s="1804"/>
      <c r="EM227" s="1804"/>
      <c r="EN227" s="1804"/>
      <c r="EO227" s="1804"/>
      <c r="EP227" s="1804"/>
      <c r="EQ227" s="1804"/>
      <c r="ER227" s="1804"/>
      <c r="ES227" s="1804"/>
      <c r="ET227" s="1804"/>
      <c r="EU227" s="1804"/>
      <c r="EV227" s="1804"/>
      <c r="EW227" s="1804"/>
      <c r="EX227" s="1804"/>
      <c r="EY227" s="1804"/>
      <c r="EZ227" s="1804"/>
      <c r="FA227" s="1804"/>
      <c r="FB227" s="1804"/>
      <c r="FC227" s="1804"/>
      <c r="FD227" s="1804"/>
      <c r="FE227" s="1804"/>
      <c r="FF227" s="1804"/>
      <c r="FG227" s="1804"/>
      <c r="FH227" s="1804"/>
      <c r="FI227" s="1804"/>
      <c r="FJ227" s="1804"/>
      <c r="FK227" s="1804"/>
      <c r="FL227" s="1804"/>
      <c r="FM227" s="1804"/>
      <c r="FN227" s="1804"/>
      <c r="FO227" s="1804"/>
      <c r="FP227" s="1804"/>
      <c r="FQ227" s="1804"/>
      <c r="FR227" s="1804"/>
      <c r="FS227" s="1804"/>
      <c r="FT227" s="1804"/>
      <c r="FU227" s="1804"/>
      <c r="FV227" s="1804"/>
      <c r="FW227" s="1804"/>
      <c r="FX227" s="1804"/>
      <c r="FY227" s="1804"/>
      <c r="FZ227" s="1804"/>
      <c r="GA227" s="1804"/>
      <c r="GB227" s="1804"/>
      <c r="GC227" s="1804"/>
      <c r="GD227" s="1804"/>
      <c r="GE227" s="1804"/>
      <c r="GF227" s="1804"/>
      <c r="GG227" s="1804"/>
      <c r="GH227" s="1804"/>
      <c r="GI227" s="1804"/>
      <c r="GJ227" s="1804"/>
      <c r="GK227" s="1804"/>
      <c r="GL227" s="1804"/>
      <c r="GM227" s="1804"/>
      <c r="GN227" s="1804"/>
      <c r="GO227" s="1804"/>
      <c r="GP227" s="1804"/>
      <c r="GQ227" s="1804"/>
      <c r="GR227" s="1804"/>
      <c r="GS227" s="1804"/>
      <c r="GT227" s="1804"/>
      <c r="GU227" s="1804"/>
      <c r="GV227" s="1804"/>
      <c r="GW227" s="1804"/>
      <c r="GX227" s="1804"/>
      <c r="GY227" s="1804"/>
      <c r="GZ227" s="1804"/>
      <c r="HA227" s="1804"/>
      <c r="HB227" s="1804"/>
      <c r="HC227" s="1804"/>
      <c r="HD227" s="1804"/>
      <c r="HE227" s="1804"/>
      <c r="HF227" s="1804"/>
      <c r="HG227" s="1804"/>
      <c r="HH227" s="1804"/>
      <c r="HI227" s="1804"/>
      <c r="HJ227" s="1804"/>
      <c r="HK227" s="1804"/>
      <c r="HL227" s="1804"/>
      <c r="HM227" s="1804"/>
      <c r="HN227" s="1804"/>
      <c r="HO227" s="1804"/>
      <c r="HP227" s="1804"/>
      <c r="HQ227" s="1804"/>
      <c r="HR227" s="1804"/>
      <c r="HS227" s="1804"/>
      <c r="HT227" s="1804"/>
      <c r="HU227" s="1804"/>
      <c r="HV227" s="1804"/>
      <c r="HW227" s="1804"/>
      <c r="HX227" s="1804"/>
      <c r="HY227" s="1804"/>
      <c r="HZ227" s="1804"/>
      <c r="IA227" s="1804"/>
      <c r="IB227" s="1804"/>
      <c r="IC227" s="1804"/>
      <c r="ID227" s="1804"/>
      <c r="IE227" s="1804"/>
      <c r="IF227" s="1804"/>
      <c r="IG227" s="1804"/>
      <c r="IH227" s="1804"/>
      <c r="II227" s="1804"/>
      <c r="IJ227" s="1804"/>
      <c r="IK227" s="1804"/>
      <c r="IL227" s="1804"/>
      <c r="IM227" s="1804"/>
      <c r="IN227" s="1804"/>
      <c r="IO227" s="1804"/>
      <c r="IP227" s="1804"/>
      <c r="IQ227" s="1804"/>
      <c r="IR227" s="1804"/>
      <c r="IS227" s="1804"/>
      <c r="IT227" s="1804"/>
      <c r="IU227" s="1804"/>
      <c r="IV227" s="1804"/>
      <c r="IW227" s="1804"/>
    </row>
    <row r="228" spans="3:257" s="888" customFormat="1" x14ac:dyDescent="0.45">
      <c r="C228" s="67" t="s">
        <v>533</v>
      </c>
      <c r="D228" s="68" t="s">
        <v>635</v>
      </c>
      <c r="E228" s="69"/>
      <c r="F228" s="93">
        <v>0</v>
      </c>
      <c r="G228" s="93">
        <v>0</v>
      </c>
      <c r="H228" s="93">
        <v>0</v>
      </c>
      <c r="I228" s="94">
        <v>0</v>
      </c>
      <c r="J228" s="93">
        <v>0</v>
      </c>
      <c r="K228" s="93">
        <v>0</v>
      </c>
      <c r="L228" s="93">
        <v>0</v>
      </c>
      <c r="M228" s="94">
        <v>0</v>
      </c>
      <c r="N228" s="93">
        <v>0</v>
      </c>
      <c r="O228" s="93">
        <v>0</v>
      </c>
      <c r="P228" s="94">
        <v>0</v>
      </c>
      <c r="Q228" s="94">
        <v>0</v>
      </c>
      <c r="R228" s="94">
        <v>0</v>
      </c>
      <c r="S228" s="94">
        <v>0</v>
      </c>
      <c r="T228" s="94">
        <v>0</v>
      </c>
      <c r="U228" s="95">
        <v>0</v>
      </c>
      <c r="V228" s="95">
        <v>0</v>
      </c>
      <c r="W228" s="95">
        <v>0</v>
      </c>
      <c r="X228" s="95">
        <v>0</v>
      </c>
      <c r="Y228" s="95">
        <v>0</v>
      </c>
      <c r="Z228" s="95">
        <v>0</v>
      </c>
      <c r="AA228" s="95">
        <v>0</v>
      </c>
      <c r="AB228" s="95">
        <v>0</v>
      </c>
      <c r="AC228" s="95">
        <v>0</v>
      </c>
      <c r="AD228" s="95">
        <v>0</v>
      </c>
      <c r="AE228" s="95">
        <v>0</v>
      </c>
      <c r="AF228" s="95">
        <v>0</v>
      </c>
      <c r="AG228" s="95">
        <v>0</v>
      </c>
      <c r="AH228" s="95">
        <v>0</v>
      </c>
      <c r="AI228" s="95">
        <v>0</v>
      </c>
      <c r="AJ228" s="95">
        <v>0</v>
      </c>
      <c r="AK228" s="95">
        <v>0</v>
      </c>
      <c r="AL228" s="95">
        <v>0</v>
      </c>
      <c r="AM228" s="95">
        <v>0</v>
      </c>
      <c r="AN228" s="97">
        <v>0</v>
      </c>
      <c r="AO228" s="98">
        <f t="shared" si="15"/>
        <v>0</v>
      </c>
      <c r="AP228" s="1804"/>
      <c r="AQ228" s="1804"/>
      <c r="AR228" s="1804"/>
      <c r="AS228" s="1804"/>
      <c r="AT228" s="1804"/>
      <c r="AU228" s="1804"/>
      <c r="AV228" s="1804"/>
      <c r="AW228" s="1804"/>
      <c r="AX228" s="1804"/>
      <c r="AY228" s="1804"/>
      <c r="AZ228" s="1804"/>
      <c r="BA228" s="1804"/>
      <c r="BB228" s="1804"/>
      <c r="BC228" s="1804"/>
      <c r="BD228" s="1804"/>
      <c r="BE228" s="1804"/>
      <c r="BF228" s="1804"/>
      <c r="BG228" s="1804"/>
      <c r="BH228" s="1804"/>
      <c r="BI228" s="1804"/>
      <c r="BJ228" s="1804"/>
      <c r="BK228" s="1804"/>
      <c r="BL228" s="1804"/>
      <c r="BM228" s="1804"/>
      <c r="BN228" s="1804"/>
      <c r="BO228" s="1804"/>
      <c r="BP228" s="1804"/>
      <c r="BQ228" s="1804"/>
      <c r="BR228" s="1804"/>
      <c r="BS228" s="1804"/>
      <c r="BT228" s="1804"/>
      <c r="BU228" s="1804"/>
      <c r="BV228" s="1804"/>
      <c r="BW228" s="1804"/>
      <c r="BX228" s="1804"/>
      <c r="BY228" s="1804"/>
      <c r="BZ228" s="1804"/>
      <c r="CA228" s="1804"/>
      <c r="CB228" s="1804"/>
      <c r="CC228" s="1804"/>
      <c r="CD228" s="1804"/>
      <c r="CE228" s="1804"/>
      <c r="CF228" s="1804"/>
      <c r="CG228" s="1804"/>
      <c r="CH228" s="1804"/>
      <c r="CI228" s="1804"/>
      <c r="CJ228" s="1804"/>
      <c r="CK228" s="1804"/>
      <c r="CL228" s="1804"/>
      <c r="CM228" s="1804"/>
      <c r="CN228" s="1804"/>
      <c r="CO228" s="1804"/>
      <c r="CP228" s="1804"/>
      <c r="CQ228" s="1804"/>
      <c r="CR228" s="1804"/>
      <c r="CS228" s="1804"/>
      <c r="CT228" s="1804"/>
      <c r="CU228" s="1804"/>
      <c r="CV228" s="1804"/>
      <c r="CW228" s="1804"/>
      <c r="CX228" s="1804"/>
      <c r="CY228" s="1804"/>
      <c r="CZ228" s="1804"/>
      <c r="DA228" s="1804"/>
      <c r="DB228" s="1804"/>
      <c r="DC228" s="1804"/>
      <c r="DD228" s="1804"/>
      <c r="DE228" s="1804"/>
      <c r="DF228" s="1804"/>
      <c r="DG228" s="1804"/>
      <c r="DH228" s="1804"/>
      <c r="DI228" s="1804"/>
      <c r="DJ228" s="1804"/>
      <c r="DK228" s="1804"/>
      <c r="DL228" s="1804"/>
      <c r="DM228" s="1804"/>
      <c r="DN228" s="1804"/>
      <c r="DO228" s="1804"/>
      <c r="DP228" s="1804"/>
      <c r="DQ228" s="1804"/>
      <c r="DR228" s="1804"/>
      <c r="DS228" s="1804"/>
      <c r="DT228" s="1804"/>
      <c r="DU228" s="1804"/>
      <c r="DV228" s="1804"/>
      <c r="DW228" s="1804"/>
      <c r="DX228" s="1804"/>
      <c r="DY228" s="1804"/>
      <c r="DZ228" s="1804"/>
      <c r="EA228" s="1804"/>
      <c r="EB228" s="1804"/>
      <c r="EC228" s="1804"/>
      <c r="ED228" s="1804"/>
      <c r="EE228" s="1804"/>
      <c r="EF228" s="1804"/>
      <c r="EG228" s="1804"/>
      <c r="EH228" s="1804"/>
      <c r="EI228" s="1804"/>
      <c r="EJ228" s="1804"/>
      <c r="EK228" s="1804"/>
      <c r="EL228" s="1804"/>
      <c r="EM228" s="1804"/>
      <c r="EN228" s="1804"/>
      <c r="EO228" s="1804"/>
      <c r="EP228" s="1804"/>
      <c r="EQ228" s="1804"/>
      <c r="ER228" s="1804"/>
      <c r="ES228" s="1804"/>
      <c r="ET228" s="1804"/>
      <c r="EU228" s="1804"/>
      <c r="EV228" s="1804"/>
      <c r="EW228" s="1804"/>
      <c r="EX228" s="1804"/>
      <c r="EY228" s="1804"/>
      <c r="EZ228" s="1804"/>
      <c r="FA228" s="1804"/>
      <c r="FB228" s="1804"/>
      <c r="FC228" s="1804"/>
      <c r="FD228" s="1804"/>
      <c r="FE228" s="1804"/>
      <c r="FF228" s="1804"/>
      <c r="FG228" s="1804"/>
      <c r="FH228" s="1804"/>
      <c r="FI228" s="1804"/>
      <c r="FJ228" s="1804"/>
      <c r="FK228" s="1804"/>
      <c r="FL228" s="1804"/>
      <c r="FM228" s="1804"/>
      <c r="FN228" s="1804"/>
      <c r="FO228" s="1804"/>
      <c r="FP228" s="1804"/>
      <c r="FQ228" s="1804"/>
      <c r="FR228" s="1804"/>
      <c r="FS228" s="1804"/>
      <c r="FT228" s="1804"/>
      <c r="FU228" s="1804"/>
      <c r="FV228" s="1804"/>
      <c r="FW228" s="1804"/>
      <c r="FX228" s="1804"/>
      <c r="FY228" s="1804"/>
      <c r="FZ228" s="1804"/>
      <c r="GA228" s="1804"/>
      <c r="GB228" s="1804"/>
      <c r="GC228" s="1804"/>
      <c r="GD228" s="1804"/>
      <c r="GE228" s="1804"/>
      <c r="GF228" s="1804"/>
      <c r="GG228" s="1804"/>
      <c r="GH228" s="1804"/>
      <c r="GI228" s="1804"/>
      <c r="GJ228" s="1804"/>
      <c r="GK228" s="1804"/>
      <c r="GL228" s="1804"/>
      <c r="GM228" s="1804"/>
      <c r="GN228" s="1804"/>
      <c r="GO228" s="1804"/>
      <c r="GP228" s="1804"/>
      <c r="GQ228" s="1804"/>
      <c r="GR228" s="1804"/>
      <c r="GS228" s="1804"/>
      <c r="GT228" s="1804"/>
      <c r="GU228" s="1804"/>
      <c r="GV228" s="1804"/>
      <c r="GW228" s="1804"/>
      <c r="GX228" s="1804"/>
      <c r="GY228" s="1804"/>
      <c r="GZ228" s="1804"/>
      <c r="HA228" s="1804"/>
      <c r="HB228" s="1804"/>
      <c r="HC228" s="1804"/>
      <c r="HD228" s="1804"/>
      <c r="HE228" s="1804"/>
      <c r="HF228" s="1804"/>
      <c r="HG228" s="1804"/>
      <c r="HH228" s="1804"/>
      <c r="HI228" s="1804"/>
      <c r="HJ228" s="1804"/>
      <c r="HK228" s="1804"/>
      <c r="HL228" s="1804"/>
      <c r="HM228" s="1804"/>
      <c r="HN228" s="1804"/>
      <c r="HO228" s="1804"/>
      <c r="HP228" s="1804"/>
      <c r="HQ228" s="1804"/>
      <c r="HR228" s="1804"/>
      <c r="HS228" s="1804"/>
      <c r="HT228" s="1804"/>
      <c r="HU228" s="1804"/>
      <c r="HV228" s="1804"/>
      <c r="HW228" s="1804"/>
      <c r="HX228" s="1804"/>
      <c r="HY228" s="1804"/>
      <c r="HZ228" s="1804"/>
      <c r="IA228" s="1804"/>
      <c r="IB228" s="1804"/>
      <c r="IC228" s="1804"/>
      <c r="ID228" s="1804"/>
      <c r="IE228" s="1804"/>
      <c r="IF228" s="1804"/>
      <c r="IG228" s="1804"/>
      <c r="IH228" s="1804"/>
      <c r="II228" s="1804"/>
      <c r="IJ228" s="1804"/>
      <c r="IK228" s="1804"/>
      <c r="IL228" s="1804"/>
      <c r="IM228" s="1804"/>
      <c r="IN228" s="1804"/>
      <c r="IO228" s="1804"/>
      <c r="IP228" s="1804"/>
      <c r="IQ228" s="1804"/>
      <c r="IR228" s="1804"/>
      <c r="IS228" s="1804"/>
      <c r="IT228" s="1804"/>
      <c r="IU228" s="1804"/>
      <c r="IV228" s="1804"/>
      <c r="IW228" s="1804"/>
    </row>
    <row r="229" spans="3:257" s="888" customFormat="1" x14ac:dyDescent="0.45">
      <c r="C229" s="67" t="s">
        <v>534</v>
      </c>
      <c r="D229" s="68" t="s">
        <v>636</v>
      </c>
      <c r="E229" s="69"/>
      <c r="F229" s="93">
        <v>0</v>
      </c>
      <c r="G229" s="93">
        <v>0</v>
      </c>
      <c r="H229" s="93">
        <v>0</v>
      </c>
      <c r="I229" s="94">
        <v>0</v>
      </c>
      <c r="J229" s="93">
        <v>0</v>
      </c>
      <c r="K229" s="93">
        <v>0</v>
      </c>
      <c r="L229" s="93">
        <v>0</v>
      </c>
      <c r="M229" s="94">
        <v>0</v>
      </c>
      <c r="N229" s="93">
        <v>0</v>
      </c>
      <c r="O229" s="93">
        <v>0</v>
      </c>
      <c r="P229" s="94">
        <v>0</v>
      </c>
      <c r="Q229" s="94">
        <v>0</v>
      </c>
      <c r="R229" s="94">
        <v>0</v>
      </c>
      <c r="S229" s="94">
        <v>413.79107404609664</v>
      </c>
      <c r="T229" s="94">
        <v>0</v>
      </c>
      <c r="U229" s="95">
        <v>0</v>
      </c>
      <c r="V229" s="95">
        <v>0</v>
      </c>
      <c r="W229" s="95">
        <v>0</v>
      </c>
      <c r="X229" s="95">
        <v>0</v>
      </c>
      <c r="Y229" s="95">
        <v>0</v>
      </c>
      <c r="Z229" s="95">
        <v>0</v>
      </c>
      <c r="AA229" s="95">
        <v>0</v>
      </c>
      <c r="AB229" s="95">
        <v>0</v>
      </c>
      <c r="AC229" s="95">
        <v>0</v>
      </c>
      <c r="AD229" s="95">
        <v>0</v>
      </c>
      <c r="AE229" s="95">
        <v>0</v>
      </c>
      <c r="AF229" s="95">
        <v>0</v>
      </c>
      <c r="AG229" s="95">
        <v>0</v>
      </c>
      <c r="AH229" s="95">
        <v>0</v>
      </c>
      <c r="AI229" s="95">
        <v>0</v>
      </c>
      <c r="AJ229" s="95">
        <v>0</v>
      </c>
      <c r="AK229" s="95">
        <v>0</v>
      </c>
      <c r="AL229" s="95">
        <v>0</v>
      </c>
      <c r="AM229" s="95">
        <v>0</v>
      </c>
      <c r="AN229" s="97">
        <v>0</v>
      </c>
      <c r="AO229" s="98">
        <f t="shared" si="15"/>
        <v>5312249.8086037887</v>
      </c>
      <c r="AP229" s="1804"/>
      <c r="AQ229" s="1804"/>
      <c r="AR229" s="1804"/>
      <c r="AS229" s="1804"/>
      <c r="AT229" s="1804"/>
      <c r="AU229" s="1804"/>
      <c r="AV229" s="1804"/>
      <c r="AW229" s="1804"/>
      <c r="AX229" s="1804"/>
      <c r="AY229" s="1804"/>
      <c r="AZ229" s="1804"/>
      <c r="BA229" s="1804"/>
      <c r="BB229" s="1804"/>
      <c r="BC229" s="1804"/>
      <c r="BD229" s="1804"/>
      <c r="BE229" s="1804"/>
      <c r="BF229" s="1804"/>
      <c r="BG229" s="1804"/>
      <c r="BH229" s="1804"/>
      <c r="BI229" s="1804"/>
      <c r="BJ229" s="1804"/>
      <c r="BK229" s="1804"/>
      <c r="BL229" s="1804"/>
      <c r="BM229" s="1804"/>
      <c r="BN229" s="1804"/>
      <c r="BO229" s="1804"/>
      <c r="BP229" s="1804"/>
      <c r="BQ229" s="1804"/>
      <c r="BR229" s="1804"/>
      <c r="BS229" s="1804"/>
      <c r="BT229" s="1804"/>
      <c r="BU229" s="1804"/>
      <c r="BV229" s="1804"/>
      <c r="BW229" s="1804"/>
      <c r="BX229" s="1804"/>
      <c r="BY229" s="1804"/>
      <c r="BZ229" s="1804"/>
      <c r="CA229" s="1804"/>
      <c r="CB229" s="1804"/>
      <c r="CC229" s="1804"/>
      <c r="CD229" s="1804"/>
      <c r="CE229" s="1804"/>
      <c r="CF229" s="1804"/>
      <c r="CG229" s="1804"/>
      <c r="CH229" s="1804"/>
      <c r="CI229" s="1804"/>
      <c r="CJ229" s="1804"/>
      <c r="CK229" s="1804"/>
      <c r="CL229" s="1804"/>
      <c r="CM229" s="1804"/>
      <c r="CN229" s="1804"/>
      <c r="CO229" s="1804"/>
      <c r="CP229" s="1804"/>
      <c r="CQ229" s="1804"/>
      <c r="CR229" s="1804"/>
      <c r="CS229" s="1804"/>
      <c r="CT229" s="1804"/>
      <c r="CU229" s="1804"/>
      <c r="CV229" s="1804"/>
      <c r="CW229" s="1804"/>
      <c r="CX229" s="1804"/>
      <c r="CY229" s="1804"/>
      <c r="CZ229" s="1804"/>
      <c r="DA229" s="1804"/>
      <c r="DB229" s="1804"/>
      <c r="DC229" s="1804"/>
      <c r="DD229" s="1804"/>
      <c r="DE229" s="1804"/>
      <c r="DF229" s="1804"/>
      <c r="DG229" s="1804"/>
      <c r="DH229" s="1804"/>
      <c r="DI229" s="1804"/>
      <c r="DJ229" s="1804"/>
      <c r="DK229" s="1804"/>
      <c r="DL229" s="1804"/>
      <c r="DM229" s="1804"/>
      <c r="DN229" s="1804"/>
      <c r="DO229" s="1804"/>
      <c r="DP229" s="1804"/>
      <c r="DQ229" s="1804"/>
      <c r="DR229" s="1804"/>
      <c r="DS229" s="1804"/>
      <c r="DT229" s="1804"/>
      <c r="DU229" s="1804"/>
      <c r="DV229" s="1804"/>
      <c r="DW229" s="1804"/>
      <c r="DX229" s="1804"/>
      <c r="DY229" s="1804"/>
      <c r="DZ229" s="1804"/>
      <c r="EA229" s="1804"/>
      <c r="EB229" s="1804"/>
      <c r="EC229" s="1804"/>
      <c r="ED229" s="1804"/>
      <c r="EE229" s="1804"/>
      <c r="EF229" s="1804"/>
      <c r="EG229" s="1804"/>
      <c r="EH229" s="1804"/>
      <c r="EI229" s="1804"/>
      <c r="EJ229" s="1804"/>
      <c r="EK229" s="1804"/>
      <c r="EL229" s="1804"/>
      <c r="EM229" s="1804"/>
      <c r="EN229" s="1804"/>
      <c r="EO229" s="1804"/>
      <c r="EP229" s="1804"/>
      <c r="EQ229" s="1804"/>
      <c r="ER229" s="1804"/>
      <c r="ES229" s="1804"/>
      <c r="ET229" s="1804"/>
      <c r="EU229" s="1804"/>
      <c r="EV229" s="1804"/>
      <c r="EW229" s="1804"/>
      <c r="EX229" s="1804"/>
      <c r="EY229" s="1804"/>
      <c r="EZ229" s="1804"/>
      <c r="FA229" s="1804"/>
      <c r="FB229" s="1804"/>
      <c r="FC229" s="1804"/>
      <c r="FD229" s="1804"/>
      <c r="FE229" s="1804"/>
      <c r="FF229" s="1804"/>
      <c r="FG229" s="1804"/>
      <c r="FH229" s="1804"/>
      <c r="FI229" s="1804"/>
      <c r="FJ229" s="1804"/>
      <c r="FK229" s="1804"/>
      <c r="FL229" s="1804"/>
      <c r="FM229" s="1804"/>
      <c r="FN229" s="1804"/>
      <c r="FO229" s="1804"/>
      <c r="FP229" s="1804"/>
      <c r="FQ229" s="1804"/>
      <c r="FR229" s="1804"/>
      <c r="FS229" s="1804"/>
      <c r="FT229" s="1804"/>
      <c r="FU229" s="1804"/>
      <c r="FV229" s="1804"/>
      <c r="FW229" s="1804"/>
      <c r="FX229" s="1804"/>
      <c r="FY229" s="1804"/>
      <c r="FZ229" s="1804"/>
      <c r="GA229" s="1804"/>
      <c r="GB229" s="1804"/>
      <c r="GC229" s="1804"/>
      <c r="GD229" s="1804"/>
      <c r="GE229" s="1804"/>
      <c r="GF229" s="1804"/>
      <c r="GG229" s="1804"/>
      <c r="GH229" s="1804"/>
      <c r="GI229" s="1804"/>
      <c r="GJ229" s="1804"/>
      <c r="GK229" s="1804"/>
      <c r="GL229" s="1804"/>
      <c r="GM229" s="1804"/>
      <c r="GN229" s="1804"/>
      <c r="GO229" s="1804"/>
      <c r="GP229" s="1804"/>
      <c r="GQ229" s="1804"/>
      <c r="GR229" s="1804"/>
      <c r="GS229" s="1804"/>
      <c r="GT229" s="1804"/>
      <c r="GU229" s="1804"/>
      <c r="GV229" s="1804"/>
      <c r="GW229" s="1804"/>
      <c r="GX229" s="1804"/>
      <c r="GY229" s="1804"/>
      <c r="GZ229" s="1804"/>
      <c r="HA229" s="1804"/>
      <c r="HB229" s="1804"/>
      <c r="HC229" s="1804"/>
      <c r="HD229" s="1804"/>
      <c r="HE229" s="1804"/>
      <c r="HF229" s="1804"/>
      <c r="HG229" s="1804"/>
      <c r="HH229" s="1804"/>
      <c r="HI229" s="1804"/>
      <c r="HJ229" s="1804"/>
      <c r="HK229" s="1804"/>
      <c r="HL229" s="1804"/>
      <c r="HM229" s="1804"/>
      <c r="HN229" s="1804"/>
      <c r="HO229" s="1804"/>
      <c r="HP229" s="1804"/>
      <c r="HQ229" s="1804"/>
      <c r="HR229" s="1804"/>
      <c r="HS229" s="1804"/>
      <c r="HT229" s="1804"/>
      <c r="HU229" s="1804"/>
      <c r="HV229" s="1804"/>
      <c r="HW229" s="1804"/>
      <c r="HX229" s="1804"/>
      <c r="HY229" s="1804"/>
      <c r="HZ229" s="1804"/>
      <c r="IA229" s="1804"/>
      <c r="IB229" s="1804"/>
      <c r="IC229" s="1804"/>
      <c r="ID229" s="1804"/>
      <c r="IE229" s="1804"/>
      <c r="IF229" s="1804"/>
      <c r="IG229" s="1804"/>
      <c r="IH229" s="1804"/>
      <c r="II229" s="1804"/>
      <c r="IJ229" s="1804"/>
      <c r="IK229" s="1804"/>
      <c r="IL229" s="1804"/>
      <c r="IM229" s="1804"/>
      <c r="IN229" s="1804"/>
      <c r="IO229" s="1804"/>
      <c r="IP229" s="1804"/>
      <c r="IQ229" s="1804"/>
      <c r="IR229" s="1804"/>
      <c r="IS229" s="1804"/>
      <c r="IT229" s="1804"/>
      <c r="IU229" s="1804"/>
      <c r="IV229" s="1804"/>
      <c r="IW229" s="1804"/>
    </row>
    <row r="230" spans="3:257" s="888" customFormat="1" x14ac:dyDescent="0.45">
      <c r="C230" s="67" t="s">
        <v>535</v>
      </c>
      <c r="D230" s="68" t="s">
        <v>637</v>
      </c>
      <c r="E230" s="69"/>
      <c r="F230" s="93">
        <v>0</v>
      </c>
      <c r="G230" s="93">
        <v>0</v>
      </c>
      <c r="H230" s="93">
        <v>0</v>
      </c>
      <c r="I230" s="94">
        <v>0</v>
      </c>
      <c r="J230" s="93">
        <v>0</v>
      </c>
      <c r="K230" s="93">
        <v>0</v>
      </c>
      <c r="L230" s="93">
        <v>0</v>
      </c>
      <c r="M230" s="94">
        <v>0</v>
      </c>
      <c r="N230" s="93">
        <v>0</v>
      </c>
      <c r="O230" s="93">
        <v>0</v>
      </c>
      <c r="P230" s="94">
        <v>0</v>
      </c>
      <c r="Q230" s="94">
        <v>0</v>
      </c>
      <c r="R230" s="94">
        <v>0</v>
      </c>
      <c r="S230" s="94">
        <v>0</v>
      </c>
      <c r="T230" s="94">
        <v>0</v>
      </c>
      <c r="U230" s="95">
        <v>0</v>
      </c>
      <c r="V230" s="95">
        <v>0</v>
      </c>
      <c r="W230" s="95">
        <v>0</v>
      </c>
      <c r="X230" s="95">
        <v>0</v>
      </c>
      <c r="Y230" s="95">
        <v>0</v>
      </c>
      <c r="Z230" s="95">
        <v>0</v>
      </c>
      <c r="AA230" s="95">
        <v>0</v>
      </c>
      <c r="AB230" s="95">
        <v>0</v>
      </c>
      <c r="AC230" s="95">
        <v>0</v>
      </c>
      <c r="AD230" s="95">
        <v>0</v>
      </c>
      <c r="AE230" s="99">
        <v>0.68809154352160273</v>
      </c>
      <c r="AF230" s="99">
        <v>88.261446633437686</v>
      </c>
      <c r="AG230" s="95">
        <v>0</v>
      </c>
      <c r="AH230" s="95">
        <v>0</v>
      </c>
      <c r="AI230" s="95">
        <v>0</v>
      </c>
      <c r="AJ230" s="95">
        <v>0</v>
      </c>
      <c r="AK230" s="95">
        <v>0</v>
      </c>
      <c r="AL230" s="95">
        <v>0</v>
      </c>
      <c r="AM230" s="95">
        <v>0</v>
      </c>
      <c r="AN230" s="97">
        <v>0</v>
      </c>
      <c r="AO230" s="98">
        <f t="shared" si="15"/>
        <v>1141934.1711158033</v>
      </c>
      <c r="AP230" s="1804"/>
      <c r="AQ230" s="1804"/>
      <c r="AR230" s="1804"/>
      <c r="AS230" s="1804"/>
      <c r="AT230" s="1804"/>
      <c r="AU230" s="1804"/>
      <c r="AV230" s="1804"/>
      <c r="AW230" s="1804"/>
      <c r="AX230" s="1804"/>
      <c r="AY230" s="1804"/>
      <c r="AZ230" s="1804"/>
      <c r="BA230" s="1804"/>
      <c r="BB230" s="1804"/>
      <c r="BC230" s="1804"/>
      <c r="BD230" s="1804"/>
      <c r="BE230" s="1804"/>
      <c r="BF230" s="1804"/>
      <c r="BG230" s="1804"/>
      <c r="BH230" s="1804"/>
      <c r="BI230" s="1804"/>
      <c r="BJ230" s="1804"/>
      <c r="BK230" s="1804"/>
      <c r="BL230" s="1804"/>
      <c r="BM230" s="1804"/>
      <c r="BN230" s="1804"/>
      <c r="BO230" s="1804"/>
      <c r="BP230" s="1804"/>
      <c r="BQ230" s="1804"/>
      <c r="BR230" s="1804"/>
      <c r="BS230" s="1804"/>
      <c r="BT230" s="1804"/>
      <c r="BU230" s="1804"/>
      <c r="BV230" s="1804"/>
      <c r="BW230" s="1804"/>
      <c r="BX230" s="1804"/>
      <c r="BY230" s="1804"/>
      <c r="BZ230" s="1804"/>
      <c r="CA230" s="1804"/>
      <c r="CB230" s="1804"/>
      <c r="CC230" s="1804"/>
      <c r="CD230" s="1804"/>
      <c r="CE230" s="1804"/>
      <c r="CF230" s="1804"/>
      <c r="CG230" s="1804"/>
      <c r="CH230" s="1804"/>
      <c r="CI230" s="1804"/>
      <c r="CJ230" s="1804"/>
      <c r="CK230" s="1804"/>
      <c r="CL230" s="1804"/>
      <c r="CM230" s="1804"/>
      <c r="CN230" s="1804"/>
      <c r="CO230" s="1804"/>
      <c r="CP230" s="1804"/>
      <c r="CQ230" s="1804"/>
      <c r="CR230" s="1804"/>
      <c r="CS230" s="1804"/>
      <c r="CT230" s="1804"/>
      <c r="CU230" s="1804"/>
      <c r="CV230" s="1804"/>
      <c r="CW230" s="1804"/>
      <c r="CX230" s="1804"/>
      <c r="CY230" s="1804"/>
      <c r="CZ230" s="1804"/>
      <c r="DA230" s="1804"/>
      <c r="DB230" s="1804"/>
      <c r="DC230" s="1804"/>
      <c r="DD230" s="1804"/>
      <c r="DE230" s="1804"/>
      <c r="DF230" s="1804"/>
      <c r="DG230" s="1804"/>
      <c r="DH230" s="1804"/>
      <c r="DI230" s="1804"/>
      <c r="DJ230" s="1804"/>
      <c r="DK230" s="1804"/>
      <c r="DL230" s="1804"/>
      <c r="DM230" s="1804"/>
      <c r="DN230" s="1804"/>
      <c r="DO230" s="1804"/>
      <c r="DP230" s="1804"/>
      <c r="DQ230" s="1804"/>
      <c r="DR230" s="1804"/>
      <c r="DS230" s="1804"/>
      <c r="DT230" s="1804"/>
      <c r="DU230" s="1804"/>
      <c r="DV230" s="1804"/>
      <c r="DW230" s="1804"/>
      <c r="DX230" s="1804"/>
      <c r="DY230" s="1804"/>
      <c r="DZ230" s="1804"/>
      <c r="EA230" s="1804"/>
      <c r="EB230" s="1804"/>
      <c r="EC230" s="1804"/>
      <c r="ED230" s="1804"/>
      <c r="EE230" s="1804"/>
      <c r="EF230" s="1804"/>
      <c r="EG230" s="1804"/>
      <c r="EH230" s="1804"/>
      <c r="EI230" s="1804"/>
      <c r="EJ230" s="1804"/>
      <c r="EK230" s="1804"/>
      <c r="EL230" s="1804"/>
      <c r="EM230" s="1804"/>
      <c r="EN230" s="1804"/>
      <c r="EO230" s="1804"/>
      <c r="EP230" s="1804"/>
      <c r="EQ230" s="1804"/>
      <c r="ER230" s="1804"/>
      <c r="ES230" s="1804"/>
      <c r="ET230" s="1804"/>
      <c r="EU230" s="1804"/>
      <c r="EV230" s="1804"/>
      <c r="EW230" s="1804"/>
      <c r="EX230" s="1804"/>
      <c r="EY230" s="1804"/>
      <c r="EZ230" s="1804"/>
      <c r="FA230" s="1804"/>
      <c r="FB230" s="1804"/>
      <c r="FC230" s="1804"/>
      <c r="FD230" s="1804"/>
      <c r="FE230" s="1804"/>
      <c r="FF230" s="1804"/>
      <c r="FG230" s="1804"/>
      <c r="FH230" s="1804"/>
      <c r="FI230" s="1804"/>
      <c r="FJ230" s="1804"/>
      <c r="FK230" s="1804"/>
      <c r="FL230" s="1804"/>
      <c r="FM230" s="1804"/>
      <c r="FN230" s="1804"/>
      <c r="FO230" s="1804"/>
      <c r="FP230" s="1804"/>
      <c r="FQ230" s="1804"/>
      <c r="FR230" s="1804"/>
      <c r="FS230" s="1804"/>
      <c r="FT230" s="1804"/>
      <c r="FU230" s="1804"/>
      <c r="FV230" s="1804"/>
      <c r="FW230" s="1804"/>
      <c r="FX230" s="1804"/>
      <c r="FY230" s="1804"/>
      <c r="FZ230" s="1804"/>
      <c r="GA230" s="1804"/>
      <c r="GB230" s="1804"/>
      <c r="GC230" s="1804"/>
      <c r="GD230" s="1804"/>
      <c r="GE230" s="1804"/>
      <c r="GF230" s="1804"/>
      <c r="GG230" s="1804"/>
      <c r="GH230" s="1804"/>
      <c r="GI230" s="1804"/>
      <c r="GJ230" s="1804"/>
      <c r="GK230" s="1804"/>
      <c r="GL230" s="1804"/>
      <c r="GM230" s="1804"/>
      <c r="GN230" s="1804"/>
      <c r="GO230" s="1804"/>
      <c r="GP230" s="1804"/>
      <c r="GQ230" s="1804"/>
      <c r="GR230" s="1804"/>
      <c r="GS230" s="1804"/>
      <c r="GT230" s="1804"/>
      <c r="GU230" s="1804"/>
      <c r="GV230" s="1804"/>
      <c r="GW230" s="1804"/>
      <c r="GX230" s="1804"/>
      <c r="GY230" s="1804"/>
      <c r="GZ230" s="1804"/>
      <c r="HA230" s="1804"/>
      <c r="HB230" s="1804"/>
      <c r="HC230" s="1804"/>
      <c r="HD230" s="1804"/>
      <c r="HE230" s="1804"/>
      <c r="HF230" s="1804"/>
      <c r="HG230" s="1804"/>
      <c r="HH230" s="1804"/>
      <c r="HI230" s="1804"/>
      <c r="HJ230" s="1804"/>
      <c r="HK230" s="1804"/>
      <c r="HL230" s="1804"/>
      <c r="HM230" s="1804"/>
      <c r="HN230" s="1804"/>
      <c r="HO230" s="1804"/>
      <c r="HP230" s="1804"/>
      <c r="HQ230" s="1804"/>
      <c r="HR230" s="1804"/>
      <c r="HS230" s="1804"/>
      <c r="HT230" s="1804"/>
      <c r="HU230" s="1804"/>
      <c r="HV230" s="1804"/>
      <c r="HW230" s="1804"/>
      <c r="HX230" s="1804"/>
      <c r="HY230" s="1804"/>
      <c r="HZ230" s="1804"/>
      <c r="IA230" s="1804"/>
      <c r="IB230" s="1804"/>
      <c r="IC230" s="1804"/>
      <c r="ID230" s="1804"/>
      <c r="IE230" s="1804"/>
      <c r="IF230" s="1804"/>
      <c r="IG230" s="1804"/>
      <c r="IH230" s="1804"/>
      <c r="II230" s="1804"/>
      <c r="IJ230" s="1804"/>
      <c r="IK230" s="1804"/>
      <c r="IL230" s="1804"/>
      <c r="IM230" s="1804"/>
      <c r="IN230" s="1804"/>
      <c r="IO230" s="1804"/>
      <c r="IP230" s="1804"/>
      <c r="IQ230" s="1804"/>
      <c r="IR230" s="1804"/>
      <c r="IS230" s="1804"/>
      <c r="IT230" s="1804"/>
      <c r="IU230" s="1804"/>
      <c r="IV230" s="1804"/>
      <c r="IW230" s="1804"/>
    </row>
    <row r="231" spans="3:257" s="888" customFormat="1" x14ac:dyDescent="0.45">
      <c r="C231" s="67" t="s">
        <v>536</v>
      </c>
      <c r="D231" s="68" t="s">
        <v>638</v>
      </c>
      <c r="E231" s="69"/>
      <c r="F231" s="93">
        <v>0</v>
      </c>
      <c r="G231" s="93">
        <v>46.907438770967076</v>
      </c>
      <c r="H231" s="93">
        <v>0</v>
      </c>
      <c r="I231" s="94">
        <v>0</v>
      </c>
      <c r="J231" s="93">
        <v>0</v>
      </c>
      <c r="K231" s="93">
        <v>0</v>
      </c>
      <c r="L231" s="93">
        <v>0</v>
      </c>
      <c r="M231" s="94">
        <v>0</v>
      </c>
      <c r="N231" s="93">
        <v>0</v>
      </c>
      <c r="O231" s="93">
        <v>0</v>
      </c>
      <c r="P231" s="94">
        <v>0</v>
      </c>
      <c r="Q231" s="94">
        <v>0</v>
      </c>
      <c r="R231" s="94">
        <v>0</v>
      </c>
      <c r="S231" s="94">
        <v>0</v>
      </c>
      <c r="T231" s="94">
        <v>0</v>
      </c>
      <c r="U231" s="95">
        <v>0</v>
      </c>
      <c r="V231" s="95">
        <v>0</v>
      </c>
      <c r="W231" s="95">
        <v>0</v>
      </c>
      <c r="X231" s="95">
        <v>0</v>
      </c>
      <c r="Y231" s="95">
        <v>0</v>
      </c>
      <c r="Z231" s="95">
        <v>0</v>
      </c>
      <c r="AA231" s="95">
        <v>0</v>
      </c>
      <c r="AB231" s="95">
        <v>0</v>
      </c>
      <c r="AC231" s="95">
        <v>0</v>
      </c>
      <c r="AD231" s="95">
        <v>0</v>
      </c>
      <c r="AE231" s="95">
        <v>0</v>
      </c>
      <c r="AF231" s="95">
        <v>0</v>
      </c>
      <c r="AG231" s="95">
        <v>0</v>
      </c>
      <c r="AH231" s="95">
        <v>0</v>
      </c>
      <c r="AI231" s="95">
        <v>0</v>
      </c>
      <c r="AJ231" s="95">
        <v>0</v>
      </c>
      <c r="AK231" s="95">
        <v>0</v>
      </c>
      <c r="AL231" s="95">
        <v>0</v>
      </c>
      <c r="AM231" s="95">
        <v>0</v>
      </c>
      <c r="AN231" s="97">
        <v>0</v>
      </c>
      <c r="AO231" s="98">
        <f t="shared" si="15"/>
        <v>602197.69894167536</v>
      </c>
      <c r="AP231" s="1804"/>
      <c r="AQ231" s="1804"/>
      <c r="AR231" s="1804"/>
      <c r="AS231" s="1804"/>
      <c r="AT231" s="1804"/>
      <c r="AU231" s="1804"/>
      <c r="AV231" s="1804"/>
      <c r="AW231" s="1804"/>
      <c r="AX231" s="1804"/>
      <c r="AY231" s="1804"/>
      <c r="AZ231" s="1804"/>
      <c r="BA231" s="1804"/>
      <c r="BB231" s="1804"/>
      <c r="BC231" s="1804"/>
      <c r="BD231" s="1804"/>
      <c r="BE231" s="1804"/>
      <c r="BF231" s="1804"/>
      <c r="BG231" s="1804"/>
      <c r="BH231" s="1804"/>
      <c r="BI231" s="1804"/>
      <c r="BJ231" s="1804"/>
      <c r="BK231" s="1804"/>
      <c r="BL231" s="1804"/>
      <c r="BM231" s="1804"/>
      <c r="BN231" s="1804"/>
      <c r="BO231" s="1804"/>
      <c r="BP231" s="1804"/>
      <c r="BQ231" s="1804"/>
      <c r="BR231" s="1804"/>
      <c r="BS231" s="1804"/>
      <c r="BT231" s="1804"/>
      <c r="BU231" s="1804"/>
      <c r="BV231" s="1804"/>
      <c r="BW231" s="1804"/>
      <c r="BX231" s="1804"/>
      <c r="BY231" s="1804"/>
      <c r="BZ231" s="1804"/>
      <c r="CA231" s="1804"/>
      <c r="CB231" s="1804"/>
      <c r="CC231" s="1804"/>
      <c r="CD231" s="1804"/>
      <c r="CE231" s="1804"/>
      <c r="CF231" s="1804"/>
      <c r="CG231" s="1804"/>
      <c r="CH231" s="1804"/>
      <c r="CI231" s="1804"/>
      <c r="CJ231" s="1804"/>
      <c r="CK231" s="1804"/>
      <c r="CL231" s="1804"/>
      <c r="CM231" s="1804"/>
      <c r="CN231" s="1804"/>
      <c r="CO231" s="1804"/>
      <c r="CP231" s="1804"/>
      <c r="CQ231" s="1804"/>
      <c r="CR231" s="1804"/>
      <c r="CS231" s="1804"/>
      <c r="CT231" s="1804"/>
      <c r="CU231" s="1804"/>
      <c r="CV231" s="1804"/>
      <c r="CW231" s="1804"/>
      <c r="CX231" s="1804"/>
      <c r="CY231" s="1804"/>
      <c r="CZ231" s="1804"/>
      <c r="DA231" s="1804"/>
      <c r="DB231" s="1804"/>
      <c r="DC231" s="1804"/>
      <c r="DD231" s="1804"/>
      <c r="DE231" s="1804"/>
      <c r="DF231" s="1804"/>
      <c r="DG231" s="1804"/>
      <c r="DH231" s="1804"/>
      <c r="DI231" s="1804"/>
      <c r="DJ231" s="1804"/>
      <c r="DK231" s="1804"/>
      <c r="DL231" s="1804"/>
      <c r="DM231" s="1804"/>
      <c r="DN231" s="1804"/>
      <c r="DO231" s="1804"/>
      <c r="DP231" s="1804"/>
      <c r="DQ231" s="1804"/>
      <c r="DR231" s="1804"/>
      <c r="DS231" s="1804"/>
      <c r="DT231" s="1804"/>
      <c r="DU231" s="1804"/>
      <c r="DV231" s="1804"/>
      <c r="DW231" s="1804"/>
      <c r="DX231" s="1804"/>
      <c r="DY231" s="1804"/>
      <c r="DZ231" s="1804"/>
      <c r="EA231" s="1804"/>
      <c r="EB231" s="1804"/>
      <c r="EC231" s="1804"/>
      <c r="ED231" s="1804"/>
      <c r="EE231" s="1804"/>
      <c r="EF231" s="1804"/>
      <c r="EG231" s="1804"/>
      <c r="EH231" s="1804"/>
      <c r="EI231" s="1804"/>
      <c r="EJ231" s="1804"/>
      <c r="EK231" s="1804"/>
      <c r="EL231" s="1804"/>
      <c r="EM231" s="1804"/>
      <c r="EN231" s="1804"/>
      <c r="EO231" s="1804"/>
      <c r="EP231" s="1804"/>
      <c r="EQ231" s="1804"/>
      <c r="ER231" s="1804"/>
      <c r="ES231" s="1804"/>
      <c r="ET231" s="1804"/>
      <c r="EU231" s="1804"/>
      <c r="EV231" s="1804"/>
      <c r="EW231" s="1804"/>
      <c r="EX231" s="1804"/>
      <c r="EY231" s="1804"/>
      <c r="EZ231" s="1804"/>
      <c r="FA231" s="1804"/>
      <c r="FB231" s="1804"/>
      <c r="FC231" s="1804"/>
      <c r="FD231" s="1804"/>
      <c r="FE231" s="1804"/>
      <c r="FF231" s="1804"/>
      <c r="FG231" s="1804"/>
      <c r="FH231" s="1804"/>
      <c r="FI231" s="1804"/>
      <c r="FJ231" s="1804"/>
      <c r="FK231" s="1804"/>
      <c r="FL231" s="1804"/>
      <c r="FM231" s="1804"/>
      <c r="FN231" s="1804"/>
      <c r="FO231" s="1804"/>
      <c r="FP231" s="1804"/>
      <c r="FQ231" s="1804"/>
      <c r="FR231" s="1804"/>
      <c r="FS231" s="1804"/>
      <c r="FT231" s="1804"/>
      <c r="FU231" s="1804"/>
      <c r="FV231" s="1804"/>
      <c r="FW231" s="1804"/>
      <c r="FX231" s="1804"/>
      <c r="FY231" s="1804"/>
      <c r="FZ231" s="1804"/>
      <c r="GA231" s="1804"/>
      <c r="GB231" s="1804"/>
      <c r="GC231" s="1804"/>
      <c r="GD231" s="1804"/>
      <c r="GE231" s="1804"/>
      <c r="GF231" s="1804"/>
      <c r="GG231" s="1804"/>
      <c r="GH231" s="1804"/>
      <c r="GI231" s="1804"/>
      <c r="GJ231" s="1804"/>
      <c r="GK231" s="1804"/>
      <c r="GL231" s="1804"/>
      <c r="GM231" s="1804"/>
      <c r="GN231" s="1804"/>
      <c r="GO231" s="1804"/>
      <c r="GP231" s="1804"/>
      <c r="GQ231" s="1804"/>
      <c r="GR231" s="1804"/>
      <c r="GS231" s="1804"/>
      <c r="GT231" s="1804"/>
      <c r="GU231" s="1804"/>
      <c r="GV231" s="1804"/>
      <c r="GW231" s="1804"/>
      <c r="GX231" s="1804"/>
      <c r="GY231" s="1804"/>
      <c r="GZ231" s="1804"/>
      <c r="HA231" s="1804"/>
      <c r="HB231" s="1804"/>
      <c r="HC231" s="1804"/>
      <c r="HD231" s="1804"/>
      <c r="HE231" s="1804"/>
      <c r="HF231" s="1804"/>
      <c r="HG231" s="1804"/>
      <c r="HH231" s="1804"/>
      <c r="HI231" s="1804"/>
      <c r="HJ231" s="1804"/>
      <c r="HK231" s="1804"/>
      <c r="HL231" s="1804"/>
      <c r="HM231" s="1804"/>
      <c r="HN231" s="1804"/>
      <c r="HO231" s="1804"/>
      <c r="HP231" s="1804"/>
      <c r="HQ231" s="1804"/>
      <c r="HR231" s="1804"/>
      <c r="HS231" s="1804"/>
      <c r="HT231" s="1804"/>
      <c r="HU231" s="1804"/>
      <c r="HV231" s="1804"/>
      <c r="HW231" s="1804"/>
      <c r="HX231" s="1804"/>
      <c r="HY231" s="1804"/>
      <c r="HZ231" s="1804"/>
      <c r="IA231" s="1804"/>
      <c r="IB231" s="1804"/>
      <c r="IC231" s="1804"/>
      <c r="ID231" s="1804"/>
      <c r="IE231" s="1804"/>
      <c r="IF231" s="1804"/>
      <c r="IG231" s="1804"/>
      <c r="IH231" s="1804"/>
      <c r="II231" s="1804"/>
      <c r="IJ231" s="1804"/>
      <c r="IK231" s="1804"/>
      <c r="IL231" s="1804"/>
      <c r="IM231" s="1804"/>
      <c r="IN231" s="1804"/>
      <c r="IO231" s="1804"/>
      <c r="IP231" s="1804"/>
      <c r="IQ231" s="1804"/>
      <c r="IR231" s="1804"/>
      <c r="IS231" s="1804"/>
      <c r="IT231" s="1804"/>
      <c r="IU231" s="1804"/>
      <c r="IV231" s="1804"/>
      <c r="IW231" s="1804"/>
    </row>
    <row r="232" spans="3:257" s="888" customFormat="1" x14ac:dyDescent="0.45">
      <c r="C232" s="67" t="s">
        <v>537</v>
      </c>
      <c r="D232" s="68" t="s">
        <v>639</v>
      </c>
      <c r="E232" s="69"/>
      <c r="F232" s="93">
        <v>0</v>
      </c>
      <c r="G232" s="93">
        <v>0</v>
      </c>
      <c r="H232" s="93">
        <v>0</v>
      </c>
      <c r="I232" s="94">
        <v>0</v>
      </c>
      <c r="J232" s="93">
        <v>0</v>
      </c>
      <c r="K232" s="93">
        <v>0</v>
      </c>
      <c r="L232" s="93">
        <v>0</v>
      </c>
      <c r="M232" s="94">
        <v>0</v>
      </c>
      <c r="N232" s="93">
        <v>0</v>
      </c>
      <c r="O232" s="93">
        <v>0</v>
      </c>
      <c r="P232" s="94">
        <v>0</v>
      </c>
      <c r="Q232" s="94">
        <v>0</v>
      </c>
      <c r="R232" s="94">
        <v>0</v>
      </c>
      <c r="S232" s="94">
        <v>93.635474264901418</v>
      </c>
      <c r="T232" s="94">
        <v>0</v>
      </c>
      <c r="U232" s="95">
        <v>0</v>
      </c>
      <c r="V232" s="95">
        <v>0</v>
      </c>
      <c r="W232" s="95">
        <v>0</v>
      </c>
      <c r="X232" s="95">
        <v>0</v>
      </c>
      <c r="Y232" s="95">
        <v>0</v>
      </c>
      <c r="Z232" s="95">
        <v>0</v>
      </c>
      <c r="AA232" s="95">
        <v>0</v>
      </c>
      <c r="AB232" s="95">
        <v>0</v>
      </c>
      <c r="AC232" s="95">
        <v>0</v>
      </c>
      <c r="AD232" s="95">
        <v>0</v>
      </c>
      <c r="AE232" s="95">
        <v>0</v>
      </c>
      <c r="AF232" s="95">
        <v>0</v>
      </c>
      <c r="AG232" s="95">
        <v>0</v>
      </c>
      <c r="AH232" s="95">
        <v>0</v>
      </c>
      <c r="AI232" s="95">
        <v>0</v>
      </c>
      <c r="AJ232" s="95">
        <v>0</v>
      </c>
      <c r="AK232" s="95">
        <v>0</v>
      </c>
      <c r="AL232" s="99">
        <v>10.700649887208087</v>
      </c>
      <c r="AM232" s="95">
        <v>0</v>
      </c>
      <c r="AN232" s="97">
        <v>0</v>
      </c>
      <c r="AO232" s="98">
        <f t="shared" si="15"/>
        <v>1339467.1618647818</v>
      </c>
      <c r="AP232" s="1804"/>
      <c r="AQ232" s="1804"/>
      <c r="AR232" s="1804"/>
      <c r="AS232" s="1804"/>
      <c r="AT232" s="1804"/>
      <c r="AU232" s="1804"/>
      <c r="AV232" s="1804"/>
      <c r="AW232" s="1804"/>
      <c r="AX232" s="1804"/>
      <c r="AY232" s="1804"/>
      <c r="AZ232" s="1804"/>
      <c r="BA232" s="1804"/>
      <c r="BB232" s="1804"/>
      <c r="BC232" s="1804"/>
      <c r="BD232" s="1804"/>
      <c r="BE232" s="1804"/>
      <c r="BF232" s="1804"/>
      <c r="BG232" s="1804"/>
      <c r="BH232" s="1804"/>
      <c r="BI232" s="1804"/>
      <c r="BJ232" s="1804"/>
      <c r="BK232" s="1804"/>
      <c r="BL232" s="1804"/>
      <c r="BM232" s="1804"/>
      <c r="BN232" s="1804"/>
      <c r="BO232" s="1804"/>
      <c r="BP232" s="1804"/>
      <c r="BQ232" s="1804"/>
      <c r="BR232" s="1804"/>
      <c r="BS232" s="1804"/>
      <c r="BT232" s="1804"/>
      <c r="BU232" s="1804"/>
      <c r="BV232" s="1804"/>
      <c r="BW232" s="1804"/>
      <c r="BX232" s="1804"/>
      <c r="BY232" s="1804"/>
      <c r="BZ232" s="1804"/>
      <c r="CA232" s="1804"/>
      <c r="CB232" s="1804"/>
      <c r="CC232" s="1804"/>
      <c r="CD232" s="1804"/>
      <c r="CE232" s="1804"/>
      <c r="CF232" s="1804"/>
      <c r="CG232" s="1804"/>
      <c r="CH232" s="1804"/>
      <c r="CI232" s="1804"/>
      <c r="CJ232" s="1804"/>
      <c r="CK232" s="1804"/>
      <c r="CL232" s="1804"/>
      <c r="CM232" s="1804"/>
      <c r="CN232" s="1804"/>
      <c r="CO232" s="1804"/>
      <c r="CP232" s="1804"/>
      <c r="CQ232" s="1804"/>
      <c r="CR232" s="1804"/>
      <c r="CS232" s="1804"/>
      <c r="CT232" s="1804"/>
      <c r="CU232" s="1804"/>
      <c r="CV232" s="1804"/>
      <c r="CW232" s="1804"/>
      <c r="CX232" s="1804"/>
      <c r="CY232" s="1804"/>
      <c r="CZ232" s="1804"/>
      <c r="DA232" s="1804"/>
      <c r="DB232" s="1804"/>
      <c r="DC232" s="1804"/>
      <c r="DD232" s="1804"/>
      <c r="DE232" s="1804"/>
      <c r="DF232" s="1804"/>
      <c r="DG232" s="1804"/>
      <c r="DH232" s="1804"/>
      <c r="DI232" s="1804"/>
      <c r="DJ232" s="1804"/>
      <c r="DK232" s="1804"/>
      <c r="DL232" s="1804"/>
      <c r="DM232" s="1804"/>
      <c r="DN232" s="1804"/>
      <c r="DO232" s="1804"/>
      <c r="DP232" s="1804"/>
      <c r="DQ232" s="1804"/>
      <c r="DR232" s="1804"/>
      <c r="DS232" s="1804"/>
      <c r="DT232" s="1804"/>
      <c r="DU232" s="1804"/>
      <c r="DV232" s="1804"/>
      <c r="DW232" s="1804"/>
      <c r="DX232" s="1804"/>
      <c r="DY232" s="1804"/>
      <c r="DZ232" s="1804"/>
      <c r="EA232" s="1804"/>
      <c r="EB232" s="1804"/>
      <c r="EC232" s="1804"/>
      <c r="ED232" s="1804"/>
      <c r="EE232" s="1804"/>
      <c r="EF232" s="1804"/>
      <c r="EG232" s="1804"/>
      <c r="EH232" s="1804"/>
      <c r="EI232" s="1804"/>
      <c r="EJ232" s="1804"/>
      <c r="EK232" s="1804"/>
      <c r="EL232" s="1804"/>
      <c r="EM232" s="1804"/>
      <c r="EN232" s="1804"/>
      <c r="EO232" s="1804"/>
      <c r="EP232" s="1804"/>
      <c r="EQ232" s="1804"/>
      <c r="ER232" s="1804"/>
      <c r="ES232" s="1804"/>
      <c r="ET232" s="1804"/>
      <c r="EU232" s="1804"/>
      <c r="EV232" s="1804"/>
      <c r="EW232" s="1804"/>
      <c r="EX232" s="1804"/>
      <c r="EY232" s="1804"/>
      <c r="EZ232" s="1804"/>
      <c r="FA232" s="1804"/>
      <c r="FB232" s="1804"/>
      <c r="FC232" s="1804"/>
      <c r="FD232" s="1804"/>
      <c r="FE232" s="1804"/>
      <c r="FF232" s="1804"/>
      <c r="FG232" s="1804"/>
      <c r="FH232" s="1804"/>
      <c r="FI232" s="1804"/>
      <c r="FJ232" s="1804"/>
      <c r="FK232" s="1804"/>
      <c r="FL232" s="1804"/>
      <c r="FM232" s="1804"/>
      <c r="FN232" s="1804"/>
      <c r="FO232" s="1804"/>
      <c r="FP232" s="1804"/>
      <c r="FQ232" s="1804"/>
      <c r="FR232" s="1804"/>
      <c r="FS232" s="1804"/>
      <c r="FT232" s="1804"/>
      <c r="FU232" s="1804"/>
      <c r="FV232" s="1804"/>
      <c r="FW232" s="1804"/>
      <c r="FX232" s="1804"/>
      <c r="FY232" s="1804"/>
      <c r="FZ232" s="1804"/>
      <c r="GA232" s="1804"/>
      <c r="GB232" s="1804"/>
      <c r="GC232" s="1804"/>
      <c r="GD232" s="1804"/>
      <c r="GE232" s="1804"/>
      <c r="GF232" s="1804"/>
      <c r="GG232" s="1804"/>
      <c r="GH232" s="1804"/>
      <c r="GI232" s="1804"/>
      <c r="GJ232" s="1804"/>
      <c r="GK232" s="1804"/>
      <c r="GL232" s="1804"/>
      <c r="GM232" s="1804"/>
      <c r="GN232" s="1804"/>
      <c r="GO232" s="1804"/>
      <c r="GP232" s="1804"/>
      <c r="GQ232" s="1804"/>
      <c r="GR232" s="1804"/>
      <c r="GS232" s="1804"/>
      <c r="GT232" s="1804"/>
      <c r="GU232" s="1804"/>
      <c r="GV232" s="1804"/>
      <c r="GW232" s="1804"/>
      <c r="GX232" s="1804"/>
      <c r="GY232" s="1804"/>
      <c r="GZ232" s="1804"/>
      <c r="HA232" s="1804"/>
      <c r="HB232" s="1804"/>
      <c r="HC232" s="1804"/>
      <c r="HD232" s="1804"/>
      <c r="HE232" s="1804"/>
      <c r="HF232" s="1804"/>
      <c r="HG232" s="1804"/>
      <c r="HH232" s="1804"/>
      <c r="HI232" s="1804"/>
      <c r="HJ232" s="1804"/>
      <c r="HK232" s="1804"/>
      <c r="HL232" s="1804"/>
      <c r="HM232" s="1804"/>
      <c r="HN232" s="1804"/>
      <c r="HO232" s="1804"/>
      <c r="HP232" s="1804"/>
      <c r="HQ232" s="1804"/>
      <c r="HR232" s="1804"/>
      <c r="HS232" s="1804"/>
      <c r="HT232" s="1804"/>
      <c r="HU232" s="1804"/>
      <c r="HV232" s="1804"/>
      <c r="HW232" s="1804"/>
      <c r="HX232" s="1804"/>
      <c r="HY232" s="1804"/>
      <c r="HZ232" s="1804"/>
      <c r="IA232" s="1804"/>
      <c r="IB232" s="1804"/>
      <c r="IC232" s="1804"/>
      <c r="ID232" s="1804"/>
      <c r="IE232" s="1804"/>
      <c r="IF232" s="1804"/>
      <c r="IG232" s="1804"/>
      <c r="IH232" s="1804"/>
      <c r="II232" s="1804"/>
      <c r="IJ232" s="1804"/>
      <c r="IK232" s="1804"/>
      <c r="IL232" s="1804"/>
      <c r="IM232" s="1804"/>
      <c r="IN232" s="1804"/>
      <c r="IO232" s="1804"/>
      <c r="IP232" s="1804"/>
      <c r="IQ232" s="1804"/>
      <c r="IR232" s="1804"/>
      <c r="IS232" s="1804"/>
      <c r="IT232" s="1804"/>
      <c r="IU232" s="1804"/>
      <c r="IV232" s="1804"/>
      <c r="IW232" s="1804"/>
    </row>
    <row r="233" spans="3:257" s="888" customFormat="1" x14ac:dyDescent="0.45">
      <c r="C233" s="67" t="s">
        <v>538</v>
      </c>
      <c r="D233" s="68" t="s">
        <v>640</v>
      </c>
      <c r="E233" s="69"/>
      <c r="F233" s="93">
        <v>0</v>
      </c>
      <c r="G233" s="93">
        <v>0</v>
      </c>
      <c r="H233" s="93">
        <v>0</v>
      </c>
      <c r="I233" s="94">
        <v>0</v>
      </c>
      <c r="J233" s="93">
        <v>0</v>
      </c>
      <c r="K233" s="93">
        <v>0</v>
      </c>
      <c r="L233" s="93">
        <v>0</v>
      </c>
      <c r="M233" s="94">
        <v>0</v>
      </c>
      <c r="N233" s="93">
        <v>0</v>
      </c>
      <c r="O233" s="93">
        <v>0</v>
      </c>
      <c r="P233" s="94">
        <v>0</v>
      </c>
      <c r="Q233" s="94">
        <v>0</v>
      </c>
      <c r="R233" s="94">
        <v>0</v>
      </c>
      <c r="S233" s="94">
        <v>2142.7941184067658</v>
      </c>
      <c r="T233" s="94">
        <v>0</v>
      </c>
      <c r="U233" s="95">
        <v>0</v>
      </c>
      <c r="V233" s="95">
        <v>0</v>
      </c>
      <c r="W233" s="95">
        <v>0</v>
      </c>
      <c r="X233" s="95">
        <v>0</v>
      </c>
      <c r="Y233" s="95">
        <v>0</v>
      </c>
      <c r="Z233" s="95">
        <v>0</v>
      </c>
      <c r="AA233" s="95">
        <v>0</v>
      </c>
      <c r="AB233" s="95">
        <v>0</v>
      </c>
      <c r="AC233" s="95">
        <v>0</v>
      </c>
      <c r="AD233" s="95">
        <v>0</v>
      </c>
      <c r="AE233" s="95">
        <v>0</v>
      </c>
      <c r="AF233" s="95">
        <v>0</v>
      </c>
      <c r="AG233" s="95">
        <v>0</v>
      </c>
      <c r="AH233" s="95">
        <v>0</v>
      </c>
      <c r="AI233" s="95">
        <v>0</v>
      </c>
      <c r="AJ233" s="95">
        <v>0</v>
      </c>
      <c r="AK233" s="95">
        <v>0</v>
      </c>
      <c r="AL233" s="95">
        <v>0</v>
      </c>
      <c r="AM233" s="95">
        <v>0</v>
      </c>
      <c r="AN233" s="97">
        <v>0</v>
      </c>
      <c r="AO233" s="98">
        <f t="shared" si="15"/>
        <v>27509190.89210606</v>
      </c>
      <c r="AP233" s="1804"/>
      <c r="AQ233" s="1804"/>
      <c r="AR233" s="1804"/>
      <c r="AS233" s="1804"/>
      <c r="AT233" s="1804"/>
      <c r="AU233" s="1804"/>
      <c r="AV233" s="1804"/>
      <c r="AW233" s="1804"/>
      <c r="AX233" s="1804"/>
      <c r="AY233" s="1804"/>
      <c r="AZ233" s="1804"/>
      <c r="BA233" s="1804"/>
      <c r="BB233" s="1804"/>
      <c r="BC233" s="1804"/>
      <c r="BD233" s="1804"/>
      <c r="BE233" s="1804"/>
      <c r="BF233" s="1804"/>
      <c r="BG233" s="1804"/>
      <c r="BH233" s="1804"/>
      <c r="BI233" s="1804"/>
      <c r="BJ233" s="1804"/>
      <c r="BK233" s="1804"/>
      <c r="BL233" s="1804"/>
      <c r="BM233" s="1804"/>
      <c r="BN233" s="1804"/>
      <c r="BO233" s="1804"/>
      <c r="BP233" s="1804"/>
      <c r="BQ233" s="1804"/>
      <c r="BR233" s="1804"/>
      <c r="BS233" s="1804"/>
      <c r="BT233" s="1804"/>
      <c r="BU233" s="1804"/>
      <c r="BV233" s="1804"/>
      <c r="BW233" s="1804"/>
      <c r="BX233" s="1804"/>
      <c r="BY233" s="1804"/>
      <c r="BZ233" s="1804"/>
      <c r="CA233" s="1804"/>
      <c r="CB233" s="1804"/>
      <c r="CC233" s="1804"/>
      <c r="CD233" s="1804"/>
      <c r="CE233" s="1804"/>
      <c r="CF233" s="1804"/>
      <c r="CG233" s="1804"/>
      <c r="CH233" s="1804"/>
      <c r="CI233" s="1804"/>
      <c r="CJ233" s="1804"/>
      <c r="CK233" s="1804"/>
      <c r="CL233" s="1804"/>
      <c r="CM233" s="1804"/>
      <c r="CN233" s="1804"/>
      <c r="CO233" s="1804"/>
      <c r="CP233" s="1804"/>
      <c r="CQ233" s="1804"/>
      <c r="CR233" s="1804"/>
      <c r="CS233" s="1804"/>
      <c r="CT233" s="1804"/>
      <c r="CU233" s="1804"/>
      <c r="CV233" s="1804"/>
      <c r="CW233" s="1804"/>
      <c r="CX233" s="1804"/>
      <c r="CY233" s="1804"/>
      <c r="CZ233" s="1804"/>
      <c r="DA233" s="1804"/>
      <c r="DB233" s="1804"/>
      <c r="DC233" s="1804"/>
      <c r="DD233" s="1804"/>
      <c r="DE233" s="1804"/>
      <c r="DF233" s="1804"/>
      <c r="DG233" s="1804"/>
      <c r="DH233" s="1804"/>
      <c r="DI233" s="1804"/>
      <c r="DJ233" s="1804"/>
      <c r="DK233" s="1804"/>
      <c r="DL233" s="1804"/>
      <c r="DM233" s="1804"/>
      <c r="DN233" s="1804"/>
      <c r="DO233" s="1804"/>
      <c r="DP233" s="1804"/>
      <c r="DQ233" s="1804"/>
      <c r="DR233" s="1804"/>
      <c r="DS233" s="1804"/>
      <c r="DT233" s="1804"/>
      <c r="DU233" s="1804"/>
      <c r="DV233" s="1804"/>
      <c r="DW233" s="1804"/>
      <c r="DX233" s="1804"/>
      <c r="DY233" s="1804"/>
      <c r="DZ233" s="1804"/>
      <c r="EA233" s="1804"/>
      <c r="EB233" s="1804"/>
      <c r="EC233" s="1804"/>
      <c r="ED233" s="1804"/>
      <c r="EE233" s="1804"/>
      <c r="EF233" s="1804"/>
      <c r="EG233" s="1804"/>
      <c r="EH233" s="1804"/>
      <c r="EI233" s="1804"/>
      <c r="EJ233" s="1804"/>
      <c r="EK233" s="1804"/>
      <c r="EL233" s="1804"/>
      <c r="EM233" s="1804"/>
      <c r="EN233" s="1804"/>
      <c r="EO233" s="1804"/>
      <c r="EP233" s="1804"/>
      <c r="EQ233" s="1804"/>
      <c r="ER233" s="1804"/>
      <c r="ES233" s="1804"/>
      <c r="ET233" s="1804"/>
      <c r="EU233" s="1804"/>
      <c r="EV233" s="1804"/>
      <c r="EW233" s="1804"/>
      <c r="EX233" s="1804"/>
      <c r="EY233" s="1804"/>
      <c r="EZ233" s="1804"/>
      <c r="FA233" s="1804"/>
      <c r="FB233" s="1804"/>
      <c r="FC233" s="1804"/>
      <c r="FD233" s="1804"/>
      <c r="FE233" s="1804"/>
      <c r="FF233" s="1804"/>
      <c r="FG233" s="1804"/>
      <c r="FH233" s="1804"/>
      <c r="FI233" s="1804"/>
      <c r="FJ233" s="1804"/>
      <c r="FK233" s="1804"/>
      <c r="FL233" s="1804"/>
      <c r="FM233" s="1804"/>
      <c r="FN233" s="1804"/>
      <c r="FO233" s="1804"/>
      <c r="FP233" s="1804"/>
      <c r="FQ233" s="1804"/>
      <c r="FR233" s="1804"/>
      <c r="FS233" s="1804"/>
      <c r="FT233" s="1804"/>
      <c r="FU233" s="1804"/>
      <c r="FV233" s="1804"/>
      <c r="FW233" s="1804"/>
      <c r="FX233" s="1804"/>
      <c r="FY233" s="1804"/>
      <c r="FZ233" s="1804"/>
      <c r="GA233" s="1804"/>
      <c r="GB233" s="1804"/>
      <c r="GC233" s="1804"/>
      <c r="GD233" s="1804"/>
      <c r="GE233" s="1804"/>
      <c r="GF233" s="1804"/>
      <c r="GG233" s="1804"/>
      <c r="GH233" s="1804"/>
      <c r="GI233" s="1804"/>
      <c r="GJ233" s="1804"/>
      <c r="GK233" s="1804"/>
      <c r="GL233" s="1804"/>
      <c r="GM233" s="1804"/>
      <c r="GN233" s="1804"/>
      <c r="GO233" s="1804"/>
      <c r="GP233" s="1804"/>
      <c r="GQ233" s="1804"/>
      <c r="GR233" s="1804"/>
      <c r="GS233" s="1804"/>
      <c r="GT233" s="1804"/>
      <c r="GU233" s="1804"/>
      <c r="GV233" s="1804"/>
      <c r="GW233" s="1804"/>
      <c r="GX233" s="1804"/>
      <c r="GY233" s="1804"/>
      <c r="GZ233" s="1804"/>
      <c r="HA233" s="1804"/>
      <c r="HB233" s="1804"/>
      <c r="HC233" s="1804"/>
      <c r="HD233" s="1804"/>
      <c r="HE233" s="1804"/>
      <c r="HF233" s="1804"/>
      <c r="HG233" s="1804"/>
      <c r="HH233" s="1804"/>
      <c r="HI233" s="1804"/>
      <c r="HJ233" s="1804"/>
      <c r="HK233" s="1804"/>
      <c r="HL233" s="1804"/>
      <c r="HM233" s="1804"/>
      <c r="HN233" s="1804"/>
      <c r="HO233" s="1804"/>
      <c r="HP233" s="1804"/>
      <c r="HQ233" s="1804"/>
      <c r="HR233" s="1804"/>
      <c r="HS233" s="1804"/>
      <c r="HT233" s="1804"/>
      <c r="HU233" s="1804"/>
      <c r="HV233" s="1804"/>
      <c r="HW233" s="1804"/>
      <c r="HX233" s="1804"/>
      <c r="HY233" s="1804"/>
      <c r="HZ233" s="1804"/>
      <c r="IA233" s="1804"/>
      <c r="IB233" s="1804"/>
      <c r="IC233" s="1804"/>
      <c r="ID233" s="1804"/>
      <c r="IE233" s="1804"/>
      <c r="IF233" s="1804"/>
      <c r="IG233" s="1804"/>
      <c r="IH233" s="1804"/>
      <c r="II233" s="1804"/>
      <c r="IJ233" s="1804"/>
      <c r="IK233" s="1804"/>
      <c r="IL233" s="1804"/>
      <c r="IM233" s="1804"/>
      <c r="IN233" s="1804"/>
      <c r="IO233" s="1804"/>
      <c r="IP233" s="1804"/>
      <c r="IQ233" s="1804"/>
      <c r="IR233" s="1804"/>
      <c r="IS233" s="1804"/>
      <c r="IT233" s="1804"/>
      <c r="IU233" s="1804"/>
      <c r="IV233" s="1804"/>
      <c r="IW233" s="1804"/>
    </row>
    <row r="234" spans="3:257" s="888" customFormat="1" x14ac:dyDescent="0.45">
      <c r="C234" s="67" t="s">
        <v>539</v>
      </c>
      <c r="D234" s="68" t="s">
        <v>641</v>
      </c>
      <c r="E234" s="69"/>
      <c r="F234" s="93">
        <v>0</v>
      </c>
      <c r="G234" s="93">
        <v>0</v>
      </c>
      <c r="H234" s="93">
        <v>0</v>
      </c>
      <c r="I234" s="94">
        <v>0</v>
      </c>
      <c r="J234" s="93">
        <v>0</v>
      </c>
      <c r="K234" s="93">
        <v>0</v>
      </c>
      <c r="L234" s="93">
        <v>0</v>
      </c>
      <c r="M234" s="94">
        <v>0</v>
      </c>
      <c r="N234" s="93">
        <v>0</v>
      </c>
      <c r="O234" s="93">
        <v>0</v>
      </c>
      <c r="P234" s="94">
        <v>0</v>
      </c>
      <c r="Q234" s="94">
        <v>0</v>
      </c>
      <c r="R234" s="94">
        <v>0</v>
      </c>
      <c r="S234" s="94">
        <v>37.782735229697025</v>
      </c>
      <c r="T234" s="94">
        <v>0</v>
      </c>
      <c r="U234" s="95">
        <v>0</v>
      </c>
      <c r="V234" s="95">
        <v>0</v>
      </c>
      <c r="W234" s="95">
        <v>0</v>
      </c>
      <c r="X234" s="95">
        <v>0</v>
      </c>
      <c r="Y234" s="95">
        <v>0</v>
      </c>
      <c r="Z234" s="95">
        <v>0</v>
      </c>
      <c r="AA234" s="95">
        <v>0</v>
      </c>
      <c r="AB234" s="95">
        <v>0</v>
      </c>
      <c r="AC234" s="95">
        <v>0</v>
      </c>
      <c r="AD234" s="95">
        <v>0</v>
      </c>
      <c r="AE234" s="95">
        <v>0</v>
      </c>
      <c r="AF234" s="95">
        <v>0</v>
      </c>
      <c r="AG234" s="95">
        <v>0</v>
      </c>
      <c r="AH234" s="95">
        <v>0</v>
      </c>
      <c r="AI234" s="95">
        <v>0</v>
      </c>
      <c r="AJ234" s="95">
        <v>0</v>
      </c>
      <c r="AK234" s="95">
        <v>0</v>
      </c>
      <c r="AL234" s="95">
        <v>0</v>
      </c>
      <c r="AM234" s="95">
        <v>0</v>
      </c>
      <c r="AN234" s="97">
        <v>0</v>
      </c>
      <c r="AO234" s="98">
        <f t="shared" si="15"/>
        <v>485054.75487885042</v>
      </c>
      <c r="AP234" s="1804"/>
      <c r="AQ234" s="1804"/>
      <c r="AR234" s="1804"/>
      <c r="AS234" s="1804"/>
      <c r="AT234" s="1804"/>
      <c r="AU234" s="1804"/>
      <c r="AV234" s="1804"/>
      <c r="AW234" s="1804"/>
      <c r="AX234" s="1804"/>
      <c r="AY234" s="1804"/>
      <c r="AZ234" s="1804"/>
      <c r="BA234" s="1804"/>
      <c r="BB234" s="1804"/>
      <c r="BC234" s="1804"/>
      <c r="BD234" s="1804"/>
      <c r="BE234" s="1804"/>
      <c r="BF234" s="1804"/>
      <c r="BG234" s="1804"/>
      <c r="BH234" s="1804"/>
      <c r="BI234" s="1804"/>
      <c r="BJ234" s="1804"/>
      <c r="BK234" s="1804"/>
      <c r="BL234" s="1804"/>
      <c r="BM234" s="1804"/>
      <c r="BN234" s="1804"/>
      <c r="BO234" s="1804"/>
      <c r="BP234" s="1804"/>
      <c r="BQ234" s="1804"/>
      <c r="BR234" s="1804"/>
      <c r="BS234" s="1804"/>
      <c r="BT234" s="1804"/>
      <c r="BU234" s="1804"/>
      <c r="BV234" s="1804"/>
      <c r="BW234" s="1804"/>
      <c r="BX234" s="1804"/>
      <c r="BY234" s="1804"/>
      <c r="BZ234" s="1804"/>
      <c r="CA234" s="1804"/>
      <c r="CB234" s="1804"/>
      <c r="CC234" s="1804"/>
      <c r="CD234" s="1804"/>
      <c r="CE234" s="1804"/>
      <c r="CF234" s="1804"/>
      <c r="CG234" s="1804"/>
      <c r="CH234" s="1804"/>
      <c r="CI234" s="1804"/>
      <c r="CJ234" s="1804"/>
      <c r="CK234" s="1804"/>
      <c r="CL234" s="1804"/>
      <c r="CM234" s="1804"/>
      <c r="CN234" s="1804"/>
      <c r="CO234" s="1804"/>
      <c r="CP234" s="1804"/>
      <c r="CQ234" s="1804"/>
      <c r="CR234" s="1804"/>
      <c r="CS234" s="1804"/>
      <c r="CT234" s="1804"/>
      <c r="CU234" s="1804"/>
      <c r="CV234" s="1804"/>
      <c r="CW234" s="1804"/>
      <c r="CX234" s="1804"/>
      <c r="CY234" s="1804"/>
      <c r="CZ234" s="1804"/>
      <c r="DA234" s="1804"/>
      <c r="DB234" s="1804"/>
      <c r="DC234" s="1804"/>
      <c r="DD234" s="1804"/>
      <c r="DE234" s="1804"/>
      <c r="DF234" s="1804"/>
      <c r="DG234" s="1804"/>
      <c r="DH234" s="1804"/>
      <c r="DI234" s="1804"/>
      <c r="DJ234" s="1804"/>
      <c r="DK234" s="1804"/>
      <c r="DL234" s="1804"/>
      <c r="DM234" s="1804"/>
      <c r="DN234" s="1804"/>
      <c r="DO234" s="1804"/>
      <c r="DP234" s="1804"/>
      <c r="DQ234" s="1804"/>
      <c r="DR234" s="1804"/>
      <c r="DS234" s="1804"/>
      <c r="DT234" s="1804"/>
      <c r="DU234" s="1804"/>
      <c r="DV234" s="1804"/>
      <c r="DW234" s="1804"/>
      <c r="DX234" s="1804"/>
      <c r="DY234" s="1804"/>
      <c r="DZ234" s="1804"/>
      <c r="EA234" s="1804"/>
      <c r="EB234" s="1804"/>
      <c r="EC234" s="1804"/>
      <c r="ED234" s="1804"/>
      <c r="EE234" s="1804"/>
      <c r="EF234" s="1804"/>
      <c r="EG234" s="1804"/>
      <c r="EH234" s="1804"/>
      <c r="EI234" s="1804"/>
      <c r="EJ234" s="1804"/>
      <c r="EK234" s="1804"/>
      <c r="EL234" s="1804"/>
      <c r="EM234" s="1804"/>
      <c r="EN234" s="1804"/>
      <c r="EO234" s="1804"/>
      <c r="EP234" s="1804"/>
      <c r="EQ234" s="1804"/>
      <c r="ER234" s="1804"/>
      <c r="ES234" s="1804"/>
      <c r="ET234" s="1804"/>
      <c r="EU234" s="1804"/>
      <c r="EV234" s="1804"/>
      <c r="EW234" s="1804"/>
      <c r="EX234" s="1804"/>
      <c r="EY234" s="1804"/>
      <c r="EZ234" s="1804"/>
      <c r="FA234" s="1804"/>
      <c r="FB234" s="1804"/>
      <c r="FC234" s="1804"/>
      <c r="FD234" s="1804"/>
      <c r="FE234" s="1804"/>
      <c r="FF234" s="1804"/>
      <c r="FG234" s="1804"/>
      <c r="FH234" s="1804"/>
      <c r="FI234" s="1804"/>
      <c r="FJ234" s="1804"/>
      <c r="FK234" s="1804"/>
      <c r="FL234" s="1804"/>
      <c r="FM234" s="1804"/>
      <c r="FN234" s="1804"/>
      <c r="FO234" s="1804"/>
      <c r="FP234" s="1804"/>
      <c r="FQ234" s="1804"/>
      <c r="FR234" s="1804"/>
      <c r="FS234" s="1804"/>
      <c r="FT234" s="1804"/>
      <c r="FU234" s="1804"/>
      <c r="FV234" s="1804"/>
      <c r="FW234" s="1804"/>
      <c r="FX234" s="1804"/>
      <c r="FY234" s="1804"/>
      <c r="FZ234" s="1804"/>
      <c r="GA234" s="1804"/>
      <c r="GB234" s="1804"/>
      <c r="GC234" s="1804"/>
      <c r="GD234" s="1804"/>
      <c r="GE234" s="1804"/>
      <c r="GF234" s="1804"/>
      <c r="GG234" s="1804"/>
      <c r="GH234" s="1804"/>
      <c r="GI234" s="1804"/>
      <c r="GJ234" s="1804"/>
      <c r="GK234" s="1804"/>
      <c r="GL234" s="1804"/>
      <c r="GM234" s="1804"/>
      <c r="GN234" s="1804"/>
      <c r="GO234" s="1804"/>
      <c r="GP234" s="1804"/>
      <c r="GQ234" s="1804"/>
      <c r="GR234" s="1804"/>
      <c r="GS234" s="1804"/>
      <c r="GT234" s="1804"/>
      <c r="GU234" s="1804"/>
      <c r="GV234" s="1804"/>
      <c r="GW234" s="1804"/>
      <c r="GX234" s="1804"/>
      <c r="GY234" s="1804"/>
      <c r="GZ234" s="1804"/>
      <c r="HA234" s="1804"/>
      <c r="HB234" s="1804"/>
      <c r="HC234" s="1804"/>
      <c r="HD234" s="1804"/>
      <c r="HE234" s="1804"/>
      <c r="HF234" s="1804"/>
      <c r="HG234" s="1804"/>
      <c r="HH234" s="1804"/>
      <c r="HI234" s="1804"/>
      <c r="HJ234" s="1804"/>
      <c r="HK234" s="1804"/>
      <c r="HL234" s="1804"/>
      <c r="HM234" s="1804"/>
      <c r="HN234" s="1804"/>
      <c r="HO234" s="1804"/>
      <c r="HP234" s="1804"/>
      <c r="HQ234" s="1804"/>
      <c r="HR234" s="1804"/>
      <c r="HS234" s="1804"/>
      <c r="HT234" s="1804"/>
      <c r="HU234" s="1804"/>
      <c r="HV234" s="1804"/>
      <c r="HW234" s="1804"/>
      <c r="HX234" s="1804"/>
      <c r="HY234" s="1804"/>
      <c r="HZ234" s="1804"/>
      <c r="IA234" s="1804"/>
      <c r="IB234" s="1804"/>
      <c r="IC234" s="1804"/>
      <c r="ID234" s="1804"/>
      <c r="IE234" s="1804"/>
      <c r="IF234" s="1804"/>
      <c r="IG234" s="1804"/>
      <c r="IH234" s="1804"/>
      <c r="II234" s="1804"/>
      <c r="IJ234" s="1804"/>
      <c r="IK234" s="1804"/>
      <c r="IL234" s="1804"/>
      <c r="IM234" s="1804"/>
      <c r="IN234" s="1804"/>
      <c r="IO234" s="1804"/>
      <c r="IP234" s="1804"/>
      <c r="IQ234" s="1804"/>
      <c r="IR234" s="1804"/>
      <c r="IS234" s="1804"/>
      <c r="IT234" s="1804"/>
      <c r="IU234" s="1804"/>
      <c r="IV234" s="1804"/>
      <c r="IW234" s="1804"/>
    </row>
    <row r="235" spans="3:257" s="888" customFormat="1" x14ac:dyDescent="0.45">
      <c r="C235" s="67" t="s">
        <v>540</v>
      </c>
      <c r="D235" s="68" t="s">
        <v>642</v>
      </c>
      <c r="E235" s="69"/>
      <c r="F235" s="93">
        <v>0</v>
      </c>
      <c r="G235" s="93">
        <v>4940.4131800478663</v>
      </c>
      <c r="H235" s="93">
        <v>0</v>
      </c>
      <c r="I235" s="94">
        <v>0</v>
      </c>
      <c r="J235" s="93">
        <v>0</v>
      </c>
      <c r="K235" s="93">
        <v>0</v>
      </c>
      <c r="L235" s="93">
        <v>0</v>
      </c>
      <c r="M235" s="94">
        <v>0</v>
      </c>
      <c r="N235" s="93">
        <v>0</v>
      </c>
      <c r="O235" s="93">
        <v>0</v>
      </c>
      <c r="P235" s="94">
        <v>0</v>
      </c>
      <c r="Q235" s="94">
        <v>0</v>
      </c>
      <c r="R235" s="94">
        <v>0</v>
      </c>
      <c r="S235" s="94">
        <v>0</v>
      </c>
      <c r="T235" s="94">
        <v>0</v>
      </c>
      <c r="U235" s="95">
        <v>0</v>
      </c>
      <c r="V235" s="95">
        <v>0</v>
      </c>
      <c r="W235" s="95">
        <v>0</v>
      </c>
      <c r="X235" s="95">
        <v>0</v>
      </c>
      <c r="Y235" s="95">
        <v>0</v>
      </c>
      <c r="Z235" s="95">
        <v>0</v>
      </c>
      <c r="AA235" s="95">
        <v>0</v>
      </c>
      <c r="AB235" s="95">
        <v>0</v>
      </c>
      <c r="AC235" s="95">
        <v>0</v>
      </c>
      <c r="AD235" s="95">
        <v>0</v>
      </c>
      <c r="AE235" s="95">
        <v>0</v>
      </c>
      <c r="AF235" s="95">
        <v>0</v>
      </c>
      <c r="AG235" s="95">
        <v>0</v>
      </c>
      <c r="AH235" s="95">
        <v>0</v>
      </c>
      <c r="AI235" s="95">
        <v>0</v>
      </c>
      <c r="AJ235" s="95">
        <v>0</v>
      </c>
      <c r="AK235" s="95">
        <v>0</v>
      </c>
      <c r="AL235" s="95">
        <v>0</v>
      </c>
      <c r="AM235" s="95">
        <v>0</v>
      </c>
      <c r="AN235" s="97">
        <v>0</v>
      </c>
      <c r="AO235" s="98">
        <f t="shared" si="15"/>
        <v>63425024.405454509</v>
      </c>
      <c r="AP235" s="1804"/>
      <c r="AQ235" s="1804"/>
      <c r="AR235" s="1804"/>
      <c r="AS235" s="1804"/>
      <c r="AT235" s="1804"/>
      <c r="AU235" s="1804"/>
      <c r="AV235" s="1804"/>
      <c r="AW235" s="1804"/>
      <c r="AX235" s="1804"/>
      <c r="AY235" s="1804"/>
      <c r="AZ235" s="1804"/>
      <c r="BA235" s="1804"/>
      <c r="BB235" s="1804"/>
      <c r="BC235" s="1804"/>
      <c r="BD235" s="1804"/>
      <c r="BE235" s="1804"/>
      <c r="BF235" s="1804"/>
      <c r="BG235" s="1804"/>
      <c r="BH235" s="1804"/>
      <c r="BI235" s="1804"/>
      <c r="BJ235" s="1804"/>
      <c r="BK235" s="1804"/>
      <c r="BL235" s="1804"/>
      <c r="BM235" s="1804"/>
      <c r="BN235" s="1804"/>
      <c r="BO235" s="1804"/>
      <c r="BP235" s="1804"/>
      <c r="BQ235" s="1804"/>
      <c r="BR235" s="1804"/>
      <c r="BS235" s="1804"/>
      <c r="BT235" s="1804"/>
      <c r="BU235" s="1804"/>
      <c r="BV235" s="1804"/>
      <c r="BW235" s="1804"/>
      <c r="BX235" s="1804"/>
      <c r="BY235" s="1804"/>
      <c r="BZ235" s="1804"/>
      <c r="CA235" s="1804"/>
      <c r="CB235" s="1804"/>
      <c r="CC235" s="1804"/>
      <c r="CD235" s="1804"/>
      <c r="CE235" s="1804"/>
      <c r="CF235" s="1804"/>
      <c r="CG235" s="1804"/>
      <c r="CH235" s="1804"/>
      <c r="CI235" s="1804"/>
      <c r="CJ235" s="1804"/>
      <c r="CK235" s="1804"/>
      <c r="CL235" s="1804"/>
      <c r="CM235" s="1804"/>
      <c r="CN235" s="1804"/>
      <c r="CO235" s="1804"/>
      <c r="CP235" s="1804"/>
      <c r="CQ235" s="1804"/>
      <c r="CR235" s="1804"/>
      <c r="CS235" s="1804"/>
      <c r="CT235" s="1804"/>
      <c r="CU235" s="1804"/>
      <c r="CV235" s="1804"/>
      <c r="CW235" s="1804"/>
      <c r="CX235" s="1804"/>
      <c r="CY235" s="1804"/>
      <c r="CZ235" s="1804"/>
      <c r="DA235" s="1804"/>
      <c r="DB235" s="1804"/>
      <c r="DC235" s="1804"/>
      <c r="DD235" s="1804"/>
      <c r="DE235" s="1804"/>
      <c r="DF235" s="1804"/>
      <c r="DG235" s="1804"/>
      <c r="DH235" s="1804"/>
      <c r="DI235" s="1804"/>
      <c r="DJ235" s="1804"/>
      <c r="DK235" s="1804"/>
      <c r="DL235" s="1804"/>
      <c r="DM235" s="1804"/>
      <c r="DN235" s="1804"/>
      <c r="DO235" s="1804"/>
      <c r="DP235" s="1804"/>
      <c r="DQ235" s="1804"/>
      <c r="DR235" s="1804"/>
      <c r="DS235" s="1804"/>
      <c r="DT235" s="1804"/>
      <c r="DU235" s="1804"/>
      <c r="DV235" s="1804"/>
      <c r="DW235" s="1804"/>
      <c r="DX235" s="1804"/>
      <c r="DY235" s="1804"/>
      <c r="DZ235" s="1804"/>
      <c r="EA235" s="1804"/>
      <c r="EB235" s="1804"/>
      <c r="EC235" s="1804"/>
      <c r="ED235" s="1804"/>
      <c r="EE235" s="1804"/>
      <c r="EF235" s="1804"/>
      <c r="EG235" s="1804"/>
      <c r="EH235" s="1804"/>
      <c r="EI235" s="1804"/>
      <c r="EJ235" s="1804"/>
      <c r="EK235" s="1804"/>
      <c r="EL235" s="1804"/>
      <c r="EM235" s="1804"/>
      <c r="EN235" s="1804"/>
      <c r="EO235" s="1804"/>
      <c r="EP235" s="1804"/>
      <c r="EQ235" s="1804"/>
      <c r="ER235" s="1804"/>
      <c r="ES235" s="1804"/>
      <c r="ET235" s="1804"/>
      <c r="EU235" s="1804"/>
      <c r="EV235" s="1804"/>
      <c r="EW235" s="1804"/>
      <c r="EX235" s="1804"/>
      <c r="EY235" s="1804"/>
      <c r="EZ235" s="1804"/>
      <c r="FA235" s="1804"/>
      <c r="FB235" s="1804"/>
      <c r="FC235" s="1804"/>
      <c r="FD235" s="1804"/>
      <c r="FE235" s="1804"/>
      <c r="FF235" s="1804"/>
      <c r="FG235" s="1804"/>
      <c r="FH235" s="1804"/>
      <c r="FI235" s="1804"/>
      <c r="FJ235" s="1804"/>
      <c r="FK235" s="1804"/>
      <c r="FL235" s="1804"/>
      <c r="FM235" s="1804"/>
      <c r="FN235" s="1804"/>
      <c r="FO235" s="1804"/>
      <c r="FP235" s="1804"/>
      <c r="FQ235" s="1804"/>
      <c r="FR235" s="1804"/>
      <c r="FS235" s="1804"/>
      <c r="FT235" s="1804"/>
      <c r="FU235" s="1804"/>
      <c r="FV235" s="1804"/>
      <c r="FW235" s="1804"/>
      <c r="FX235" s="1804"/>
      <c r="FY235" s="1804"/>
      <c r="FZ235" s="1804"/>
      <c r="GA235" s="1804"/>
      <c r="GB235" s="1804"/>
      <c r="GC235" s="1804"/>
      <c r="GD235" s="1804"/>
      <c r="GE235" s="1804"/>
      <c r="GF235" s="1804"/>
      <c r="GG235" s="1804"/>
      <c r="GH235" s="1804"/>
      <c r="GI235" s="1804"/>
      <c r="GJ235" s="1804"/>
      <c r="GK235" s="1804"/>
      <c r="GL235" s="1804"/>
      <c r="GM235" s="1804"/>
      <c r="GN235" s="1804"/>
      <c r="GO235" s="1804"/>
      <c r="GP235" s="1804"/>
      <c r="GQ235" s="1804"/>
      <c r="GR235" s="1804"/>
      <c r="GS235" s="1804"/>
      <c r="GT235" s="1804"/>
      <c r="GU235" s="1804"/>
      <c r="GV235" s="1804"/>
      <c r="GW235" s="1804"/>
      <c r="GX235" s="1804"/>
      <c r="GY235" s="1804"/>
      <c r="GZ235" s="1804"/>
      <c r="HA235" s="1804"/>
      <c r="HB235" s="1804"/>
      <c r="HC235" s="1804"/>
      <c r="HD235" s="1804"/>
      <c r="HE235" s="1804"/>
      <c r="HF235" s="1804"/>
      <c r="HG235" s="1804"/>
      <c r="HH235" s="1804"/>
      <c r="HI235" s="1804"/>
      <c r="HJ235" s="1804"/>
      <c r="HK235" s="1804"/>
      <c r="HL235" s="1804"/>
      <c r="HM235" s="1804"/>
      <c r="HN235" s="1804"/>
      <c r="HO235" s="1804"/>
      <c r="HP235" s="1804"/>
      <c r="HQ235" s="1804"/>
      <c r="HR235" s="1804"/>
      <c r="HS235" s="1804"/>
      <c r="HT235" s="1804"/>
      <c r="HU235" s="1804"/>
      <c r="HV235" s="1804"/>
      <c r="HW235" s="1804"/>
      <c r="HX235" s="1804"/>
      <c r="HY235" s="1804"/>
      <c r="HZ235" s="1804"/>
      <c r="IA235" s="1804"/>
      <c r="IB235" s="1804"/>
      <c r="IC235" s="1804"/>
      <c r="ID235" s="1804"/>
      <c r="IE235" s="1804"/>
      <c r="IF235" s="1804"/>
      <c r="IG235" s="1804"/>
      <c r="IH235" s="1804"/>
      <c r="II235" s="1804"/>
      <c r="IJ235" s="1804"/>
      <c r="IK235" s="1804"/>
      <c r="IL235" s="1804"/>
      <c r="IM235" s="1804"/>
      <c r="IN235" s="1804"/>
      <c r="IO235" s="1804"/>
      <c r="IP235" s="1804"/>
      <c r="IQ235" s="1804"/>
      <c r="IR235" s="1804"/>
      <c r="IS235" s="1804"/>
      <c r="IT235" s="1804"/>
      <c r="IU235" s="1804"/>
      <c r="IV235" s="1804"/>
      <c r="IW235" s="1804"/>
    </row>
    <row r="236" spans="3:257" s="888" customFormat="1" x14ac:dyDescent="0.45">
      <c r="C236" s="67" t="s">
        <v>541</v>
      </c>
      <c r="D236" s="68" t="s">
        <v>643</v>
      </c>
      <c r="E236" s="69"/>
      <c r="F236" s="93">
        <v>0</v>
      </c>
      <c r="G236" s="93">
        <v>0</v>
      </c>
      <c r="H236" s="93">
        <v>0</v>
      </c>
      <c r="I236" s="94">
        <v>0</v>
      </c>
      <c r="J236" s="93">
        <v>0</v>
      </c>
      <c r="K236" s="93">
        <v>0</v>
      </c>
      <c r="L236" s="93">
        <v>0</v>
      </c>
      <c r="M236" s="94">
        <v>0</v>
      </c>
      <c r="N236" s="93">
        <v>0</v>
      </c>
      <c r="O236" s="93">
        <v>0</v>
      </c>
      <c r="P236" s="94">
        <v>0</v>
      </c>
      <c r="Q236" s="94">
        <v>0</v>
      </c>
      <c r="R236" s="94">
        <v>0</v>
      </c>
      <c r="S236" s="94">
        <v>0</v>
      </c>
      <c r="T236" s="94">
        <v>0</v>
      </c>
      <c r="U236" s="95">
        <v>0</v>
      </c>
      <c r="V236" s="95">
        <v>0</v>
      </c>
      <c r="W236" s="95">
        <v>0</v>
      </c>
      <c r="X236" s="95">
        <v>0</v>
      </c>
      <c r="Y236" s="95">
        <v>0</v>
      </c>
      <c r="Z236" s="95">
        <v>0</v>
      </c>
      <c r="AA236" s="95">
        <v>0</v>
      </c>
      <c r="AB236" s="95">
        <v>0</v>
      </c>
      <c r="AC236" s="95">
        <v>0</v>
      </c>
      <c r="AD236" s="95">
        <v>0</v>
      </c>
      <c r="AE236" s="95">
        <v>0</v>
      </c>
      <c r="AF236" s="95">
        <v>0</v>
      </c>
      <c r="AG236" s="95">
        <v>0</v>
      </c>
      <c r="AH236" s="95">
        <v>0</v>
      </c>
      <c r="AI236" s="95">
        <v>0</v>
      </c>
      <c r="AJ236" s="95">
        <v>0</v>
      </c>
      <c r="AK236" s="95">
        <v>0</v>
      </c>
      <c r="AL236" s="95">
        <v>0</v>
      </c>
      <c r="AM236" s="95">
        <v>0</v>
      </c>
      <c r="AN236" s="97">
        <v>0</v>
      </c>
      <c r="AO236" s="98">
        <f t="shared" si="15"/>
        <v>0</v>
      </c>
      <c r="AP236" s="1804"/>
      <c r="AQ236" s="1804"/>
      <c r="AR236" s="1804"/>
      <c r="AS236" s="1804"/>
      <c r="AT236" s="1804"/>
      <c r="AU236" s="1804"/>
      <c r="AV236" s="1804"/>
      <c r="AW236" s="1804"/>
      <c r="AX236" s="1804"/>
      <c r="AY236" s="1804"/>
      <c r="AZ236" s="1804"/>
      <c r="BA236" s="1804"/>
      <c r="BB236" s="1804"/>
      <c r="BC236" s="1804"/>
      <c r="BD236" s="1804"/>
      <c r="BE236" s="1804"/>
      <c r="BF236" s="1804"/>
      <c r="BG236" s="1804"/>
      <c r="BH236" s="1804"/>
      <c r="BI236" s="1804"/>
      <c r="BJ236" s="1804"/>
      <c r="BK236" s="1804"/>
      <c r="BL236" s="1804"/>
      <c r="BM236" s="1804"/>
      <c r="BN236" s="1804"/>
      <c r="BO236" s="1804"/>
      <c r="BP236" s="1804"/>
      <c r="BQ236" s="1804"/>
      <c r="BR236" s="1804"/>
      <c r="BS236" s="1804"/>
      <c r="BT236" s="1804"/>
      <c r="BU236" s="1804"/>
      <c r="BV236" s="1804"/>
      <c r="BW236" s="1804"/>
      <c r="BX236" s="1804"/>
      <c r="BY236" s="1804"/>
      <c r="BZ236" s="1804"/>
      <c r="CA236" s="1804"/>
      <c r="CB236" s="1804"/>
      <c r="CC236" s="1804"/>
      <c r="CD236" s="1804"/>
      <c r="CE236" s="1804"/>
      <c r="CF236" s="1804"/>
      <c r="CG236" s="1804"/>
      <c r="CH236" s="1804"/>
      <c r="CI236" s="1804"/>
      <c r="CJ236" s="1804"/>
      <c r="CK236" s="1804"/>
      <c r="CL236" s="1804"/>
      <c r="CM236" s="1804"/>
      <c r="CN236" s="1804"/>
      <c r="CO236" s="1804"/>
      <c r="CP236" s="1804"/>
      <c r="CQ236" s="1804"/>
      <c r="CR236" s="1804"/>
      <c r="CS236" s="1804"/>
      <c r="CT236" s="1804"/>
      <c r="CU236" s="1804"/>
      <c r="CV236" s="1804"/>
      <c r="CW236" s="1804"/>
      <c r="CX236" s="1804"/>
      <c r="CY236" s="1804"/>
      <c r="CZ236" s="1804"/>
      <c r="DA236" s="1804"/>
      <c r="DB236" s="1804"/>
      <c r="DC236" s="1804"/>
      <c r="DD236" s="1804"/>
      <c r="DE236" s="1804"/>
      <c r="DF236" s="1804"/>
      <c r="DG236" s="1804"/>
      <c r="DH236" s="1804"/>
      <c r="DI236" s="1804"/>
      <c r="DJ236" s="1804"/>
      <c r="DK236" s="1804"/>
      <c r="DL236" s="1804"/>
      <c r="DM236" s="1804"/>
      <c r="DN236" s="1804"/>
      <c r="DO236" s="1804"/>
      <c r="DP236" s="1804"/>
      <c r="DQ236" s="1804"/>
      <c r="DR236" s="1804"/>
      <c r="DS236" s="1804"/>
      <c r="DT236" s="1804"/>
      <c r="DU236" s="1804"/>
      <c r="DV236" s="1804"/>
      <c r="DW236" s="1804"/>
      <c r="DX236" s="1804"/>
      <c r="DY236" s="1804"/>
      <c r="DZ236" s="1804"/>
      <c r="EA236" s="1804"/>
      <c r="EB236" s="1804"/>
      <c r="EC236" s="1804"/>
      <c r="ED236" s="1804"/>
      <c r="EE236" s="1804"/>
      <c r="EF236" s="1804"/>
      <c r="EG236" s="1804"/>
      <c r="EH236" s="1804"/>
      <c r="EI236" s="1804"/>
      <c r="EJ236" s="1804"/>
      <c r="EK236" s="1804"/>
      <c r="EL236" s="1804"/>
      <c r="EM236" s="1804"/>
      <c r="EN236" s="1804"/>
      <c r="EO236" s="1804"/>
      <c r="EP236" s="1804"/>
      <c r="EQ236" s="1804"/>
      <c r="ER236" s="1804"/>
      <c r="ES236" s="1804"/>
      <c r="ET236" s="1804"/>
      <c r="EU236" s="1804"/>
      <c r="EV236" s="1804"/>
      <c r="EW236" s="1804"/>
      <c r="EX236" s="1804"/>
      <c r="EY236" s="1804"/>
      <c r="EZ236" s="1804"/>
      <c r="FA236" s="1804"/>
      <c r="FB236" s="1804"/>
      <c r="FC236" s="1804"/>
      <c r="FD236" s="1804"/>
      <c r="FE236" s="1804"/>
      <c r="FF236" s="1804"/>
      <c r="FG236" s="1804"/>
      <c r="FH236" s="1804"/>
      <c r="FI236" s="1804"/>
      <c r="FJ236" s="1804"/>
      <c r="FK236" s="1804"/>
      <c r="FL236" s="1804"/>
      <c r="FM236" s="1804"/>
      <c r="FN236" s="1804"/>
      <c r="FO236" s="1804"/>
      <c r="FP236" s="1804"/>
      <c r="FQ236" s="1804"/>
      <c r="FR236" s="1804"/>
      <c r="FS236" s="1804"/>
      <c r="FT236" s="1804"/>
      <c r="FU236" s="1804"/>
      <c r="FV236" s="1804"/>
      <c r="FW236" s="1804"/>
      <c r="FX236" s="1804"/>
      <c r="FY236" s="1804"/>
      <c r="FZ236" s="1804"/>
      <c r="GA236" s="1804"/>
      <c r="GB236" s="1804"/>
      <c r="GC236" s="1804"/>
      <c r="GD236" s="1804"/>
      <c r="GE236" s="1804"/>
      <c r="GF236" s="1804"/>
      <c r="GG236" s="1804"/>
      <c r="GH236" s="1804"/>
      <c r="GI236" s="1804"/>
      <c r="GJ236" s="1804"/>
      <c r="GK236" s="1804"/>
      <c r="GL236" s="1804"/>
      <c r="GM236" s="1804"/>
      <c r="GN236" s="1804"/>
      <c r="GO236" s="1804"/>
      <c r="GP236" s="1804"/>
      <c r="GQ236" s="1804"/>
      <c r="GR236" s="1804"/>
      <c r="GS236" s="1804"/>
      <c r="GT236" s="1804"/>
      <c r="GU236" s="1804"/>
      <c r="GV236" s="1804"/>
      <c r="GW236" s="1804"/>
      <c r="GX236" s="1804"/>
      <c r="GY236" s="1804"/>
      <c r="GZ236" s="1804"/>
      <c r="HA236" s="1804"/>
      <c r="HB236" s="1804"/>
      <c r="HC236" s="1804"/>
      <c r="HD236" s="1804"/>
      <c r="HE236" s="1804"/>
      <c r="HF236" s="1804"/>
      <c r="HG236" s="1804"/>
      <c r="HH236" s="1804"/>
      <c r="HI236" s="1804"/>
      <c r="HJ236" s="1804"/>
      <c r="HK236" s="1804"/>
      <c r="HL236" s="1804"/>
      <c r="HM236" s="1804"/>
      <c r="HN236" s="1804"/>
      <c r="HO236" s="1804"/>
      <c r="HP236" s="1804"/>
      <c r="HQ236" s="1804"/>
      <c r="HR236" s="1804"/>
      <c r="HS236" s="1804"/>
      <c r="HT236" s="1804"/>
      <c r="HU236" s="1804"/>
      <c r="HV236" s="1804"/>
      <c r="HW236" s="1804"/>
      <c r="HX236" s="1804"/>
      <c r="HY236" s="1804"/>
      <c r="HZ236" s="1804"/>
      <c r="IA236" s="1804"/>
      <c r="IB236" s="1804"/>
      <c r="IC236" s="1804"/>
      <c r="ID236" s="1804"/>
      <c r="IE236" s="1804"/>
      <c r="IF236" s="1804"/>
      <c r="IG236" s="1804"/>
      <c r="IH236" s="1804"/>
      <c r="II236" s="1804"/>
      <c r="IJ236" s="1804"/>
      <c r="IK236" s="1804"/>
      <c r="IL236" s="1804"/>
      <c r="IM236" s="1804"/>
      <c r="IN236" s="1804"/>
      <c r="IO236" s="1804"/>
      <c r="IP236" s="1804"/>
      <c r="IQ236" s="1804"/>
      <c r="IR236" s="1804"/>
      <c r="IS236" s="1804"/>
      <c r="IT236" s="1804"/>
      <c r="IU236" s="1804"/>
      <c r="IV236" s="1804"/>
      <c r="IW236" s="1804"/>
    </row>
    <row r="237" spans="3:257" s="888" customFormat="1" x14ac:dyDescent="0.45">
      <c r="C237" s="67" t="s">
        <v>542</v>
      </c>
      <c r="D237" s="68" t="s">
        <v>644</v>
      </c>
      <c r="E237" s="69"/>
      <c r="F237" s="93">
        <v>0</v>
      </c>
      <c r="G237" s="93">
        <v>0</v>
      </c>
      <c r="H237" s="93">
        <v>0</v>
      </c>
      <c r="I237" s="94">
        <v>0</v>
      </c>
      <c r="J237" s="93">
        <v>0</v>
      </c>
      <c r="K237" s="93">
        <v>0</v>
      </c>
      <c r="L237" s="93">
        <v>0</v>
      </c>
      <c r="M237" s="94">
        <v>0</v>
      </c>
      <c r="N237" s="93">
        <v>0</v>
      </c>
      <c r="O237" s="93">
        <v>0</v>
      </c>
      <c r="P237" s="94">
        <v>0</v>
      </c>
      <c r="Q237" s="94">
        <v>0</v>
      </c>
      <c r="R237" s="94">
        <v>0</v>
      </c>
      <c r="S237" s="94">
        <v>0</v>
      </c>
      <c r="T237" s="94">
        <v>0</v>
      </c>
      <c r="U237" s="95">
        <v>0</v>
      </c>
      <c r="V237" s="95">
        <v>0</v>
      </c>
      <c r="W237" s="95">
        <v>0</v>
      </c>
      <c r="X237" s="95">
        <v>0</v>
      </c>
      <c r="Y237" s="95">
        <v>0</v>
      </c>
      <c r="Z237" s="95">
        <v>0</v>
      </c>
      <c r="AA237" s="95">
        <v>0</v>
      </c>
      <c r="AB237" s="95">
        <v>0</v>
      </c>
      <c r="AC237" s="95">
        <v>0</v>
      </c>
      <c r="AD237" s="95">
        <v>0</v>
      </c>
      <c r="AE237" s="95">
        <v>0</v>
      </c>
      <c r="AF237" s="95">
        <v>0</v>
      </c>
      <c r="AG237" s="95">
        <v>0</v>
      </c>
      <c r="AH237" s="99">
        <v>75.223563421559689</v>
      </c>
      <c r="AI237" s="95">
        <v>0</v>
      </c>
      <c r="AJ237" s="95">
        <v>0</v>
      </c>
      <c r="AK237" s="95">
        <v>0</v>
      </c>
      <c r="AL237" s="95">
        <v>0</v>
      </c>
      <c r="AM237" s="95">
        <v>0</v>
      </c>
      <c r="AN237" s="97">
        <v>0</v>
      </c>
      <c r="AO237" s="98">
        <f t="shared" si="15"/>
        <v>965720.10720598325</v>
      </c>
      <c r="AP237" s="1804"/>
      <c r="AQ237" s="1804"/>
      <c r="AR237" s="1804"/>
      <c r="AS237" s="1804"/>
      <c r="AT237" s="1804"/>
      <c r="AU237" s="1804"/>
      <c r="AV237" s="1804"/>
      <c r="AW237" s="1804"/>
      <c r="AX237" s="1804"/>
      <c r="AY237" s="1804"/>
      <c r="AZ237" s="1804"/>
      <c r="BA237" s="1804"/>
      <c r="BB237" s="1804"/>
      <c r="BC237" s="1804"/>
      <c r="BD237" s="1804"/>
      <c r="BE237" s="1804"/>
      <c r="BF237" s="1804"/>
      <c r="BG237" s="1804"/>
      <c r="BH237" s="1804"/>
      <c r="BI237" s="1804"/>
      <c r="BJ237" s="1804"/>
      <c r="BK237" s="1804"/>
      <c r="BL237" s="1804"/>
      <c r="BM237" s="1804"/>
      <c r="BN237" s="1804"/>
      <c r="BO237" s="1804"/>
      <c r="BP237" s="1804"/>
      <c r="BQ237" s="1804"/>
      <c r="BR237" s="1804"/>
      <c r="BS237" s="1804"/>
      <c r="BT237" s="1804"/>
      <c r="BU237" s="1804"/>
      <c r="BV237" s="1804"/>
      <c r="BW237" s="1804"/>
      <c r="BX237" s="1804"/>
      <c r="BY237" s="1804"/>
      <c r="BZ237" s="1804"/>
      <c r="CA237" s="1804"/>
      <c r="CB237" s="1804"/>
      <c r="CC237" s="1804"/>
      <c r="CD237" s="1804"/>
      <c r="CE237" s="1804"/>
      <c r="CF237" s="1804"/>
      <c r="CG237" s="1804"/>
      <c r="CH237" s="1804"/>
      <c r="CI237" s="1804"/>
      <c r="CJ237" s="1804"/>
      <c r="CK237" s="1804"/>
      <c r="CL237" s="1804"/>
      <c r="CM237" s="1804"/>
      <c r="CN237" s="1804"/>
      <c r="CO237" s="1804"/>
      <c r="CP237" s="1804"/>
      <c r="CQ237" s="1804"/>
      <c r="CR237" s="1804"/>
      <c r="CS237" s="1804"/>
      <c r="CT237" s="1804"/>
      <c r="CU237" s="1804"/>
      <c r="CV237" s="1804"/>
      <c r="CW237" s="1804"/>
      <c r="CX237" s="1804"/>
      <c r="CY237" s="1804"/>
      <c r="CZ237" s="1804"/>
      <c r="DA237" s="1804"/>
      <c r="DB237" s="1804"/>
      <c r="DC237" s="1804"/>
      <c r="DD237" s="1804"/>
      <c r="DE237" s="1804"/>
      <c r="DF237" s="1804"/>
      <c r="DG237" s="1804"/>
      <c r="DH237" s="1804"/>
      <c r="DI237" s="1804"/>
      <c r="DJ237" s="1804"/>
      <c r="DK237" s="1804"/>
      <c r="DL237" s="1804"/>
      <c r="DM237" s="1804"/>
      <c r="DN237" s="1804"/>
      <c r="DO237" s="1804"/>
      <c r="DP237" s="1804"/>
      <c r="DQ237" s="1804"/>
      <c r="DR237" s="1804"/>
      <c r="DS237" s="1804"/>
      <c r="DT237" s="1804"/>
      <c r="DU237" s="1804"/>
      <c r="DV237" s="1804"/>
      <c r="DW237" s="1804"/>
      <c r="DX237" s="1804"/>
      <c r="DY237" s="1804"/>
      <c r="DZ237" s="1804"/>
      <c r="EA237" s="1804"/>
      <c r="EB237" s="1804"/>
      <c r="EC237" s="1804"/>
      <c r="ED237" s="1804"/>
      <c r="EE237" s="1804"/>
      <c r="EF237" s="1804"/>
      <c r="EG237" s="1804"/>
      <c r="EH237" s="1804"/>
      <c r="EI237" s="1804"/>
      <c r="EJ237" s="1804"/>
      <c r="EK237" s="1804"/>
      <c r="EL237" s="1804"/>
      <c r="EM237" s="1804"/>
      <c r="EN237" s="1804"/>
      <c r="EO237" s="1804"/>
      <c r="EP237" s="1804"/>
      <c r="EQ237" s="1804"/>
      <c r="ER237" s="1804"/>
      <c r="ES237" s="1804"/>
      <c r="ET237" s="1804"/>
      <c r="EU237" s="1804"/>
      <c r="EV237" s="1804"/>
      <c r="EW237" s="1804"/>
      <c r="EX237" s="1804"/>
      <c r="EY237" s="1804"/>
      <c r="EZ237" s="1804"/>
      <c r="FA237" s="1804"/>
      <c r="FB237" s="1804"/>
      <c r="FC237" s="1804"/>
      <c r="FD237" s="1804"/>
      <c r="FE237" s="1804"/>
      <c r="FF237" s="1804"/>
      <c r="FG237" s="1804"/>
      <c r="FH237" s="1804"/>
      <c r="FI237" s="1804"/>
      <c r="FJ237" s="1804"/>
      <c r="FK237" s="1804"/>
      <c r="FL237" s="1804"/>
      <c r="FM237" s="1804"/>
      <c r="FN237" s="1804"/>
      <c r="FO237" s="1804"/>
      <c r="FP237" s="1804"/>
      <c r="FQ237" s="1804"/>
      <c r="FR237" s="1804"/>
      <c r="FS237" s="1804"/>
      <c r="FT237" s="1804"/>
      <c r="FU237" s="1804"/>
      <c r="FV237" s="1804"/>
      <c r="FW237" s="1804"/>
      <c r="FX237" s="1804"/>
      <c r="FY237" s="1804"/>
      <c r="FZ237" s="1804"/>
      <c r="GA237" s="1804"/>
      <c r="GB237" s="1804"/>
      <c r="GC237" s="1804"/>
      <c r="GD237" s="1804"/>
      <c r="GE237" s="1804"/>
      <c r="GF237" s="1804"/>
      <c r="GG237" s="1804"/>
      <c r="GH237" s="1804"/>
      <c r="GI237" s="1804"/>
      <c r="GJ237" s="1804"/>
      <c r="GK237" s="1804"/>
      <c r="GL237" s="1804"/>
      <c r="GM237" s="1804"/>
      <c r="GN237" s="1804"/>
      <c r="GO237" s="1804"/>
      <c r="GP237" s="1804"/>
      <c r="GQ237" s="1804"/>
      <c r="GR237" s="1804"/>
      <c r="GS237" s="1804"/>
      <c r="GT237" s="1804"/>
      <c r="GU237" s="1804"/>
      <c r="GV237" s="1804"/>
      <c r="GW237" s="1804"/>
      <c r="GX237" s="1804"/>
      <c r="GY237" s="1804"/>
      <c r="GZ237" s="1804"/>
      <c r="HA237" s="1804"/>
      <c r="HB237" s="1804"/>
      <c r="HC237" s="1804"/>
      <c r="HD237" s="1804"/>
      <c r="HE237" s="1804"/>
      <c r="HF237" s="1804"/>
      <c r="HG237" s="1804"/>
      <c r="HH237" s="1804"/>
      <c r="HI237" s="1804"/>
      <c r="HJ237" s="1804"/>
      <c r="HK237" s="1804"/>
      <c r="HL237" s="1804"/>
      <c r="HM237" s="1804"/>
      <c r="HN237" s="1804"/>
      <c r="HO237" s="1804"/>
      <c r="HP237" s="1804"/>
      <c r="HQ237" s="1804"/>
      <c r="HR237" s="1804"/>
      <c r="HS237" s="1804"/>
      <c r="HT237" s="1804"/>
      <c r="HU237" s="1804"/>
      <c r="HV237" s="1804"/>
      <c r="HW237" s="1804"/>
      <c r="HX237" s="1804"/>
      <c r="HY237" s="1804"/>
      <c r="HZ237" s="1804"/>
      <c r="IA237" s="1804"/>
      <c r="IB237" s="1804"/>
      <c r="IC237" s="1804"/>
      <c r="ID237" s="1804"/>
      <c r="IE237" s="1804"/>
      <c r="IF237" s="1804"/>
      <c r="IG237" s="1804"/>
      <c r="IH237" s="1804"/>
      <c r="II237" s="1804"/>
      <c r="IJ237" s="1804"/>
      <c r="IK237" s="1804"/>
      <c r="IL237" s="1804"/>
      <c r="IM237" s="1804"/>
      <c r="IN237" s="1804"/>
      <c r="IO237" s="1804"/>
      <c r="IP237" s="1804"/>
      <c r="IQ237" s="1804"/>
      <c r="IR237" s="1804"/>
      <c r="IS237" s="1804"/>
      <c r="IT237" s="1804"/>
      <c r="IU237" s="1804"/>
      <c r="IV237" s="1804"/>
      <c r="IW237" s="1804"/>
    </row>
    <row r="238" spans="3:257" s="888" customFormat="1" x14ac:dyDescent="0.45">
      <c r="C238" s="67" t="s">
        <v>543</v>
      </c>
      <c r="D238" s="68" t="s">
        <v>645</v>
      </c>
      <c r="E238" s="69"/>
      <c r="F238" s="93">
        <v>0</v>
      </c>
      <c r="G238" s="93">
        <v>0</v>
      </c>
      <c r="H238" s="93">
        <v>0</v>
      </c>
      <c r="I238" s="94">
        <v>0</v>
      </c>
      <c r="J238" s="93">
        <v>0</v>
      </c>
      <c r="K238" s="93">
        <v>0</v>
      </c>
      <c r="L238" s="93">
        <v>0</v>
      </c>
      <c r="M238" s="94">
        <v>0</v>
      </c>
      <c r="N238" s="93">
        <v>0</v>
      </c>
      <c r="O238" s="93">
        <v>0</v>
      </c>
      <c r="P238" s="94">
        <v>0</v>
      </c>
      <c r="Q238" s="94">
        <v>0</v>
      </c>
      <c r="R238" s="94">
        <v>0</v>
      </c>
      <c r="S238" s="94">
        <v>947.89655245028996</v>
      </c>
      <c r="T238" s="94">
        <v>0</v>
      </c>
      <c r="U238" s="95">
        <v>0</v>
      </c>
      <c r="V238" s="95">
        <v>0</v>
      </c>
      <c r="W238" s="95">
        <v>0</v>
      </c>
      <c r="X238" s="95">
        <v>0</v>
      </c>
      <c r="Y238" s="95">
        <v>0</v>
      </c>
      <c r="Z238" s="95">
        <v>0</v>
      </c>
      <c r="AA238" s="95">
        <v>0</v>
      </c>
      <c r="AB238" s="95">
        <v>0</v>
      </c>
      <c r="AC238" s="95">
        <v>0</v>
      </c>
      <c r="AD238" s="95">
        <v>0</v>
      </c>
      <c r="AE238" s="95">
        <v>0</v>
      </c>
      <c r="AF238" s="95">
        <v>0</v>
      </c>
      <c r="AG238" s="95">
        <v>0</v>
      </c>
      <c r="AH238" s="95">
        <v>0</v>
      </c>
      <c r="AI238" s="95">
        <v>0</v>
      </c>
      <c r="AJ238" s="95">
        <v>0</v>
      </c>
      <c r="AK238" s="95">
        <v>0</v>
      </c>
      <c r="AL238" s="95">
        <v>0</v>
      </c>
      <c r="AM238" s="95">
        <v>0</v>
      </c>
      <c r="AN238" s="97">
        <v>0</v>
      </c>
      <c r="AO238" s="98">
        <f t="shared" si="15"/>
        <v>12169095.940356823</v>
      </c>
      <c r="AP238" s="1804"/>
      <c r="AQ238" s="1804"/>
      <c r="AR238" s="1804"/>
      <c r="AS238" s="1804"/>
      <c r="AT238" s="1804"/>
      <c r="AU238" s="1804"/>
      <c r="AV238" s="1804"/>
      <c r="AW238" s="1804"/>
      <c r="AX238" s="1804"/>
      <c r="AY238" s="1804"/>
      <c r="AZ238" s="1804"/>
      <c r="BA238" s="1804"/>
      <c r="BB238" s="1804"/>
      <c r="BC238" s="1804"/>
      <c r="BD238" s="1804"/>
      <c r="BE238" s="1804"/>
      <c r="BF238" s="1804"/>
      <c r="BG238" s="1804"/>
      <c r="BH238" s="1804"/>
      <c r="BI238" s="1804"/>
      <c r="BJ238" s="1804"/>
      <c r="BK238" s="1804"/>
      <c r="BL238" s="1804"/>
      <c r="BM238" s="1804"/>
      <c r="BN238" s="1804"/>
      <c r="BO238" s="1804"/>
      <c r="BP238" s="1804"/>
      <c r="BQ238" s="1804"/>
      <c r="BR238" s="1804"/>
      <c r="BS238" s="1804"/>
      <c r="BT238" s="1804"/>
      <c r="BU238" s="1804"/>
      <c r="BV238" s="1804"/>
      <c r="BW238" s="1804"/>
      <c r="BX238" s="1804"/>
      <c r="BY238" s="1804"/>
      <c r="BZ238" s="1804"/>
      <c r="CA238" s="1804"/>
      <c r="CB238" s="1804"/>
      <c r="CC238" s="1804"/>
      <c r="CD238" s="1804"/>
      <c r="CE238" s="1804"/>
      <c r="CF238" s="1804"/>
      <c r="CG238" s="1804"/>
      <c r="CH238" s="1804"/>
      <c r="CI238" s="1804"/>
      <c r="CJ238" s="1804"/>
      <c r="CK238" s="1804"/>
      <c r="CL238" s="1804"/>
      <c r="CM238" s="1804"/>
      <c r="CN238" s="1804"/>
      <c r="CO238" s="1804"/>
      <c r="CP238" s="1804"/>
      <c r="CQ238" s="1804"/>
      <c r="CR238" s="1804"/>
      <c r="CS238" s="1804"/>
      <c r="CT238" s="1804"/>
      <c r="CU238" s="1804"/>
      <c r="CV238" s="1804"/>
      <c r="CW238" s="1804"/>
      <c r="CX238" s="1804"/>
      <c r="CY238" s="1804"/>
      <c r="CZ238" s="1804"/>
      <c r="DA238" s="1804"/>
      <c r="DB238" s="1804"/>
      <c r="DC238" s="1804"/>
      <c r="DD238" s="1804"/>
      <c r="DE238" s="1804"/>
      <c r="DF238" s="1804"/>
      <c r="DG238" s="1804"/>
      <c r="DH238" s="1804"/>
      <c r="DI238" s="1804"/>
      <c r="DJ238" s="1804"/>
      <c r="DK238" s="1804"/>
      <c r="DL238" s="1804"/>
      <c r="DM238" s="1804"/>
      <c r="DN238" s="1804"/>
      <c r="DO238" s="1804"/>
      <c r="DP238" s="1804"/>
      <c r="DQ238" s="1804"/>
      <c r="DR238" s="1804"/>
      <c r="DS238" s="1804"/>
      <c r="DT238" s="1804"/>
      <c r="DU238" s="1804"/>
      <c r="DV238" s="1804"/>
      <c r="DW238" s="1804"/>
      <c r="DX238" s="1804"/>
      <c r="DY238" s="1804"/>
      <c r="DZ238" s="1804"/>
      <c r="EA238" s="1804"/>
      <c r="EB238" s="1804"/>
      <c r="EC238" s="1804"/>
      <c r="ED238" s="1804"/>
      <c r="EE238" s="1804"/>
      <c r="EF238" s="1804"/>
      <c r="EG238" s="1804"/>
      <c r="EH238" s="1804"/>
      <c r="EI238" s="1804"/>
      <c r="EJ238" s="1804"/>
      <c r="EK238" s="1804"/>
      <c r="EL238" s="1804"/>
      <c r="EM238" s="1804"/>
      <c r="EN238" s="1804"/>
      <c r="EO238" s="1804"/>
      <c r="EP238" s="1804"/>
      <c r="EQ238" s="1804"/>
      <c r="ER238" s="1804"/>
      <c r="ES238" s="1804"/>
      <c r="ET238" s="1804"/>
      <c r="EU238" s="1804"/>
      <c r="EV238" s="1804"/>
      <c r="EW238" s="1804"/>
      <c r="EX238" s="1804"/>
      <c r="EY238" s="1804"/>
      <c r="EZ238" s="1804"/>
      <c r="FA238" s="1804"/>
      <c r="FB238" s="1804"/>
      <c r="FC238" s="1804"/>
      <c r="FD238" s="1804"/>
      <c r="FE238" s="1804"/>
      <c r="FF238" s="1804"/>
      <c r="FG238" s="1804"/>
      <c r="FH238" s="1804"/>
      <c r="FI238" s="1804"/>
      <c r="FJ238" s="1804"/>
      <c r="FK238" s="1804"/>
      <c r="FL238" s="1804"/>
      <c r="FM238" s="1804"/>
      <c r="FN238" s="1804"/>
      <c r="FO238" s="1804"/>
      <c r="FP238" s="1804"/>
      <c r="FQ238" s="1804"/>
      <c r="FR238" s="1804"/>
      <c r="FS238" s="1804"/>
      <c r="FT238" s="1804"/>
      <c r="FU238" s="1804"/>
      <c r="FV238" s="1804"/>
      <c r="FW238" s="1804"/>
      <c r="FX238" s="1804"/>
      <c r="FY238" s="1804"/>
      <c r="FZ238" s="1804"/>
      <c r="GA238" s="1804"/>
      <c r="GB238" s="1804"/>
      <c r="GC238" s="1804"/>
      <c r="GD238" s="1804"/>
      <c r="GE238" s="1804"/>
      <c r="GF238" s="1804"/>
      <c r="GG238" s="1804"/>
      <c r="GH238" s="1804"/>
      <c r="GI238" s="1804"/>
      <c r="GJ238" s="1804"/>
      <c r="GK238" s="1804"/>
      <c r="GL238" s="1804"/>
      <c r="GM238" s="1804"/>
      <c r="GN238" s="1804"/>
      <c r="GO238" s="1804"/>
      <c r="GP238" s="1804"/>
      <c r="GQ238" s="1804"/>
      <c r="GR238" s="1804"/>
      <c r="GS238" s="1804"/>
      <c r="GT238" s="1804"/>
      <c r="GU238" s="1804"/>
      <c r="GV238" s="1804"/>
      <c r="GW238" s="1804"/>
      <c r="GX238" s="1804"/>
      <c r="GY238" s="1804"/>
      <c r="GZ238" s="1804"/>
      <c r="HA238" s="1804"/>
      <c r="HB238" s="1804"/>
      <c r="HC238" s="1804"/>
      <c r="HD238" s="1804"/>
      <c r="HE238" s="1804"/>
      <c r="HF238" s="1804"/>
      <c r="HG238" s="1804"/>
      <c r="HH238" s="1804"/>
      <c r="HI238" s="1804"/>
      <c r="HJ238" s="1804"/>
      <c r="HK238" s="1804"/>
      <c r="HL238" s="1804"/>
      <c r="HM238" s="1804"/>
      <c r="HN238" s="1804"/>
      <c r="HO238" s="1804"/>
      <c r="HP238" s="1804"/>
      <c r="HQ238" s="1804"/>
      <c r="HR238" s="1804"/>
      <c r="HS238" s="1804"/>
      <c r="HT238" s="1804"/>
      <c r="HU238" s="1804"/>
      <c r="HV238" s="1804"/>
      <c r="HW238" s="1804"/>
      <c r="HX238" s="1804"/>
      <c r="HY238" s="1804"/>
      <c r="HZ238" s="1804"/>
      <c r="IA238" s="1804"/>
      <c r="IB238" s="1804"/>
      <c r="IC238" s="1804"/>
      <c r="ID238" s="1804"/>
      <c r="IE238" s="1804"/>
      <c r="IF238" s="1804"/>
      <c r="IG238" s="1804"/>
      <c r="IH238" s="1804"/>
      <c r="II238" s="1804"/>
      <c r="IJ238" s="1804"/>
      <c r="IK238" s="1804"/>
      <c r="IL238" s="1804"/>
      <c r="IM238" s="1804"/>
      <c r="IN238" s="1804"/>
      <c r="IO238" s="1804"/>
      <c r="IP238" s="1804"/>
      <c r="IQ238" s="1804"/>
      <c r="IR238" s="1804"/>
      <c r="IS238" s="1804"/>
      <c r="IT238" s="1804"/>
      <c r="IU238" s="1804"/>
      <c r="IV238" s="1804"/>
      <c r="IW238" s="1804"/>
    </row>
    <row r="239" spans="3:257" s="888" customFormat="1" x14ac:dyDescent="0.45">
      <c r="C239" s="67" t="s">
        <v>544</v>
      </c>
      <c r="D239" s="68" t="s">
        <v>646</v>
      </c>
      <c r="E239" s="69"/>
      <c r="F239" s="93">
        <v>199428.79544132194</v>
      </c>
      <c r="G239" s="93">
        <v>25006.801423343066</v>
      </c>
      <c r="H239" s="93">
        <v>1093.9683040488658</v>
      </c>
      <c r="I239" s="94">
        <v>5696.0626457444914</v>
      </c>
      <c r="J239" s="93">
        <v>1.5047322809171442</v>
      </c>
      <c r="K239" s="94">
        <v>83.177237904653097</v>
      </c>
      <c r="L239" s="93">
        <v>1356111.8841182671</v>
      </c>
      <c r="M239" s="94">
        <v>1270815.6701185638</v>
      </c>
      <c r="N239" s="93">
        <v>270338888.8888889</v>
      </c>
      <c r="O239" s="93">
        <v>6722222.222222222</v>
      </c>
      <c r="P239" s="94">
        <v>29300</v>
      </c>
      <c r="Q239" s="94">
        <v>6355</v>
      </c>
      <c r="R239" s="94">
        <v>0</v>
      </c>
      <c r="S239" s="94">
        <v>0</v>
      </c>
      <c r="T239" s="94">
        <v>0</v>
      </c>
      <c r="U239" s="95">
        <v>0</v>
      </c>
      <c r="V239" s="95">
        <v>0</v>
      </c>
      <c r="W239" s="95">
        <v>0</v>
      </c>
      <c r="X239" s="95">
        <v>0</v>
      </c>
      <c r="Y239" s="95">
        <v>0</v>
      </c>
      <c r="Z239" s="95">
        <v>0</v>
      </c>
      <c r="AA239" s="95">
        <v>0</v>
      </c>
      <c r="AB239" s="95">
        <v>0</v>
      </c>
      <c r="AC239" s="95">
        <v>0</v>
      </c>
      <c r="AD239" s="95">
        <v>0</v>
      </c>
      <c r="AE239" s="95">
        <v>0</v>
      </c>
      <c r="AF239" s="95">
        <v>0</v>
      </c>
      <c r="AG239" s="99">
        <v>303.72631614088368</v>
      </c>
      <c r="AH239" s="99">
        <v>306.0357421172032</v>
      </c>
      <c r="AI239" s="95">
        <v>0</v>
      </c>
      <c r="AJ239" s="99">
        <v>26.640374883763528</v>
      </c>
      <c r="AK239" s="95">
        <v>0</v>
      </c>
      <c r="AL239" s="95">
        <v>0</v>
      </c>
      <c r="AM239" s="95">
        <v>0</v>
      </c>
      <c r="AN239" s="97">
        <v>0</v>
      </c>
      <c r="AO239" s="98">
        <f t="shared" si="15"/>
        <v>3002357724.346468</v>
      </c>
      <c r="AP239" s="1804"/>
      <c r="AQ239" s="1804"/>
      <c r="AR239" s="1804"/>
      <c r="AS239" s="1804"/>
      <c r="AT239" s="1804"/>
      <c r="AU239" s="1804"/>
      <c r="AV239" s="1804"/>
      <c r="AW239" s="1804"/>
      <c r="AX239" s="1804"/>
      <c r="AY239" s="1804"/>
      <c r="AZ239" s="1804"/>
      <c r="BA239" s="1804"/>
      <c r="BB239" s="1804"/>
      <c r="BC239" s="1804"/>
      <c r="BD239" s="1804"/>
      <c r="BE239" s="1804"/>
      <c r="BF239" s="1804"/>
      <c r="BG239" s="1804"/>
      <c r="BH239" s="1804"/>
      <c r="BI239" s="1804"/>
      <c r="BJ239" s="1804"/>
      <c r="BK239" s="1804"/>
      <c r="BL239" s="1804"/>
      <c r="BM239" s="1804"/>
      <c r="BN239" s="1804"/>
      <c r="BO239" s="1804"/>
      <c r="BP239" s="1804"/>
      <c r="BQ239" s="1804"/>
      <c r="BR239" s="1804"/>
      <c r="BS239" s="1804"/>
      <c r="BT239" s="1804"/>
      <c r="BU239" s="1804"/>
      <c r="BV239" s="1804"/>
      <c r="BW239" s="1804"/>
      <c r="BX239" s="1804"/>
      <c r="BY239" s="1804"/>
      <c r="BZ239" s="1804"/>
      <c r="CA239" s="1804"/>
      <c r="CB239" s="1804"/>
      <c r="CC239" s="1804"/>
      <c r="CD239" s="1804"/>
      <c r="CE239" s="1804"/>
      <c r="CF239" s="1804"/>
      <c r="CG239" s="1804"/>
      <c r="CH239" s="1804"/>
      <c r="CI239" s="1804"/>
      <c r="CJ239" s="1804"/>
      <c r="CK239" s="1804"/>
      <c r="CL239" s="1804"/>
      <c r="CM239" s="1804"/>
      <c r="CN239" s="1804"/>
      <c r="CO239" s="1804"/>
      <c r="CP239" s="1804"/>
      <c r="CQ239" s="1804"/>
      <c r="CR239" s="1804"/>
      <c r="CS239" s="1804"/>
      <c r="CT239" s="1804"/>
      <c r="CU239" s="1804"/>
      <c r="CV239" s="1804"/>
      <c r="CW239" s="1804"/>
      <c r="CX239" s="1804"/>
      <c r="CY239" s="1804"/>
      <c r="CZ239" s="1804"/>
      <c r="DA239" s="1804"/>
      <c r="DB239" s="1804"/>
      <c r="DC239" s="1804"/>
      <c r="DD239" s="1804"/>
      <c r="DE239" s="1804"/>
      <c r="DF239" s="1804"/>
      <c r="DG239" s="1804"/>
      <c r="DH239" s="1804"/>
      <c r="DI239" s="1804"/>
      <c r="DJ239" s="1804"/>
      <c r="DK239" s="1804"/>
      <c r="DL239" s="1804"/>
      <c r="DM239" s="1804"/>
      <c r="DN239" s="1804"/>
      <c r="DO239" s="1804"/>
      <c r="DP239" s="1804"/>
      <c r="DQ239" s="1804"/>
      <c r="DR239" s="1804"/>
      <c r="DS239" s="1804"/>
      <c r="DT239" s="1804"/>
      <c r="DU239" s="1804"/>
      <c r="DV239" s="1804"/>
      <c r="DW239" s="1804"/>
      <c r="DX239" s="1804"/>
      <c r="DY239" s="1804"/>
      <c r="DZ239" s="1804"/>
      <c r="EA239" s="1804"/>
      <c r="EB239" s="1804"/>
      <c r="EC239" s="1804"/>
      <c r="ED239" s="1804"/>
      <c r="EE239" s="1804"/>
      <c r="EF239" s="1804"/>
      <c r="EG239" s="1804"/>
      <c r="EH239" s="1804"/>
      <c r="EI239" s="1804"/>
      <c r="EJ239" s="1804"/>
      <c r="EK239" s="1804"/>
      <c r="EL239" s="1804"/>
      <c r="EM239" s="1804"/>
      <c r="EN239" s="1804"/>
      <c r="EO239" s="1804"/>
      <c r="EP239" s="1804"/>
      <c r="EQ239" s="1804"/>
      <c r="ER239" s="1804"/>
      <c r="ES239" s="1804"/>
      <c r="ET239" s="1804"/>
      <c r="EU239" s="1804"/>
      <c r="EV239" s="1804"/>
      <c r="EW239" s="1804"/>
      <c r="EX239" s="1804"/>
      <c r="EY239" s="1804"/>
      <c r="EZ239" s="1804"/>
      <c r="FA239" s="1804"/>
      <c r="FB239" s="1804"/>
      <c r="FC239" s="1804"/>
      <c r="FD239" s="1804"/>
      <c r="FE239" s="1804"/>
      <c r="FF239" s="1804"/>
      <c r="FG239" s="1804"/>
      <c r="FH239" s="1804"/>
      <c r="FI239" s="1804"/>
      <c r="FJ239" s="1804"/>
      <c r="FK239" s="1804"/>
      <c r="FL239" s="1804"/>
      <c r="FM239" s="1804"/>
      <c r="FN239" s="1804"/>
      <c r="FO239" s="1804"/>
      <c r="FP239" s="1804"/>
      <c r="FQ239" s="1804"/>
      <c r="FR239" s="1804"/>
      <c r="FS239" s="1804"/>
      <c r="FT239" s="1804"/>
      <c r="FU239" s="1804"/>
      <c r="FV239" s="1804"/>
      <c r="FW239" s="1804"/>
      <c r="FX239" s="1804"/>
      <c r="FY239" s="1804"/>
      <c r="FZ239" s="1804"/>
      <c r="GA239" s="1804"/>
      <c r="GB239" s="1804"/>
      <c r="GC239" s="1804"/>
      <c r="GD239" s="1804"/>
      <c r="GE239" s="1804"/>
      <c r="GF239" s="1804"/>
      <c r="GG239" s="1804"/>
      <c r="GH239" s="1804"/>
      <c r="GI239" s="1804"/>
      <c r="GJ239" s="1804"/>
      <c r="GK239" s="1804"/>
      <c r="GL239" s="1804"/>
      <c r="GM239" s="1804"/>
      <c r="GN239" s="1804"/>
      <c r="GO239" s="1804"/>
      <c r="GP239" s="1804"/>
      <c r="GQ239" s="1804"/>
      <c r="GR239" s="1804"/>
      <c r="GS239" s="1804"/>
      <c r="GT239" s="1804"/>
      <c r="GU239" s="1804"/>
      <c r="GV239" s="1804"/>
      <c r="GW239" s="1804"/>
      <c r="GX239" s="1804"/>
      <c r="GY239" s="1804"/>
      <c r="GZ239" s="1804"/>
      <c r="HA239" s="1804"/>
      <c r="HB239" s="1804"/>
      <c r="HC239" s="1804"/>
      <c r="HD239" s="1804"/>
      <c r="HE239" s="1804"/>
      <c r="HF239" s="1804"/>
      <c r="HG239" s="1804"/>
      <c r="HH239" s="1804"/>
      <c r="HI239" s="1804"/>
      <c r="HJ239" s="1804"/>
      <c r="HK239" s="1804"/>
      <c r="HL239" s="1804"/>
      <c r="HM239" s="1804"/>
      <c r="HN239" s="1804"/>
      <c r="HO239" s="1804"/>
      <c r="HP239" s="1804"/>
      <c r="HQ239" s="1804"/>
      <c r="HR239" s="1804"/>
      <c r="HS239" s="1804"/>
      <c r="HT239" s="1804"/>
      <c r="HU239" s="1804"/>
      <c r="HV239" s="1804"/>
      <c r="HW239" s="1804"/>
      <c r="HX239" s="1804"/>
      <c r="HY239" s="1804"/>
      <c r="HZ239" s="1804"/>
      <c r="IA239" s="1804"/>
      <c r="IB239" s="1804"/>
      <c r="IC239" s="1804"/>
      <c r="ID239" s="1804"/>
      <c r="IE239" s="1804"/>
      <c r="IF239" s="1804"/>
      <c r="IG239" s="1804"/>
      <c r="IH239" s="1804"/>
      <c r="II239" s="1804"/>
      <c r="IJ239" s="1804"/>
      <c r="IK239" s="1804"/>
      <c r="IL239" s="1804"/>
      <c r="IM239" s="1804"/>
      <c r="IN239" s="1804"/>
      <c r="IO239" s="1804"/>
      <c r="IP239" s="1804"/>
      <c r="IQ239" s="1804"/>
      <c r="IR239" s="1804"/>
      <c r="IS239" s="1804"/>
      <c r="IT239" s="1804"/>
      <c r="IU239" s="1804"/>
      <c r="IV239" s="1804"/>
      <c r="IW239" s="1804"/>
    </row>
    <row r="240" spans="3:257" s="888" customFormat="1" x14ac:dyDescent="0.45">
      <c r="C240" s="67" t="s">
        <v>545</v>
      </c>
      <c r="D240" s="68" t="s">
        <v>647</v>
      </c>
      <c r="E240" s="69"/>
      <c r="F240" s="93">
        <v>0</v>
      </c>
      <c r="G240" s="93">
        <v>36344.157266976923</v>
      </c>
      <c r="H240" s="93">
        <v>0</v>
      </c>
      <c r="I240" s="94">
        <v>0</v>
      </c>
      <c r="J240" s="93">
        <v>0</v>
      </c>
      <c r="K240" s="93">
        <v>0</v>
      </c>
      <c r="L240" s="93">
        <v>0</v>
      </c>
      <c r="M240" s="94">
        <v>0</v>
      </c>
      <c r="N240" s="93">
        <v>0</v>
      </c>
      <c r="O240" s="93">
        <v>0</v>
      </c>
      <c r="P240" s="94">
        <v>0</v>
      </c>
      <c r="Q240" s="94">
        <v>0</v>
      </c>
      <c r="R240" s="94">
        <v>0</v>
      </c>
      <c r="S240" s="94">
        <v>0</v>
      </c>
      <c r="T240" s="94">
        <v>0</v>
      </c>
      <c r="U240" s="95">
        <v>0</v>
      </c>
      <c r="V240" s="95">
        <v>0</v>
      </c>
      <c r="W240" s="95">
        <v>0</v>
      </c>
      <c r="X240" s="95">
        <v>0</v>
      </c>
      <c r="Y240" s="95">
        <v>0</v>
      </c>
      <c r="Z240" s="95">
        <v>0</v>
      </c>
      <c r="AA240" s="95">
        <v>0</v>
      </c>
      <c r="AB240" s="95">
        <v>0</v>
      </c>
      <c r="AC240" s="95">
        <v>0</v>
      </c>
      <c r="AD240" s="95">
        <v>0</v>
      </c>
      <c r="AE240" s="95">
        <v>0</v>
      </c>
      <c r="AF240" s="95">
        <v>0</v>
      </c>
      <c r="AG240" s="95">
        <v>0</v>
      </c>
      <c r="AH240" s="95">
        <v>0</v>
      </c>
      <c r="AI240" s="95">
        <v>0</v>
      </c>
      <c r="AJ240" s="95">
        <v>0</v>
      </c>
      <c r="AK240" s="95">
        <v>0</v>
      </c>
      <c r="AL240" s="95">
        <v>0</v>
      </c>
      <c r="AM240" s="95">
        <v>0</v>
      </c>
      <c r="AN240" s="97">
        <v>0</v>
      </c>
      <c r="AO240" s="98">
        <f t="shared" si="15"/>
        <v>466586290.99344975</v>
      </c>
      <c r="AP240" s="1804"/>
      <c r="AQ240" s="1804"/>
      <c r="AR240" s="1804"/>
      <c r="AS240" s="1804"/>
      <c r="AT240" s="1804"/>
      <c r="AU240" s="1804"/>
      <c r="AV240" s="1804"/>
      <c r="AW240" s="1804"/>
      <c r="AX240" s="1804"/>
      <c r="AY240" s="1804"/>
      <c r="AZ240" s="1804"/>
      <c r="BA240" s="1804"/>
      <c r="BB240" s="1804"/>
      <c r="BC240" s="1804"/>
      <c r="BD240" s="1804"/>
      <c r="BE240" s="1804"/>
      <c r="BF240" s="1804"/>
      <c r="BG240" s="1804"/>
      <c r="BH240" s="1804"/>
      <c r="BI240" s="1804"/>
      <c r="BJ240" s="1804"/>
      <c r="BK240" s="1804"/>
      <c r="BL240" s="1804"/>
      <c r="BM240" s="1804"/>
      <c r="BN240" s="1804"/>
      <c r="BO240" s="1804"/>
      <c r="BP240" s="1804"/>
      <c r="BQ240" s="1804"/>
      <c r="BR240" s="1804"/>
      <c r="BS240" s="1804"/>
      <c r="BT240" s="1804"/>
      <c r="BU240" s="1804"/>
      <c r="BV240" s="1804"/>
      <c r="BW240" s="1804"/>
      <c r="BX240" s="1804"/>
      <c r="BY240" s="1804"/>
      <c r="BZ240" s="1804"/>
      <c r="CA240" s="1804"/>
      <c r="CB240" s="1804"/>
      <c r="CC240" s="1804"/>
      <c r="CD240" s="1804"/>
      <c r="CE240" s="1804"/>
      <c r="CF240" s="1804"/>
      <c r="CG240" s="1804"/>
      <c r="CH240" s="1804"/>
      <c r="CI240" s="1804"/>
      <c r="CJ240" s="1804"/>
      <c r="CK240" s="1804"/>
      <c r="CL240" s="1804"/>
      <c r="CM240" s="1804"/>
      <c r="CN240" s="1804"/>
      <c r="CO240" s="1804"/>
      <c r="CP240" s="1804"/>
      <c r="CQ240" s="1804"/>
      <c r="CR240" s="1804"/>
      <c r="CS240" s="1804"/>
      <c r="CT240" s="1804"/>
      <c r="CU240" s="1804"/>
      <c r="CV240" s="1804"/>
      <c r="CW240" s="1804"/>
      <c r="CX240" s="1804"/>
      <c r="CY240" s="1804"/>
      <c r="CZ240" s="1804"/>
      <c r="DA240" s="1804"/>
      <c r="DB240" s="1804"/>
      <c r="DC240" s="1804"/>
      <c r="DD240" s="1804"/>
      <c r="DE240" s="1804"/>
      <c r="DF240" s="1804"/>
      <c r="DG240" s="1804"/>
      <c r="DH240" s="1804"/>
      <c r="DI240" s="1804"/>
      <c r="DJ240" s="1804"/>
      <c r="DK240" s="1804"/>
      <c r="DL240" s="1804"/>
      <c r="DM240" s="1804"/>
      <c r="DN240" s="1804"/>
      <c r="DO240" s="1804"/>
      <c r="DP240" s="1804"/>
      <c r="DQ240" s="1804"/>
      <c r="DR240" s="1804"/>
      <c r="DS240" s="1804"/>
      <c r="DT240" s="1804"/>
      <c r="DU240" s="1804"/>
      <c r="DV240" s="1804"/>
      <c r="DW240" s="1804"/>
      <c r="DX240" s="1804"/>
      <c r="DY240" s="1804"/>
      <c r="DZ240" s="1804"/>
      <c r="EA240" s="1804"/>
      <c r="EB240" s="1804"/>
      <c r="EC240" s="1804"/>
      <c r="ED240" s="1804"/>
      <c r="EE240" s="1804"/>
      <c r="EF240" s="1804"/>
      <c r="EG240" s="1804"/>
      <c r="EH240" s="1804"/>
      <c r="EI240" s="1804"/>
      <c r="EJ240" s="1804"/>
      <c r="EK240" s="1804"/>
      <c r="EL240" s="1804"/>
      <c r="EM240" s="1804"/>
      <c r="EN240" s="1804"/>
      <c r="EO240" s="1804"/>
      <c r="EP240" s="1804"/>
      <c r="EQ240" s="1804"/>
      <c r="ER240" s="1804"/>
      <c r="ES240" s="1804"/>
      <c r="ET240" s="1804"/>
      <c r="EU240" s="1804"/>
      <c r="EV240" s="1804"/>
      <c r="EW240" s="1804"/>
      <c r="EX240" s="1804"/>
      <c r="EY240" s="1804"/>
      <c r="EZ240" s="1804"/>
      <c r="FA240" s="1804"/>
      <c r="FB240" s="1804"/>
      <c r="FC240" s="1804"/>
      <c r="FD240" s="1804"/>
      <c r="FE240" s="1804"/>
      <c r="FF240" s="1804"/>
      <c r="FG240" s="1804"/>
      <c r="FH240" s="1804"/>
      <c r="FI240" s="1804"/>
      <c r="FJ240" s="1804"/>
      <c r="FK240" s="1804"/>
      <c r="FL240" s="1804"/>
      <c r="FM240" s="1804"/>
      <c r="FN240" s="1804"/>
      <c r="FO240" s="1804"/>
      <c r="FP240" s="1804"/>
      <c r="FQ240" s="1804"/>
      <c r="FR240" s="1804"/>
      <c r="FS240" s="1804"/>
      <c r="FT240" s="1804"/>
      <c r="FU240" s="1804"/>
      <c r="FV240" s="1804"/>
      <c r="FW240" s="1804"/>
      <c r="FX240" s="1804"/>
      <c r="FY240" s="1804"/>
      <c r="FZ240" s="1804"/>
      <c r="GA240" s="1804"/>
      <c r="GB240" s="1804"/>
      <c r="GC240" s="1804"/>
      <c r="GD240" s="1804"/>
      <c r="GE240" s="1804"/>
      <c r="GF240" s="1804"/>
      <c r="GG240" s="1804"/>
      <c r="GH240" s="1804"/>
      <c r="GI240" s="1804"/>
      <c r="GJ240" s="1804"/>
      <c r="GK240" s="1804"/>
      <c r="GL240" s="1804"/>
      <c r="GM240" s="1804"/>
      <c r="GN240" s="1804"/>
      <c r="GO240" s="1804"/>
      <c r="GP240" s="1804"/>
      <c r="GQ240" s="1804"/>
      <c r="GR240" s="1804"/>
      <c r="GS240" s="1804"/>
      <c r="GT240" s="1804"/>
      <c r="GU240" s="1804"/>
      <c r="GV240" s="1804"/>
      <c r="GW240" s="1804"/>
      <c r="GX240" s="1804"/>
      <c r="GY240" s="1804"/>
      <c r="GZ240" s="1804"/>
      <c r="HA240" s="1804"/>
      <c r="HB240" s="1804"/>
      <c r="HC240" s="1804"/>
      <c r="HD240" s="1804"/>
      <c r="HE240" s="1804"/>
      <c r="HF240" s="1804"/>
      <c r="HG240" s="1804"/>
      <c r="HH240" s="1804"/>
      <c r="HI240" s="1804"/>
      <c r="HJ240" s="1804"/>
      <c r="HK240" s="1804"/>
      <c r="HL240" s="1804"/>
      <c r="HM240" s="1804"/>
      <c r="HN240" s="1804"/>
      <c r="HO240" s="1804"/>
      <c r="HP240" s="1804"/>
      <c r="HQ240" s="1804"/>
      <c r="HR240" s="1804"/>
      <c r="HS240" s="1804"/>
      <c r="HT240" s="1804"/>
      <c r="HU240" s="1804"/>
      <c r="HV240" s="1804"/>
      <c r="HW240" s="1804"/>
      <c r="HX240" s="1804"/>
      <c r="HY240" s="1804"/>
      <c r="HZ240" s="1804"/>
      <c r="IA240" s="1804"/>
      <c r="IB240" s="1804"/>
      <c r="IC240" s="1804"/>
      <c r="ID240" s="1804"/>
      <c r="IE240" s="1804"/>
      <c r="IF240" s="1804"/>
      <c r="IG240" s="1804"/>
      <c r="IH240" s="1804"/>
      <c r="II240" s="1804"/>
      <c r="IJ240" s="1804"/>
      <c r="IK240" s="1804"/>
      <c r="IL240" s="1804"/>
      <c r="IM240" s="1804"/>
      <c r="IN240" s="1804"/>
      <c r="IO240" s="1804"/>
      <c r="IP240" s="1804"/>
      <c r="IQ240" s="1804"/>
      <c r="IR240" s="1804"/>
      <c r="IS240" s="1804"/>
      <c r="IT240" s="1804"/>
      <c r="IU240" s="1804"/>
      <c r="IV240" s="1804"/>
      <c r="IW240" s="1804"/>
    </row>
    <row r="241" spans="3:257" s="888" customFormat="1" x14ac:dyDescent="0.45">
      <c r="C241" s="67" t="s">
        <v>546</v>
      </c>
      <c r="D241" s="68" t="s">
        <v>648</v>
      </c>
      <c r="E241" s="69"/>
      <c r="F241" s="93">
        <v>0</v>
      </c>
      <c r="G241" s="93">
        <v>0</v>
      </c>
      <c r="H241" s="93">
        <v>0</v>
      </c>
      <c r="I241" s="94">
        <v>0</v>
      </c>
      <c r="J241" s="93">
        <v>0</v>
      </c>
      <c r="K241" s="93">
        <v>0</v>
      </c>
      <c r="L241" s="93">
        <v>0</v>
      </c>
      <c r="M241" s="94">
        <v>0</v>
      </c>
      <c r="N241" s="93">
        <v>0</v>
      </c>
      <c r="O241" s="93">
        <v>0</v>
      </c>
      <c r="P241" s="94">
        <v>0</v>
      </c>
      <c r="Q241" s="94">
        <v>0</v>
      </c>
      <c r="R241" s="94">
        <v>0</v>
      </c>
      <c r="S241" s="94">
        <v>0</v>
      </c>
      <c r="T241" s="94">
        <v>0</v>
      </c>
      <c r="U241" s="95">
        <v>0</v>
      </c>
      <c r="V241" s="95">
        <v>0</v>
      </c>
      <c r="W241" s="95">
        <v>0</v>
      </c>
      <c r="X241" s="95">
        <v>0</v>
      </c>
      <c r="Y241" s="95">
        <v>0</v>
      </c>
      <c r="Z241" s="95">
        <v>0</v>
      </c>
      <c r="AA241" s="95">
        <v>0</v>
      </c>
      <c r="AB241" s="95">
        <v>0</v>
      </c>
      <c r="AC241" s="95">
        <v>0</v>
      </c>
      <c r="AD241" s="95">
        <v>0</v>
      </c>
      <c r="AE241" s="95">
        <v>0</v>
      </c>
      <c r="AF241" s="95">
        <v>0</v>
      </c>
      <c r="AG241" s="95">
        <v>0</v>
      </c>
      <c r="AH241" s="95">
        <v>0</v>
      </c>
      <c r="AI241" s="95">
        <v>0</v>
      </c>
      <c r="AJ241" s="95">
        <v>0</v>
      </c>
      <c r="AK241" s="95">
        <v>0</v>
      </c>
      <c r="AL241" s="95">
        <v>0</v>
      </c>
      <c r="AM241" s="95">
        <v>0</v>
      </c>
      <c r="AN241" s="97">
        <v>0</v>
      </c>
      <c r="AO241" s="98">
        <f t="shared" si="15"/>
        <v>0</v>
      </c>
      <c r="AP241" s="1804"/>
      <c r="AQ241" s="1804"/>
      <c r="AR241" s="1804"/>
      <c r="AS241" s="1804"/>
      <c r="AT241" s="1804"/>
      <c r="AU241" s="1804"/>
      <c r="AV241" s="1804"/>
      <c r="AW241" s="1804"/>
      <c r="AX241" s="1804"/>
      <c r="AY241" s="1804"/>
      <c r="AZ241" s="1804"/>
      <c r="BA241" s="1804"/>
      <c r="BB241" s="1804"/>
      <c r="BC241" s="1804"/>
      <c r="BD241" s="1804"/>
      <c r="BE241" s="1804"/>
      <c r="BF241" s="1804"/>
      <c r="BG241" s="1804"/>
      <c r="BH241" s="1804"/>
      <c r="BI241" s="1804"/>
      <c r="BJ241" s="1804"/>
      <c r="BK241" s="1804"/>
      <c r="BL241" s="1804"/>
      <c r="BM241" s="1804"/>
      <c r="BN241" s="1804"/>
      <c r="BO241" s="1804"/>
      <c r="BP241" s="1804"/>
      <c r="BQ241" s="1804"/>
      <c r="BR241" s="1804"/>
      <c r="BS241" s="1804"/>
      <c r="BT241" s="1804"/>
      <c r="BU241" s="1804"/>
      <c r="BV241" s="1804"/>
      <c r="BW241" s="1804"/>
      <c r="BX241" s="1804"/>
      <c r="BY241" s="1804"/>
      <c r="BZ241" s="1804"/>
      <c r="CA241" s="1804"/>
      <c r="CB241" s="1804"/>
      <c r="CC241" s="1804"/>
      <c r="CD241" s="1804"/>
      <c r="CE241" s="1804"/>
      <c r="CF241" s="1804"/>
      <c r="CG241" s="1804"/>
      <c r="CH241" s="1804"/>
      <c r="CI241" s="1804"/>
      <c r="CJ241" s="1804"/>
      <c r="CK241" s="1804"/>
      <c r="CL241" s="1804"/>
      <c r="CM241" s="1804"/>
      <c r="CN241" s="1804"/>
      <c r="CO241" s="1804"/>
      <c r="CP241" s="1804"/>
      <c r="CQ241" s="1804"/>
      <c r="CR241" s="1804"/>
      <c r="CS241" s="1804"/>
      <c r="CT241" s="1804"/>
      <c r="CU241" s="1804"/>
      <c r="CV241" s="1804"/>
      <c r="CW241" s="1804"/>
      <c r="CX241" s="1804"/>
      <c r="CY241" s="1804"/>
      <c r="CZ241" s="1804"/>
      <c r="DA241" s="1804"/>
      <c r="DB241" s="1804"/>
      <c r="DC241" s="1804"/>
      <c r="DD241" s="1804"/>
      <c r="DE241" s="1804"/>
      <c r="DF241" s="1804"/>
      <c r="DG241" s="1804"/>
      <c r="DH241" s="1804"/>
      <c r="DI241" s="1804"/>
      <c r="DJ241" s="1804"/>
      <c r="DK241" s="1804"/>
      <c r="DL241" s="1804"/>
      <c r="DM241" s="1804"/>
      <c r="DN241" s="1804"/>
      <c r="DO241" s="1804"/>
      <c r="DP241" s="1804"/>
      <c r="DQ241" s="1804"/>
      <c r="DR241" s="1804"/>
      <c r="DS241" s="1804"/>
      <c r="DT241" s="1804"/>
      <c r="DU241" s="1804"/>
      <c r="DV241" s="1804"/>
      <c r="DW241" s="1804"/>
      <c r="DX241" s="1804"/>
      <c r="DY241" s="1804"/>
      <c r="DZ241" s="1804"/>
      <c r="EA241" s="1804"/>
      <c r="EB241" s="1804"/>
      <c r="EC241" s="1804"/>
      <c r="ED241" s="1804"/>
      <c r="EE241" s="1804"/>
      <c r="EF241" s="1804"/>
      <c r="EG241" s="1804"/>
      <c r="EH241" s="1804"/>
      <c r="EI241" s="1804"/>
      <c r="EJ241" s="1804"/>
      <c r="EK241" s="1804"/>
      <c r="EL241" s="1804"/>
      <c r="EM241" s="1804"/>
      <c r="EN241" s="1804"/>
      <c r="EO241" s="1804"/>
      <c r="EP241" s="1804"/>
      <c r="EQ241" s="1804"/>
      <c r="ER241" s="1804"/>
      <c r="ES241" s="1804"/>
      <c r="ET241" s="1804"/>
      <c r="EU241" s="1804"/>
      <c r="EV241" s="1804"/>
      <c r="EW241" s="1804"/>
      <c r="EX241" s="1804"/>
      <c r="EY241" s="1804"/>
      <c r="EZ241" s="1804"/>
      <c r="FA241" s="1804"/>
      <c r="FB241" s="1804"/>
      <c r="FC241" s="1804"/>
      <c r="FD241" s="1804"/>
      <c r="FE241" s="1804"/>
      <c r="FF241" s="1804"/>
      <c r="FG241" s="1804"/>
      <c r="FH241" s="1804"/>
      <c r="FI241" s="1804"/>
      <c r="FJ241" s="1804"/>
      <c r="FK241" s="1804"/>
      <c r="FL241" s="1804"/>
      <c r="FM241" s="1804"/>
      <c r="FN241" s="1804"/>
      <c r="FO241" s="1804"/>
      <c r="FP241" s="1804"/>
      <c r="FQ241" s="1804"/>
      <c r="FR241" s="1804"/>
      <c r="FS241" s="1804"/>
      <c r="FT241" s="1804"/>
      <c r="FU241" s="1804"/>
      <c r="FV241" s="1804"/>
      <c r="FW241" s="1804"/>
      <c r="FX241" s="1804"/>
      <c r="FY241" s="1804"/>
      <c r="FZ241" s="1804"/>
      <c r="GA241" s="1804"/>
      <c r="GB241" s="1804"/>
      <c r="GC241" s="1804"/>
      <c r="GD241" s="1804"/>
      <c r="GE241" s="1804"/>
      <c r="GF241" s="1804"/>
      <c r="GG241" s="1804"/>
      <c r="GH241" s="1804"/>
      <c r="GI241" s="1804"/>
      <c r="GJ241" s="1804"/>
      <c r="GK241" s="1804"/>
      <c r="GL241" s="1804"/>
      <c r="GM241" s="1804"/>
      <c r="GN241" s="1804"/>
      <c r="GO241" s="1804"/>
      <c r="GP241" s="1804"/>
      <c r="GQ241" s="1804"/>
      <c r="GR241" s="1804"/>
      <c r="GS241" s="1804"/>
      <c r="GT241" s="1804"/>
      <c r="GU241" s="1804"/>
      <c r="GV241" s="1804"/>
      <c r="GW241" s="1804"/>
      <c r="GX241" s="1804"/>
      <c r="GY241" s="1804"/>
      <c r="GZ241" s="1804"/>
      <c r="HA241" s="1804"/>
      <c r="HB241" s="1804"/>
      <c r="HC241" s="1804"/>
      <c r="HD241" s="1804"/>
      <c r="HE241" s="1804"/>
      <c r="HF241" s="1804"/>
      <c r="HG241" s="1804"/>
      <c r="HH241" s="1804"/>
      <c r="HI241" s="1804"/>
      <c r="HJ241" s="1804"/>
      <c r="HK241" s="1804"/>
      <c r="HL241" s="1804"/>
      <c r="HM241" s="1804"/>
      <c r="HN241" s="1804"/>
      <c r="HO241" s="1804"/>
      <c r="HP241" s="1804"/>
      <c r="HQ241" s="1804"/>
      <c r="HR241" s="1804"/>
      <c r="HS241" s="1804"/>
      <c r="HT241" s="1804"/>
      <c r="HU241" s="1804"/>
      <c r="HV241" s="1804"/>
      <c r="HW241" s="1804"/>
      <c r="HX241" s="1804"/>
      <c r="HY241" s="1804"/>
      <c r="HZ241" s="1804"/>
      <c r="IA241" s="1804"/>
      <c r="IB241" s="1804"/>
      <c r="IC241" s="1804"/>
      <c r="ID241" s="1804"/>
      <c r="IE241" s="1804"/>
      <c r="IF241" s="1804"/>
      <c r="IG241" s="1804"/>
      <c r="IH241" s="1804"/>
      <c r="II241" s="1804"/>
      <c r="IJ241" s="1804"/>
      <c r="IK241" s="1804"/>
      <c r="IL241" s="1804"/>
      <c r="IM241" s="1804"/>
      <c r="IN241" s="1804"/>
      <c r="IO241" s="1804"/>
      <c r="IP241" s="1804"/>
      <c r="IQ241" s="1804"/>
      <c r="IR241" s="1804"/>
      <c r="IS241" s="1804"/>
      <c r="IT241" s="1804"/>
      <c r="IU241" s="1804"/>
      <c r="IV241" s="1804"/>
      <c r="IW241" s="1804"/>
    </row>
    <row r="242" spans="3:257" s="888" customFormat="1" x14ac:dyDescent="0.45">
      <c r="C242" s="67" t="s">
        <v>547</v>
      </c>
      <c r="D242" s="68" t="s">
        <v>649</v>
      </c>
      <c r="E242" s="69"/>
      <c r="F242" s="93">
        <v>0</v>
      </c>
      <c r="G242" s="93">
        <v>610.79937421122042</v>
      </c>
      <c r="H242" s="93">
        <v>0</v>
      </c>
      <c r="I242" s="94">
        <v>0</v>
      </c>
      <c r="J242" s="93">
        <v>0</v>
      </c>
      <c r="K242" s="93">
        <v>0</v>
      </c>
      <c r="L242" s="93">
        <v>0</v>
      </c>
      <c r="M242" s="94">
        <v>0</v>
      </c>
      <c r="N242" s="93">
        <v>0</v>
      </c>
      <c r="O242" s="93">
        <v>0</v>
      </c>
      <c r="P242" s="94">
        <v>0</v>
      </c>
      <c r="Q242" s="94">
        <v>0</v>
      </c>
      <c r="R242" s="94">
        <v>0</v>
      </c>
      <c r="S242" s="94">
        <v>0</v>
      </c>
      <c r="T242" s="94">
        <v>0</v>
      </c>
      <c r="U242" s="95">
        <v>0</v>
      </c>
      <c r="V242" s="95">
        <v>0</v>
      </c>
      <c r="W242" s="95">
        <v>0</v>
      </c>
      <c r="X242" s="95">
        <v>0</v>
      </c>
      <c r="Y242" s="95">
        <v>0</v>
      </c>
      <c r="Z242" s="95">
        <v>0</v>
      </c>
      <c r="AA242" s="95">
        <v>0</v>
      </c>
      <c r="AB242" s="95">
        <v>0</v>
      </c>
      <c r="AC242" s="95">
        <v>0</v>
      </c>
      <c r="AD242" s="95">
        <v>0</v>
      </c>
      <c r="AE242" s="95">
        <v>0</v>
      </c>
      <c r="AF242" s="95">
        <v>0</v>
      </c>
      <c r="AG242" s="95">
        <v>0</v>
      </c>
      <c r="AH242" s="95">
        <v>0</v>
      </c>
      <c r="AI242" s="95">
        <v>0</v>
      </c>
      <c r="AJ242" s="95">
        <v>0</v>
      </c>
      <c r="AK242" s="95">
        <v>0</v>
      </c>
      <c r="AL242" s="95">
        <v>0</v>
      </c>
      <c r="AM242" s="95">
        <v>0</v>
      </c>
      <c r="AN242" s="97">
        <v>0</v>
      </c>
      <c r="AO242" s="98">
        <f t="shared" si="15"/>
        <v>7841442.3661236474</v>
      </c>
      <c r="AP242" s="1804"/>
      <c r="AQ242" s="1804"/>
      <c r="AR242" s="1804"/>
      <c r="AS242" s="1804"/>
      <c r="AT242" s="1804"/>
      <c r="AU242" s="1804"/>
      <c r="AV242" s="1804"/>
      <c r="AW242" s="1804"/>
      <c r="AX242" s="1804"/>
      <c r="AY242" s="1804"/>
      <c r="AZ242" s="1804"/>
      <c r="BA242" s="1804"/>
      <c r="BB242" s="1804"/>
      <c r="BC242" s="1804"/>
      <c r="BD242" s="1804"/>
      <c r="BE242" s="1804"/>
      <c r="BF242" s="1804"/>
      <c r="BG242" s="1804"/>
      <c r="BH242" s="1804"/>
      <c r="BI242" s="1804"/>
      <c r="BJ242" s="1804"/>
      <c r="BK242" s="1804"/>
      <c r="BL242" s="1804"/>
      <c r="BM242" s="1804"/>
      <c r="BN242" s="1804"/>
      <c r="BO242" s="1804"/>
      <c r="BP242" s="1804"/>
      <c r="BQ242" s="1804"/>
      <c r="BR242" s="1804"/>
      <c r="BS242" s="1804"/>
      <c r="BT242" s="1804"/>
      <c r="BU242" s="1804"/>
      <c r="BV242" s="1804"/>
      <c r="BW242" s="1804"/>
      <c r="BX242" s="1804"/>
      <c r="BY242" s="1804"/>
      <c r="BZ242" s="1804"/>
      <c r="CA242" s="1804"/>
      <c r="CB242" s="1804"/>
      <c r="CC242" s="1804"/>
      <c r="CD242" s="1804"/>
      <c r="CE242" s="1804"/>
      <c r="CF242" s="1804"/>
      <c r="CG242" s="1804"/>
      <c r="CH242" s="1804"/>
      <c r="CI242" s="1804"/>
      <c r="CJ242" s="1804"/>
      <c r="CK242" s="1804"/>
      <c r="CL242" s="1804"/>
      <c r="CM242" s="1804"/>
      <c r="CN242" s="1804"/>
      <c r="CO242" s="1804"/>
      <c r="CP242" s="1804"/>
      <c r="CQ242" s="1804"/>
      <c r="CR242" s="1804"/>
      <c r="CS242" s="1804"/>
      <c r="CT242" s="1804"/>
      <c r="CU242" s="1804"/>
      <c r="CV242" s="1804"/>
      <c r="CW242" s="1804"/>
      <c r="CX242" s="1804"/>
      <c r="CY242" s="1804"/>
      <c r="CZ242" s="1804"/>
      <c r="DA242" s="1804"/>
      <c r="DB242" s="1804"/>
      <c r="DC242" s="1804"/>
      <c r="DD242" s="1804"/>
      <c r="DE242" s="1804"/>
      <c r="DF242" s="1804"/>
      <c r="DG242" s="1804"/>
      <c r="DH242" s="1804"/>
      <c r="DI242" s="1804"/>
      <c r="DJ242" s="1804"/>
      <c r="DK242" s="1804"/>
      <c r="DL242" s="1804"/>
      <c r="DM242" s="1804"/>
      <c r="DN242" s="1804"/>
      <c r="DO242" s="1804"/>
      <c r="DP242" s="1804"/>
      <c r="DQ242" s="1804"/>
      <c r="DR242" s="1804"/>
      <c r="DS242" s="1804"/>
      <c r="DT242" s="1804"/>
      <c r="DU242" s="1804"/>
      <c r="DV242" s="1804"/>
      <c r="DW242" s="1804"/>
      <c r="DX242" s="1804"/>
      <c r="DY242" s="1804"/>
      <c r="DZ242" s="1804"/>
      <c r="EA242" s="1804"/>
      <c r="EB242" s="1804"/>
      <c r="EC242" s="1804"/>
      <c r="ED242" s="1804"/>
      <c r="EE242" s="1804"/>
      <c r="EF242" s="1804"/>
      <c r="EG242" s="1804"/>
      <c r="EH242" s="1804"/>
      <c r="EI242" s="1804"/>
      <c r="EJ242" s="1804"/>
      <c r="EK242" s="1804"/>
      <c r="EL242" s="1804"/>
      <c r="EM242" s="1804"/>
      <c r="EN242" s="1804"/>
      <c r="EO242" s="1804"/>
      <c r="EP242" s="1804"/>
      <c r="EQ242" s="1804"/>
      <c r="ER242" s="1804"/>
      <c r="ES242" s="1804"/>
      <c r="ET242" s="1804"/>
      <c r="EU242" s="1804"/>
      <c r="EV242" s="1804"/>
      <c r="EW242" s="1804"/>
      <c r="EX242" s="1804"/>
      <c r="EY242" s="1804"/>
      <c r="EZ242" s="1804"/>
      <c r="FA242" s="1804"/>
      <c r="FB242" s="1804"/>
      <c r="FC242" s="1804"/>
      <c r="FD242" s="1804"/>
      <c r="FE242" s="1804"/>
      <c r="FF242" s="1804"/>
      <c r="FG242" s="1804"/>
      <c r="FH242" s="1804"/>
      <c r="FI242" s="1804"/>
      <c r="FJ242" s="1804"/>
      <c r="FK242" s="1804"/>
      <c r="FL242" s="1804"/>
      <c r="FM242" s="1804"/>
      <c r="FN242" s="1804"/>
      <c r="FO242" s="1804"/>
      <c r="FP242" s="1804"/>
      <c r="FQ242" s="1804"/>
      <c r="FR242" s="1804"/>
      <c r="FS242" s="1804"/>
      <c r="FT242" s="1804"/>
      <c r="FU242" s="1804"/>
      <c r="FV242" s="1804"/>
      <c r="FW242" s="1804"/>
      <c r="FX242" s="1804"/>
      <c r="FY242" s="1804"/>
      <c r="FZ242" s="1804"/>
      <c r="GA242" s="1804"/>
      <c r="GB242" s="1804"/>
      <c r="GC242" s="1804"/>
      <c r="GD242" s="1804"/>
      <c r="GE242" s="1804"/>
      <c r="GF242" s="1804"/>
      <c r="GG242" s="1804"/>
      <c r="GH242" s="1804"/>
      <c r="GI242" s="1804"/>
      <c r="GJ242" s="1804"/>
      <c r="GK242" s="1804"/>
      <c r="GL242" s="1804"/>
      <c r="GM242" s="1804"/>
      <c r="GN242" s="1804"/>
      <c r="GO242" s="1804"/>
      <c r="GP242" s="1804"/>
      <c r="GQ242" s="1804"/>
      <c r="GR242" s="1804"/>
      <c r="GS242" s="1804"/>
      <c r="GT242" s="1804"/>
      <c r="GU242" s="1804"/>
      <c r="GV242" s="1804"/>
      <c r="GW242" s="1804"/>
      <c r="GX242" s="1804"/>
      <c r="GY242" s="1804"/>
      <c r="GZ242" s="1804"/>
      <c r="HA242" s="1804"/>
      <c r="HB242" s="1804"/>
      <c r="HC242" s="1804"/>
      <c r="HD242" s="1804"/>
      <c r="HE242" s="1804"/>
      <c r="HF242" s="1804"/>
      <c r="HG242" s="1804"/>
      <c r="HH242" s="1804"/>
      <c r="HI242" s="1804"/>
      <c r="HJ242" s="1804"/>
      <c r="HK242" s="1804"/>
      <c r="HL242" s="1804"/>
      <c r="HM242" s="1804"/>
      <c r="HN242" s="1804"/>
      <c r="HO242" s="1804"/>
      <c r="HP242" s="1804"/>
      <c r="HQ242" s="1804"/>
      <c r="HR242" s="1804"/>
      <c r="HS242" s="1804"/>
      <c r="HT242" s="1804"/>
      <c r="HU242" s="1804"/>
      <c r="HV242" s="1804"/>
      <c r="HW242" s="1804"/>
      <c r="HX242" s="1804"/>
      <c r="HY242" s="1804"/>
      <c r="HZ242" s="1804"/>
      <c r="IA242" s="1804"/>
      <c r="IB242" s="1804"/>
      <c r="IC242" s="1804"/>
      <c r="ID242" s="1804"/>
      <c r="IE242" s="1804"/>
      <c r="IF242" s="1804"/>
      <c r="IG242" s="1804"/>
      <c r="IH242" s="1804"/>
      <c r="II242" s="1804"/>
      <c r="IJ242" s="1804"/>
      <c r="IK242" s="1804"/>
      <c r="IL242" s="1804"/>
      <c r="IM242" s="1804"/>
      <c r="IN242" s="1804"/>
      <c r="IO242" s="1804"/>
      <c r="IP242" s="1804"/>
      <c r="IQ242" s="1804"/>
      <c r="IR242" s="1804"/>
      <c r="IS242" s="1804"/>
      <c r="IT242" s="1804"/>
      <c r="IU242" s="1804"/>
      <c r="IV242" s="1804"/>
      <c r="IW242" s="1804"/>
    </row>
    <row r="243" spans="3:257" s="888" customFormat="1" x14ac:dyDescent="0.45">
      <c r="C243" s="67" t="s">
        <v>650</v>
      </c>
      <c r="D243" s="68" t="s">
        <v>651</v>
      </c>
      <c r="E243" s="69"/>
      <c r="F243" s="93">
        <v>0</v>
      </c>
      <c r="G243" s="93">
        <v>0</v>
      </c>
      <c r="H243" s="93">
        <v>0</v>
      </c>
      <c r="I243" s="94">
        <v>0</v>
      </c>
      <c r="J243" s="93">
        <v>0</v>
      </c>
      <c r="K243" s="93">
        <v>0</v>
      </c>
      <c r="L243" s="93">
        <v>0</v>
      </c>
      <c r="M243" s="94">
        <v>0</v>
      </c>
      <c r="N243" s="93">
        <v>0</v>
      </c>
      <c r="O243" s="93">
        <v>0</v>
      </c>
      <c r="P243" s="94">
        <v>0</v>
      </c>
      <c r="Q243" s="94">
        <v>0</v>
      </c>
      <c r="R243" s="94">
        <v>0</v>
      </c>
      <c r="S243" s="94">
        <v>0</v>
      </c>
      <c r="T243" s="94">
        <v>0</v>
      </c>
      <c r="U243" s="95">
        <v>0</v>
      </c>
      <c r="V243" s="95">
        <v>0</v>
      </c>
      <c r="W243" s="95">
        <v>0</v>
      </c>
      <c r="X243" s="95">
        <v>0</v>
      </c>
      <c r="Y243" s="95">
        <v>0</v>
      </c>
      <c r="Z243" s="95">
        <v>0</v>
      </c>
      <c r="AA243" s="95">
        <v>0</v>
      </c>
      <c r="AB243" s="95">
        <v>0</v>
      </c>
      <c r="AC243" s="95">
        <v>0</v>
      </c>
      <c r="AD243" s="95">
        <v>0</v>
      </c>
      <c r="AE243" s="95">
        <v>0</v>
      </c>
      <c r="AF243" s="95">
        <v>0</v>
      </c>
      <c r="AG243" s="95">
        <v>0</v>
      </c>
      <c r="AH243" s="95">
        <v>0</v>
      </c>
      <c r="AI243" s="95">
        <v>0</v>
      </c>
      <c r="AJ243" s="95">
        <v>0</v>
      </c>
      <c r="AK243" s="95">
        <v>0</v>
      </c>
      <c r="AL243" s="95">
        <v>0</v>
      </c>
      <c r="AM243" s="95">
        <v>0</v>
      </c>
      <c r="AN243" s="97">
        <v>0</v>
      </c>
      <c r="AO243" s="98">
        <f t="shared" si="15"/>
        <v>0</v>
      </c>
      <c r="AP243" s="1804"/>
      <c r="AQ243" s="1804"/>
      <c r="AR243" s="1804"/>
      <c r="AS243" s="1804"/>
      <c r="AT243" s="1804"/>
      <c r="AU243" s="1804"/>
      <c r="AV243" s="1804"/>
      <c r="AW243" s="1804"/>
      <c r="AX243" s="1804"/>
      <c r="AY243" s="1804"/>
      <c r="AZ243" s="1804"/>
      <c r="BA243" s="1804"/>
      <c r="BB243" s="1804"/>
      <c r="BC243" s="1804"/>
      <c r="BD243" s="1804"/>
      <c r="BE243" s="1804"/>
      <c r="BF243" s="1804"/>
      <c r="BG243" s="1804"/>
      <c r="BH243" s="1804"/>
      <c r="BI243" s="1804"/>
      <c r="BJ243" s="1804"/>
      <c r="BK243" s="1804"/>
      <c r="BL243" s="1804"/>
      <c r="BM243" s="1804"/>
      <c r="BN243" s="1804"/>
      <c r="BO243" s="1804"/>
      <c r="BP243" s="1804"/>
      <c r="BQ243" s="1804"/>
      <c r="BR243" s="1804"/>
      <c r="BS243" s="1804"/>
      <c r="BT243" s="1804"/>
      <c r="BU243" s="1804"/>
      <c r="BV243" s="1804"/>
      <c r="BW243" s="1804"/>
      <c r="BX243" s="1804"/>
      <c r="BY243" s="1804"/>
      <c r="BZ243" s="1804"/>
      <c r="CA243" s="1804"/>
      <c r="CB243" s="1804"/>
      <c r="CC243" s="1804"/>
      <c r="CD243" s="1804"/>
      <c r="CE243" s="1804"/>
      <c r="CF243" s="1804"/>
      <c r="CG243" s="1804"/>
      <c r="CH243" s="1804"/>
      <c r="CI243" s="1804"/>
      <c r="CJ243" s="1804"/>
      <c r="CK243" s="1804"/>
      <c r="CL243" s="1804"/>
      <c r="CM243" s="1804"/>
      <c r="CN243" s="1804"/>
      <c r="CO243" s="1804"/>
      <c r="CP243" s="1804"/>
      <c r="CQ243" s="1804"/>
      <c r="CR243" s="1804"/>
      <c r="CS243" s="1804"/>
      <c r="CT243" s="1804"/>
      <c r="CU243" s="1804"/>
      <c r="CV243" s="1804"/>
      <c r="CW243" s="1804"/>
      <c r="CX243" s="1804"/>
      <c r="CY243" s="1804"/>
      <c r="CZ243" s="1804"/>
      <c r="DA243" s="1804"/>
      <c r="DB243" s="1804"/>
      <c r="DC243" s="1804"/>
      <c r="DD243" s="1804"/>
      <c r="DE243" s="1804"/>
      <c r="DF243" s="1804"/>
      <c r="DG243" s="1804"/>
      <c r="DH243" s="1804"/>
      <c r="DI243" s="1804"/>
      <c r="DJ243" s="1804"/>
      <c r="DK243" s="1804"/>
      <c r="DL243" s="1804"/>
      <c r="DM243" s="1804"/>
      <c r="DN243" s="1804"/>
      <c r="DO243" s="1804"/>
      <c r="DP243" s="1804"/>
      <c r="DQ243" s="1804"/>
      <c r="DR243" s="1804"/>
      <c r="DS243" s="1804"/>
      <c r="DT243" s="1804"/>
      <c r="DU243" s="1804"/>
      <c r="DV243" s="1804"/>
      <c r="DW243" s="1804"/>
      <c r="DX243" s="1804"/>
      <c r="DY243" s="1804"/>
      <c r="DZ243" s="1804"/>
      <c r="EA243" s="1804"/>
      <c r="EB243" s="1804"/>
      <c r="EC243" s="1804"/>
      <c r="ED243" s="1804"/>
      <c r="EE243" s="1804"/>
      <c r="EF243" s="1804"/>
      <c r="EG243" s="1804"/>
      <c r="EH243" s="1804"/>
      <c r="EI243" s="1804"/>
      <c r="EJ243" s="1804"/>
      <c r="EK243" s="1804"/>
      <c r="EL243" s="1804"/>
      <c r="EM243" s="1804"/>
      <c r="EN243" s="1804"/>
      <c r="EO243" s="1804"/>
      <c r="EP243" s="1804"/>
      <c r="EQ243" s="1804"/>
      <c r="ER243" s="1804"/>
      <c r="ES243" s="1804"/>
      <c r="ET243" s="1804"/>
      <c r="EU243" s="1804"/>
      <c r="EV243" s="1804"/>
      <c r="EW243" s="1804"/>
      <c r="EX243" s="1804"/>
      <c r="EY243" s="1804"/>
      <c r="EZ243" s="1804"/>
      <c r="FA243" s="1804"/>
      <c r="FB243" s="1804"/>
      <c r="FC243" s="1804"/>
      <c r="FD243" s="1804"/>
      <c r="FE243" s="1804"/>
      <c r="FF243" s="1804"/>
      <c r="FG243" s="1804"/>
      <c r="FH243" s="1804"/>
      <c r="FI243" s="1804"/>
      <c r="FJ243" s="1804"/>
      <c r="FK243" s="1804"/>
      <c r="FL243" s="1804"/>
      <c r="FM243" s="1804"/>
      <c r="FN243" s="1804"/>
      <c r="FO243" s="1804"/>
      <c r="FP243" s="1804"/>
      <c r="FQ243" s="1804"/>
      <c r="FR243" s="1804"/>
      <c r="FS243" s="1804"/>
      <c r="FT243" s="1804"/>
      <c r="FU243" s="1804"/>
      <c r="FV243" s="1804"/>
      <c r="FW243" s="1804"/>
      <c r="FX243" s="1804"/>
      <c r="FY243" s="1804"/>
      <c r="FZ243" s="1804"/>
      <c r="GA243" s="1804"/>
      <c r="GB243" s="1804"/>
      <c r="GC243" s="1804"/>
      <c r="GD243" s="1804"/>
      <c r="GE243" s="1804"/>
      <c r="GF243" s="1804"/>
      <c r="GG243" s="1804"/>
      <c r="GH243" s="1804"/>
      <c r="GI243" s="1804"/>
      <c r="GJ243" s="1804"/>
      <c r="GK243" s="1804"/>
      <c r="GL243" s="1804"/>
      <c r="GM243" s="1804"/>
      <c r="GN243" s="1804"/>
      <c r="GO243" s="1804"/>
      <c r="GP243" s="1804"/>
      <c r="GQ243" s="1804"/>
      <c r="GR243" s="1804"/>
      <c r="GS243" s="1804"/>
      <c r="GT243" s="1804"/>
      <c r="GU243" s="1804"/>
      <c r="GV243" s="1804"/>
      <c r="GW243" s="1804"/>
      <c r="GX243" s="1804"/>
      <c r="GY243" s="1804"/>
      <c r="GZ243" s="1804"/>
      <c r="HA243" s="1804"/>
      <c r="HB243" s="1804"/>
      <c r="HC243" s="1804"/>
      <c r="HD243" s="1804"/>
      <c r="HE243" s="1804"/>
      <c r="HF243" s="1804"/>
      <c r="HG243" s="1804"/>
      <c r="HH243" s="1804"/>
      <c r="HI243" s="1804"/>
      <c r="HJ243" s="1804"/>
      <c r="HK243" s="1804"/>
      <c r="HL243" s="1804"/>
      <c r="HM243" s="1804"/>
      <c r="HN243" s="1804"/>
      <c r="HO243" s="1804"/>
      <c r="HP243" s="1804"/>
      <c r="HQ243" s="1804"/>
      <c r="HR243" s="1804"/>
      <c r="HS243" s="1804"/>
      <c r="HT243" s="1804"/>
      <c r="HU243" s="1804"/>
      <c r="HV243" s="1804"/>
      <c r="HW243" s="1804"/>
      <c r="HX243" s="1804"/>
      <c r="HY243" s="1804"/>
      <c r="HZ243" s="1804"/>
      <c r="IA243" s="1804"/>
      <c r="IB243" s="1804"/>
      <c r="IC243" s="1804"/>
      <c r="ID243" s="1804"/>
      <c r="IE243" s="1804"/>
      <c r="IF243" s="1804"/>
      <c r="IG243" s="1804"/>
      <c r="IH243" s="1804"/>
      <c r="II243" s="1804"/>
      <c r="IJ243" s="1804"/>
      <c r="IK243" s="1804"/>
      <c r="IL243" s="1804"/>
      <c r="IM243" s="1804"/>
      <c r="IN243" s="1804"/>
      <c r="IO243" s="1804"/>
      <c r="IP243" s="1804"/>
      <c r="IQ243" s="1804"/>
      <c r="IR243" s="1804"/>
      <c r="IS243" s="1804"/>
      <c r="IT243" s="1804"/>
      <c r="IU243" s="1804"/>
      <c r="IV243" s="1804"/>
      <c r="IW243" s="1804"/>
    </row>
    <row r="244" spans="3:257" s="888" customFormat="1" x14ac:dyDescent="0.45">
      <c r="C244" s="67" t="s">
        <v>549</v>
      </c>
      <c r="D244" s="68" t="s">
        <v>652</v>
      </c>
      <c r="E244" s="69"/>
      <c r="F244" s="93">
        <v>0</v>
      </c>
      <c r="G244" s="93">
        <v>0</v>
      </c>
      <c r="H244" s="93">
        <v>0</v>
      </c>
      <c r="I244" s="94">
        <v>0</v>
      </c>
      <c r="J244" s="93">
        <v>0</v>
      </c>
      <c r="K244" s="93">
        <v>0</v>
      </c>
      <c r="L244" s="93">
        <v>0</v>
      </c>
      <c r="M244" s="94">
        <v>0</v>
      </c>
      <c r="N244" s="93">
        <v>0</v>
      </c>
      <c r="O244" s="93">
        <v>0</v>
      </c>
      <c r="P244" s="94">
        <v>0</v>
      </c>
      <c r="Q244" s="94">
        <v>0</v>
      </c>
      <c r="R244" s="94">
        <v>0</v>
      </c>
      <c r="S244" s="94">
        <v>0</v>
      </c>
      <c r="T244" s="94">
        <v>0</v>
      </c>
      <c r="U244" s="95">
        <v>0</v>
      </c>
      <c r="V244" s="95">
        <v>0</v>
      </c>
      <c r="W244" s="95">
        <v>0</v>
      </c>
      <c r="X244" s="95">
        <v>0</v>
      </c>
      <c r="Y244" s="95">
        <v>0</v>
      </c>
      <c r="Z244" s="95">
        <v>0</v>
      </c>
      <c r="AA244" s="95">
        <v>0</v>
      </c>
      <c r="AB244" s="95">
        <v>0</v>
      </c>
      <c r="AC244" s="95">
        <v>0</v>
      </c>
      <c r="AD244" s="95">
        <v>0</v>
      </c>
      <c r="AE244" s="95">
        <v>0</v>
      </c>
      <c r="AF244" s="95">
        <v>0</v>
      </c>
      <c r="AG244" s="95">
        <v>0</v>
      </c>
      <c r="AH244" s="95">
        <v>0</v>
      </c>
      <c r="AI244" s="95">
        <v>0</v>
      </c>
      <c r="AJ244" s="95">
        <v>0</v>
      </c>
      <c r="AK244" s="95">
        <v>0</v>
      </c>
      <c r="AL244" s="95">
        <v>0</v>
      </c>
      <c r="AM244" s="95">
        <v>0</v>
      </c>
      <c r="AN244" s="97">
        <v>0</v>
      </c>
      <c r="AO244" s="98">
        <f t="shared" si="15"/>
        <v>0</v>
      </c>
      <c r="AP244" s="1804"/>
      <c r="AQ244" s="1804"/>
      <c r="AR244" s="1804"/>
      <c r="AS244" s="1804"/>
      <c r="AT244" s="1804"/>
      <c r="AU244" s="1804"/>
      <c r="AV244" s="1804"/>
      <c r="AW244" s="1804"/>
      <c r="AX244" s="1804"/>
      <c r="AY244" s="1804"/>
      <c r="AZ244" s="1804"/>
      <c r="BA244" s="1804"/>
      <c r="BB244" s="1804"/>
      <c r="BC244" s="1804"/>
      <c r="BD244" s="1804"/>
      <c r="BE244" s="1804"/>
      <c r="BF244" s="1804"/>
      <c r="BG244" s="1804"/>
      <c r="BH244" s="1804"/>
      <c r="BI244" s="1804"/>
      <c r="BJ244" s="1804"/>
      <c r="BK244" s="1804"/>
      <c r="BL244" s="1804"/>
      <c r="BM244" s="1804"/>
      <c r="BN244" s="1804"/>
      <c r="BO244" s="1804"/>
      <c r="BP244" s="1804"/>
      <c r="BQ244" s="1804"/>
      <c r="BR244" s="1804"/>
      <c r="BS244" s="1804"/>
      <c r="BT244" s="1804"/>
      <c r="BU244" s="1804"/>
      <c r="BV244" s="1804"/>
      <c r="BW244" s="1804"/>
      <c r="BX244" s="1804"/>
      <c r="BY244" s="1804"/>
      <c r="BZ244" s="1804"/>
      <c r="CA244" s="1804"/>
      <c r="CB244" s="1804"/>
      <c r="CC244" s="1804"/>
      <c r="CD244" s="1804"/>
      <c r="CE244" s="1804"/>
      <c r="CF244" s="1804"/>
      <c r="CG244" s="1804"/>
      <c r="CH244" s="1804"/>
      <c r="CI244" s="1804"/>
      <c r="CJ244" s="1804"/>
      <c r="CK244" s="1804"/>
      <c r="CL244" s="1804"/>
      <c r="CM244" s="1804"/>
      <c r="CN244" s="1804"/>
      <c r="CO244" s="1804"/>
      <c r="CP244" s="1804"/>
      <c r="CQ244" s="1804"/>
      <c r="CR244" s="1804"/>
      <c r="CS244" s="1804"/>
      <c r="CT244" s="1804"/>
      <c r="CU244" s="1804"/>
      <c r="CV244" s="1804"/>
      <c r="CW244" s="1804"/>
      <c r="CX244" s="1804"/>
      <c r="CY244" s="1804"/>
      <c r="CZ244" s="1804"/>
      <c r="DA244" s="1804"/>
      <c r="DB244" s="1804"/>
      <c r="DC244" s="1804"/>
      <c r="DD244" s="1804"/>
      <c r="DE244" s="1804"/>
      <c r="DF244" s="1804"/>
      <c r="DG244" s="1804"/>
      <c r="DH244" s="1804"/>
      <c r="DI244" s="1804"/>
      <c r="DJ244" s="1804"/>
      <c r="DK244" s="1804"/>
      <c r="DL244" s="1804"/>
      <c r="DM244" s="1804"/>
      <c r="DN244" s="1804"/>
      <c r="DO244" s="1804"/>
      <c r="DP244" s="1804"/>
      <c r="DQ244" s="1804"/>
      <c r="DR244" s="1804"/>
      <c r="DS244" s="1804"/>
      <c r="DT244" s="1804"/>
      <c r="DU244" s="1804"/>
      <c r="DV244" s="1804"/>
      <c r="DW244" s="1804"/>
      <c r="DX244" s="1804"/>
      <c r="DY244" s="1804"/>
      <c r="DZ244" s="1804"/>
      <c r="EA244" s="1804"/>
      <c r="EB244" s="1804"/>
      <c r="EC244" s="1804"/>
      <c r="ED244" s="1804"/>
      <c r="EE244" s="1804"/>
      <c r="EF244" s="1804"/>
      <c r="EG244" s="1804"/>
      <c r="EH244" s="1804"/>
      <c r="EI244" s="1804"/>
      <c r="EJ244" s="1804"/>
      <c r="EK244" s="1804"/>
      <c r="EL244" s="1804"/>
      <c r="EM244" s="1804"/>
      <c r="EN244" s="1804"/>
      <c r="EO244" s="1804"/>
      <c r="EP244" s="1804"/>
      <c r="EQ244" s="1804"/>
      <c r="ER244" s="1804"/>
      <c r="ES244" s="1804"/>
      <c r="ET244" s="1804"/>
      <c r="EU244" s="1804"/>
      <c r="EV244" s="1804"/>
      <c r="EW244" s="1804"/>
      <c r="EX244" s="1804"/>
      <c r="EY244" s="1804"/>
      <c r="EZ244" s="1804"/>
      <c r="FA244" s="1804"/>
      <c r="FB244" s="1804"/>
      <c r="FC244" s="1804"/>
      <c r="FD244" s="1804"/>
      <c r="FE244" s="1804"/>
      <c r="FF244" s="1804"/>
      <c r="FG244" s="1804"/>
      <c r="FH244" s="1804"/>
      <c r="FI244" s="1804"/>
      <c r="FJ244" s="1804"/>
      <c r="FK244" s="1804"/>
      <c r="FL244" s="1804"/>
      <c r="FM244" s="1804"/>
      <c r="FN244" s="1804"/>
      <c r="FO244" s="1804"/>
      <c r="FP244" s="1804"/>
      <c r="FQ244" s="1804"/>
      <c r="FR244" s="1804"/>
      <c r="FS244" s="1804"/>
      <c r="FT244" s="1804"/>
      <c r="FU244" s="1804"/>
      <c r="FV244" s="1804"/>
      <c r="FW244" s="1804"/>
      <c r="FX244" s="1804"/>
      <c r="FY244" s="1804"/>
      <c r="FZ244" s="1804"/>
      <c r="GA244" s="1804"/>
      <c r="GB244" s="1804"/>
      <c r="GC244" s="1804"/>
      <c r="GD244" s="1804"/>
      <c r="GE244" s="1804"/>
      <c r="GF244" s="1804"/>
      <c r="GG244" s="1804"/>
      <c r="GH244" s="1804"/>
      <c r="GI244" s="1804"/>
      <c r="GJ244" s="1804"/>
      <c r="GK244" s="1804"/>
      <c r="GL244" s="1804"/>
      <c r="GM244" s="1804"/>
      <c r="GN244" s="1804"/>
      <c r="GO244" s="1804"/>
      <c r="GP244" s="1804"/>
      <c r="GQ244" s="1804"/>
      <c r="GR244" s="1804"/>
      <c r="GS244" s="1804"/>
      <c r="GT244" s="1804"/>
      <c r="GU244" s="1804"/>
      <c r="GV244" s="1804"/>
      <c r="GW244" s="1804"/>
      <c r="GX244" s="1804"/>
      <c r="GY244" s="1804"/>
      <c r="GZ244" s="1804"/>
      <c r="HA244" s="1804"/>
      <c r="HB244" s="1804"/>
      <c r="HC244" s="1804"/>
      <c r="HD244" s="1804"/>
      <c r="HE244" s="1804"/>
      <c r="HF244" s="1804"/>
      <c r="HG244" s="1804"/>
      <c r="HH244" s="1804"/>
      <c r="HI244" s="1804"/>
      <c r="HJ244" s="1804"/>
      <c r="HK244" s="1804"/>
      <c r="HL244" s="1804"/>
      <c r="HM244" s="1804"/>
      <c r="HN244" s="1804"/>
      <c r="HO244" s="1804"/>
      <c r="HP244" s="1804"/>
      <c r="HQ244" s="1804"/>
      <c r="HR244" s="1804"/>
      <c r="HS244" s="1804"/>
      <c r="HT244" s="1804"/>
      <c r="HU244" s="1804"/>
      <c r="HV244" s="1804"/>
      <c r="HW244" s="1804"/>
      <c r="HX244" s="1804"/>
      <c r="HY244" s="1804"/>
      <c r="HZ244" s="1804"/>
      <c r="IA244" s="1804"/>
      <c r="IB244" s="1804"/>
      <c r="IC244" s="1804"/>
      <c r="ID244" s="1804"/>
      <c r="IE244" s="1804"/>
      <c r="IF244" s="1804"/>
      <c r="IG244" s="1804"/>
      <c r="IH244" s="1804"/>
      <c r="II244" s="1804"/>
      <c r="IJ244" s="1804"/>
      <c r="IK244" s="1804"/>
      <c r="IL244" s="1804"/>
      <c r="IM244" s="1804"/>
      <c r="IN244" s="1804"/>
      <c r="IO244" s="1804"/>
      <c r="IP244" s="1804"/>
      <c r="IQ244" s="1804"/>
      <c r="IR244" s="1804"/>
      <c r="IS244" s="1804"/>
      <c r="IT244" s="1804"/>
      <c r="IU244" s="1804"/>
      <c r="IV244" s="1804"/>
      <c r="IW244" s="1804"/>
    </row>
    <row r="245" spans="3:257" s="888" customFormat="1" x14ac:dyDescent="0.45">
      <c r="C245" s="67" t="s">
        <v>550</v>
      </c>
      <c r="D245" s="68" t="s">
        <v>653</v>
      </c>
      <c r="E245" s="69"/>
      <c r="F245" s="93">
        <v>0</v>
      </c>
      <c r="G245" s="93">
        <v>0</v>
      </c>
      <c r="H245" s="93">
        <v>0</v>
      </c>
      <c r="I245" s="94">
        <v>0</v>
      </c>
      <c r="J245" s="93">
        <v>0</v>
      </c>
      <c r="K245" s="93">
        <v>0</v>
      </c>
      <c r="L245" s="93">
        <v>0</v>
      </c>
      <c r="M245" s="94">
        <v>0</v>
      </c>
      <c r="N245" s="93">
        <v>0</v>
      </c>
      <c r="O245" s="93">
        <v>0</v>
      </c>
      <c r="P245" s="94">
        <v>0</v>
      </c>
      <c r="Q245" s="94">
        <v>0</v>
      </c>
      <c r="R245" s="94">
        <v>0</v>
      </c>
      <c r="S245" s="94">
        <v>3.0507798632674676</v>
      </c>
      <c r="T245" s="94">
        <v>0</v>
      </c>
      <c r="U245" s="95">
        <v>0</v>
      </c>
      <c r="V245" s="95">
        <v>0</v>
      </c>
      <c r="W245" s="95">
        <v>0</v>
      </c>
      <c r="X245" s="95">
        <v>0</v>
      </c>
      <c r="Y245" s="95">
        <v>0</v>
      </c>
      <c r="Z245" s="95">
        <v>0</v>
      </c>
      <c r="AA245" s="95">
        <v>0</v>
      </c>
      <c r="AB245" s="95">
        <v>0</v>
      </c>
      <c r="AC245" s="95">
        <v>0</v>
      </c>
      <c r="AD245" s="95">
        <v>0</v>
      </c>
      <c r="AE245" s="95">
        <v>0</v>
      </c>
      <c r="AF245" s="95">
        <v>0</v>
      </c>
      <c r="AG245" s="95">
        <v>0</v>
      </c>
      <c r="AH245" s="95">
        <v>0</v>
      </c>
      <c r="AI245" s="95">
        <v>0</v>
      </c>
      <c r="AJ245" s="95">
        <v>0</v>
      </c>
      <c r="AK245" s="95">
        <v>0</v>
      </c>
      <c r="AL245" s="95">
        <v>0</v>
      </c>
      <c r="AM245" s="95">
        <v>0</v>
      </c>
      <c r="AN245" s="97">
        <v>0</v>
      </c>
      <c r="AO245" s="98">
        <f t="shared" si="15"/>
        <v>39165.911884627749</v>
      </c>
      <c r="AP245" s="1804"/>
      <c r="AQ245" s="1804"/>
      <c r="AR245" s="1804"/>
      <c r="AS245" s="1804"/>
      <c r="AT245" s="1804"/>
      <c r="AU245" s="1804"/>
      <c r="AV245" s="1804"/>
      <c r="AW245" s="1804"/>
      <c r="AX245" s="1804"/>
      <c r="AY245" s="1804"/>
      <c r="AZ245" s="1804"/>
      <c r="BA245" s="1804"/>
      <c r="BB245" s="1804"/>
      <c r="BC245" s="1804"/>
      <c r="BD245" s="1804"/>
      <c r="BE245" s="1804"/>
      <c r="BF245" s="1804"/>
      <c r="BG245" s="1804"/>
      <c r="BH245" s="1804"/>
      <c r="BI245" s="1804"/>
      <c r="BJ245" s="1804"/>
      <c r="BK245" s="1804"/>
      <c r="BL245" s="1804"/>
      <c r="BM245" s="1804"/>
      <c r="BN245" s="1804"/>
      <c r="BO245" s="1804"/>
      <c r="BP245" s="1804"/>
      <c r="BQ245" s="1804"/>
      <c r="BR245" s="1804"/>
      <c r="BS245" s="1804"/>
      <c r="BT245" s="1804"/>
      <c r="BU245" s="1804"/>
      <c r="BV245" s="1804"/>
      <c r="BW245" s="1804"/>
      <c r="BX245" s="1804"/>
      <c r="BY245" s="1804"/>
      <c r="BZ245" s="1804"/>
      <c r="CA245" s="1804"/>
      <c r="CB245" s="1804"/>
      <c r="CC245" s="1804"/>
      <c r="CD245" s="1804"/>
      <c r="CE245" s="1804"/>
      <c r="CF245" s="1804"/>
      <c r="CG245" s="1804"/>
      <c r="CH245" s="1804"/>
      <c r="CI245" s="1804"/>
      <c r="CJ245" s="1804"/>
      <c r="CK245" s="1804"/>
      <c r="CL245" s="1804"/>
      <c r="CM245" s="1804"/>
      <c r="CN245" s="1804"/>
      <c r="CO245" s="1804"/>
      <c r="CP245" s="1804"/>
      <c r="CQ245" s="1804"/>
      <c r="CR245" s="1804"/>
      <c r="CS245" s="1804"/>
      <c r="CT245" s="1804"/>
      <c r="CU245" s="1804"/>
      <c r="CV245" s="1804"/>
      <c r="CW245" s="1804"/>
      <c r="CX245" s="1804"/>
      <c r="CY245" s="1804"/>
      <c r="CZ245" s="1804"/>
      <c r="DA245" s="1804"/>
      <c r="DB245" s="1804"/>
      <c r="DC245" s="1804"/>
      <c r="DD245" s="1804"/>
      <c r="DE245" s="1804"/>
      <c r="DF245" s="1804"/>
      <c r="DG245" s="1804"/>
      <c r="DH245" s="1804"/>
      <c r="DI245" s="1804"/>
      <c r="DJ245" s="1804"/>
      <c r="DK245" s="1804"/>
      <c r="DL245" s="1804"/>
      <c r="DM245" s="1804"/>
      <c r="DN245" s="1804"/>
      <c r="DO245" s="1804"/>
      <c r="DP245" s="1804"/>
      <c r="DQ245" s="1804"/>
      <c r="DR245" s="1804"/>
      <c r="DS245" s="1804"/>
      <c r="DT245" s="1804"/>
      <c r="DU245" s="1804"/>
      <c r="DV245" s="1804"/>
      <c r="DW245" s="1804"/>
      <c r="DX245" s="1804"/>
      <c r="DY245" s="1804"/>
      <c r="DZ245" s="1804"/>
      <c r="EA245" s="1804"/>
      <c r="EB245" s="1804"/>
      <c r="EC245" s="1804"/>
      <c r="ED245" s="1804"/>
      <c r="EE245" s="1804"/>
      <c r="EF245" s="1804"/>
      <c r="EG245" s="1804"/>
      <c r="EH245" s="1804"/>
      <c r="EI245" s="1804"/>
      <c r="EJ245" s="1804"/>
      <c r="EK245" s="1804"/>
      <c r="EL245" s="1804"/>
      <c r="EM245" s="1804"/>
      <c r="EN245" s="1804"/>
      <c r="EO245" s="1804"/>
      <c r="EP245" s="1804"/>
      <c r="EQ245" s="1804"/>
      <c r="ER245" s="1804"/>
      <c r="ES245" s="1804"/>
      <c r="ET245" s="1804"/>
      <c r="EU245" s="1804"/>
      <c r="EV245" s="1804"/>
      <c r="EW245" s="1804"/>
      <c r="EX245" s="1804"/>
      <c r="EY245" s="1804"/>
      <c r="EZ245" s="1804"/>
      <c r="FA245" s="1804"/>
      <c r="FB245" s="1804"/>
      <c r="FC245" s="1804"/>
      <c r="FD245" s="1804"/>
      <c r="FE245" s="1804"/>
      <c r="FF245" s="1804"/>
      <c r="FG245" s="1804"/>
      <c r="FH245" s="1804"/>
      <c r="FI245" s="1804"/>
      <c r="FJ245" s="1804"/>
      <c r="FK245" s="1804"/>
      <c r="FL245" s="1804"/>
      <c r="FM245" s="1804"/>
      <c r="FN245" s="1804"/>
      <c r="FO245" s="1804"/>
      <c r="FP245" s="1804"/>
      <c r="FQ245" s="1804"/>
      <c r="FR245" s="1804"/>
      <c r="FS245" s="1804"/>
      <c r="FT245" s="1804"/>
      <c r="FU245" s="1804"/>
      <c r="FV245" s="1804"/>
      <c r="FW245" s="1804"/>
      <c r="FX245" s="1804"/>
      <c r="FY245" s="1804"/>
      <c r="FZ245" s="1804"/>
      <c r="GA245" s="1804"/>
      <c r="GB245" s="1804"/>
      <c r="GC245" s="1804"/>
      <c r="GD245" s="1804"/>
      <c r="GE245" s="1804"/>
      <c r="GF245" s="1804"/>
      <c r="GG245" s="1804"/>
      <c r="GH245" s="1804"/>
      <c r="GI245" s="1804"/>
      <c r="GJ245" s="1804"/>
      <c r="GK245" s="1804"/>
      <c r="GL245" s="1804"/>
      <c r="GM245" s="1804"/>
      <c r="GN245" s="1804"/>
      <c r="GO245" s="1804"/>
      <c r="GP245" s="1804"/>
      <c r="GQ245" s="1804"/>
      <c r="GR245" s="1804"/>
      <c r="GS245" s="1804"/>
      <c r="GT245" s="1804"/>
      <c r="GU245" s="1804"/>
      <c r="GV245" s="1804"/>
      <c r="GW245" s="1804"/>
      <c r="GX245" s="1804"/>
      <c r="GY245" s="1804"/>
      <c r="GZ245" s="1804"/>
      <c r="HA245" s="1804"/>
      <c r="HB245" s="1804"/>
      <c r="HC245" s="1804"/>
      <c r="HD245" s="1804"/>
      <c r="HE245" s="1804"/>
      <c r="HF245" s="1804"/>
      <c r="HG245" s="1804"/>
      <c r="HH245" s="1804"/>
      <c r="HI245" s="1804"/>
      <c r="HJ245" s="1804"/>
      <c r="HK245" s="1804"/>
      <c r="HL245" s="1804"/>
      <c r="HM245" s="1804"/>
      <c r="HN245" s="1804"/>
      <c r="HO245" s="1804"/>
      <c r="HP245" s="1804"/>
      <c r="HQ245" s="1804"/>
      <c r="HR245" s="1804"/>
      <c r="HS245" s="1804"/>
      <c r="HT245" s="1804"/>
      <c r="HU245" s="1804"/>
      <c r="HV245" s="1804"/>
      <c r="HW245" s="1804"/>
      <c r="HX245" s="1804"/>
      <c r="HY245" s="1804"/>
      <c r="HZ245" s="1804"/>
      <c r="IA245" s="1804"/>
      <c r="IB245" s="1804"/>
      <c r="IC245" s="1804"/>
      <c r="ID245" s="1804"/>
      <c r="IE245" s="1804"/>
      <c r="IF245" s="1804"/>
      <c r="IG245" s="1804"/>
      <c r="IH245" s="1804"/>
      <c r="II245" s="1804"/>
      <c r="IJ245" s="1804"/>
      <c r="IK245" s="1804"/>
      <c r="IL245" s="1804"/>
      <c r="IM245" s="1804"/>
      <c r="IN245" s="1804"/>
      <c r="IO245" s="1804"/>
      <c r="IP245" s="1804"/>
      <c r="IQ245" s="1804"/>
      <c r="IR245" s="1804"/>
      <c r="IS245" s="1804"/>
      <c r="IT245" s="1804"/>
      <c r="IU245" s="1804"/>
      <c r="IV245" s="1804"/>
      <c r="IW245" s="1804"/>
    </row>
    <row r="246" spans="3:257" s="888" customFormat="1" x14ac:dyDescent="0.45">
      <c r="C246" s="67" t="s">
        <v>551</v>
      </c>
      <c r="D246" s="68" t="s">
        <v>654</v>
      </c>
      <c r="E246" s="69"/>
      <c r="F246" s="93">
        <v>0</v>
      </c>
      <c r="G246" s="93">
        <v>0</v>
      </c>
      <c r="H246" s="93">
        <v>0</v>
      </c>
      <c r="I246" s="94">
        <v>0</v>
      </c>
      <c r="J246" s="93">
        <v>0</v>
      </c>
      <c r="K246" s="93">
        <v>0</v>
      </c>
      <c r="L246" s="93">
        <v>0</v>
      </c>
      <c r="M246" s="94">
        <v>0</v>
      </c>
      <c r="N246" s="93">
        <v>0</v>
      </c>
      <c r="O246" s="93">
        <v>0</v>
      </c>
      <c r="P246" s="94">
        <v>0</v>
      </c>
      <c r="Q246" s="94">
        <v>0</v>
      </c>
      <c r="R246" s="94">
        <v>0</v>
      </c>
      <c r="S246" s="94">
        <v>0</v>
      </c>
      <c r="T246" s="94">
        <v>0</v>
      </c>
      <c r="U246" s="95">
        <v>0</v>
      </c>
      <c r="V246" s="95">
        <v>0</v>
      </c>
      <c r="W246" s="95">
        <v>0</v>
      </c>
      <c r="X246" s="95">
        <v>0</v>
      </c>
      <c r="Y246" s="95">
        <v>0</v>
      </c>
      <c r="Z246" s="95">
        <v>0</v>
      </c>
      <c r="AA246" s="95">
        <v>0</v>
      </c>
      <c r="AB246" s="95">
        <v>0</v>
      </c>
      <c r="AC246" s="95">
        <v>0</v>
      </c>
      <c r="AD246" s="95">
        <v>0</v>
      </c>
      <c r="AE246" s="95">
        <v>0</v>
      </c>
      <c r="AF246" s="95">
        <v>0</v>
      </c>
      <c r="AG246" s="95">
        <v>0</v>
      </c>
      <c r="AH246" s="95">
        <v>0</v>
      </c>
      <c r="AI246" s="95">
        <v>0</v>
      </c>
      <c r="AJ246" s="95">
        <v>0</v>
      </c>
      <c r="AK246" s="95">
        <v>0</v>
      </c>
      <c r="AL246" s="95">
        <v>0</v>
      </c>
      <c r="AM246" s="95">
        <v>0</v>
      </c>
      <c r="AN246" s="97">
        <v>0</v>
      </c>
      <c r="AO246" s="98">
        <f t="shared" si="15"/>
        <v>0</v>
      </c>
      <c r="AP246" s="1804"/>
      <c r="AQ246" s="1804"/>
      <c r="AR246" s="1804"/>
      <c r="AS246" s="1804"/>
      <c r="AT246" s="1804"/>
      <c r="AU246" s="1804"/>
      <c r="AV246" s="1804"/>
      <c r="AW246" s="1804"/>
      <c r="AX246" s="1804"/>
      <c r="AY246" s="1804"/>
      <c r="AZ246" s="1804"/>
      <c r="BA246" s="1804"/>
      <c r="BB246" s="1804"/>
      <c r="BC246" s="1804"/>
      <c r="BD246" s="1804"/>
      <c r="BE246" s="1804"/>
      <c r="BF246" s="1804"/>
      <c r="BG246" s="1804"/>
      <c r="BH246" s="1804"/>
      <c r="BI246" s="1804"/>
      <c r="BJ246" s="1804"/>
      <c r="BK246" s="1804"/>
      <c r="BL246" s="1804"/>
      <c r="BM246" s="1804"/>
      <c r="BN246" s="1804"/>
      <c r="BO246" s="1804"/>
      <c r="BP246" s="1804"/>
      <c r="BQ246" s="1804"/>
      <c r="BR246" s="1804"/>
      <c r="BS246" s="1804"/>
      <c r="BT246" s="1804"/>
      <c r="BU246" s="1804"/>
      <c r="BV246" s="1804"/>
      <c r="BW246" s="1804"/>
      <c r="BX246" s="1804"/>
      <c r="BY246" s="1804"/>
      <c r="BZ246" s="1804"/>
      <c r="CA246" s="1804"/>
      <c r="CB246" s="1804"/>
      <c r="CC246" s="1804"/>
      <c r="CD246" s="1804"/>
      <c r="CE246" s="1804"/>
      <c r="CF246" s="1804"/>
      <c r="CG246" s="1804"/>
      <c r="CH246" s="1804"/>
      <c r="CI246" s="1804"/>
      <c r="CJ246" s="1804"/>
      <c r="CK246" s="1804"/>
      <c r="CL246" s="1804"/>
      <c r="CM246" s="1804"/>
      <c r="CN246" s="1804"/>
      <c r="CO246" s="1804"/>
      <c r="CP246" s="1804"/>
      <c r="CQ246" s="1804"/>
      <c r="CR246" s="1804"/>
      <c r="CS246" s="1804"/>
      <c r="CT246" s="1804"/>
      <c r="CU246" s="1804"/>
      <c r="CV246" s="1804"/>
      <c r="CW246" s="1804"/>
      <c r="CX246" s="1804"/>
      <c r="CY246" s="1804"/>
      <c r="CZ246" s="1804"/>
      <c r="DA246" s="1804"/>
      <c r="DB246" s="1804"/>
      <c r="DC246" s="1804"/>
      <c r="DD246" s="1804"/>
      <c r="DE246" s="1804"/>
      <c r="DF246" s="1804"/>
      <c r="DG246" s="1804"/>
      <c r="DH246" s="1804"/>
      <c r="DI246" s="1804"/>
      <c r="DJ246" s="1804"/>
      <c r="DK246" s="1804"/>
      <c r="DL246" s="1804"/>
      <c r="DM246" s="1804"/>
      <c r="DN246" s="1804"/>
      <c r="DO246" s="1804"/>
      <c r="DP246" s="1804"/>
      <c r="DQ246" s="1804"/>
      <c r="DR246" s="1804"/>
      <c r="DS246" s="1804"/>
      <c r="DT246" s="1804"/>
      <c r="DU246" s="1804"/>
      <c r="DV246" s="1804"/>
      <c r="DW246" s="1804"/>
      <c r="DX246" s="1804"/>
      <c r="DY246" s="1804"/>
      <c r="DZ246" s="1804"/>
      <c r="EA246" s="1804"/>
      <c r="EB246" s="1804"/>
      <c r="EC246" s="1804"/>
      <c r="ED246" s="1804"/>
      <c r="EE246" s="1804"/>
      <c r="EF246" s="1804"/>
      <c r="EG246" s="1804"/>
      <c r="EH246" s="1804"/>
      <c r="EI246" s="1804"/>
      <c r="EJ246" s="1804"/>
      <c r="EK246" s="1804"/>
      <c r="EL246" s="1804"/>
      <c r="EM246" s="1804"/>
      <c r="EN246" s="1804"/>
      <c r="EO246" s="1804"/>
      <c r="EP246" s="1804"/>
      <c r="EQ246" s="1804"/>
      <c r="ER246" s="1804"/>
      <c r="ES246" s="1804"/>
      <c r="ET246" s="1804"/>
      <c r="EU246" s="1804"/>
      <c r="EV246" s="1804"/>
      <c r="EW246" s="1804"/>
      <c r="EX246" s="1804"/>
      <c r="EY246" s="1804"/>
      <c r="EZ246" s="1804"/>
      <c r="FA246" s="1804"/>
      <c r="FB246" s="1804"/>
      <c r="FC246" s="1804"/>
      <c r="FD246" s="1804"/>
      <c r="FE246" s="1804"/>
      <c r="FF246" s="1804"/>
      <c r="FG246" s="1804"/>
      <c r="FH246" s="1804"/>
      <c r="FI246" s="1804"/>
      <c r="FJ246" s="1804"/>
      <c r="FK246" s="1804"/>
      <c r="FL246" s="1804"/>
      <c r="FM246" s="1804"/>
      <c r="FN246" s="1804"/>
      <c r="FO246" s="1804"/>
      <c r="FP246" s="1804"/>
      <c r="FQ246" s="1804"/>
      <c r="FR246" s="1804"/>
      <c r="FS246" s="1804"/>
      <c r="FT246" s="1804"/>
      <c r="FU246" s="1804"/>
      <c r="FV246" s="1804"/>
      <c r="FW246" s="1804"/>
      <c r="FX246" s="1804"/>
      <c r="FY246" s="1804"/>
      <c r="FZ246" s="1804"/>
      <c r="GA246" s="1804"/>
      <c r="GB246" s="1804"/>
      <c r="GC246" s="1804"/>
      <c r="GD246" s="1804"/>
      <c r="GE246" s="1804"/>
      <c r="GF246" s="1804"/>
      <c r="GG246" s="1804"/>
      <c r="GH246" s="1804"/>
      <c r="GI246" s="1804"/>
      <c r="GJ246" s="1804"/>
      <c r="GK246" s="1804"/>
      <c r="GL246" s="1804"/>
      <c r="GM246" s="1804"/>
      <c r="GN246" s="1804"/>
      <c r="GO246" s="1804"/>
      <c r="GP246" s="1804"/>
      <c r="GQ246" s="1804"/>
      <c r="GR246" s="1804"/>
      <c r="GS246" s="1804"/>
      <c r="GT246" s="1804"/>
      <c r="GU246" s="1804"/>
      <c r="GV246" s="1804"/>
      <c r="GW246" s="1804"/>
      <c r="GX246" s="1804"/>
      <c r="GY246" s="1804"/>
      <c r="GZ246" s="1804"/>
      <c r="HA246" s="1804"/>
      <c r="HB246" s="1804"/>
      <c r="HC246" s="1804"/>
      <c r="HD246" s="1804"/>
      <c r="HE246" s="1804"/>
      <c r="HF246" s="1804"/>
      <c r="HG246" s="1804"/>
      <c r="HH246" s="1804"/>
      <c r="HI246" s="1804"/>
      <c r="HJ246" s="1804"/>
      <c r="HK246" s="1804"/>
      <c r="HL246" s="1804"/>
      <c r="HM246" s="1804"/>
      <c r="HN246" s="1804"/>
      <c r="HO246" s="1804"/>
      <c r="HP246" s="1804"/>
      <c r="HQ246" s="1804"/>
      <c r="HR246" s="1804"/>
      <c r="HS246" s="1804"/>
      <c r="HT246" s="1804"/>
      <c r="HU246" s="1804"/>
      <c r="HV246" s="1804"/>
      <c r="HW246" s="1804"/>
      <c r="HX246" s="1804"/>
      <c r="HY246" s="1804"/>
      <c r="HZ246" s="1804"/>
      <c r="IA246" s="1804"/>
      <c r="IB246" s="1804"/>
      <c r="IC246" s="1804"/>
      <c r="ID246" s="1804"/>
      <c r="IE246" s="1804"/>
      <c r="IF246" s="1804"/>
      <c r="IG246" s="1804"/>
      <c r="IH246" s="1804"/>
      <c r="II246" s="1804"/>
      <c r="IJ246" s="1804"/>
      <c r="IK246" s="1804"/>
      <c r="IL246" s="1804"/>
      <c r="IM246" s="1804"/>
      <c r="IN246" s="1804"/>
      <c r="IO246" s="1804"/>
      <c r="IP246" s="1804"/>
      <c r="IQ246" s="1804"/>
      <c r="IR246" s="1804"/>
      <c r="IS246" s="1804"/>
      <c r="IT246" s="1804"/>
      <c r="IU246" s="1804"/>
      <c r="IV246" s="1804"/>
      <c r="IW246" s="1804"/>
    </row>
    <row r="247" spans="3:257" s="888" customFormat="1" x14ac:dyDescent="0.45">
      <c r="C247" s="67" t="s">
        <v>552</v>
      </c>
      <c r="D247" s="68" t="s">
        <v>655</v>
      </c>
      <c r="E247" s="69"/>
      <c r="F247" s="93">
        <v>0</v>
      </c>
      <c r="G247" s="93">
        <v>0</v>
      </c>
      <c r="H247" s="93">
        <v>0</v>
      </c>
      <c r="I247" s="94">
        <v>0</v>
      </c>
      <c r="J247" s="93">
        <v>0</v>
      </c>
      <c r="K247" s="93">
        <v>0</v>
      </c>
      <c r="L247" s="93">
        <v>0</v>
      </c>
      <c r="M247" s="94">
        <v>0</v>
      </c>
      <c r="N247" s="93">
        <v>0</v>
      </c>
      <c r="O247" s="93">
        <v>0</v>
      </c>
      <c r="P247" s="94">
        <v>0</v>
      </c>
      <c r="Q247" s="94">
        <v>0</v>
      </c>
      <c r="R247" s="94">
        <v>8953.1695687775609</v>
      </c>
      <c r="S247" s="94">
        <v>3678.5355014640322</v>
      </c>
      <c r="T247" s="94">
        <v>20.317862433543251</v>
      </c>
      <c r="U247" s="94">
        <v>105.79550852258539</v>
      </c>
      <c r="V247" s="94">
        <v>4.8347052434193655E-2</v>
      </c>
      <c r="W247" s="94">
        <v>1.4625003886353141</v>
      </c>
      <c r="X247" s="94">
        <v>17004.022572781658</v>
      </c>
      <c r="Y247" s="94">
        <v>15731.78184940456</v>
      </c>
      <c r="Z247" s="94">
        <v>9328909.1165359728</v>
      </c>
      <c r="AA247" s="94">
        <v>130956.44512547972</v>
      </c>
      <c r="AB247" s="94">
        <v>990.94735144871697</v>
      </c>
      <c r="AC247" s="95">
        <v>0</v>
      </c>
      <c r="AD247" s="95">
        <v>0</v>
      </c>
      <c r="AE247" s="95">
        <v>0</v>
      </c>
      <c r="AF247" s="95">
        <v>0</v>
      </c>
      <c r="AG247" s="95">
        <v>0</v>
      </c>
      <c r="AH247" s="95">
        <v>0</v>
      </c>
      <c r="AI247" s="95">
        <v>0</v>
      </c>
      <c r="AJ247" s="95">
        <v>0</v>
      </c>
      <c r="AK247" s="95">
        <v>0</v>
      </c>
      <c r="AL247" s="95">
        <v>0</v>
      </c>
      <c r="AM247" s="95">
        <v>0</v>
      </c>
      <c r="AN247" s="100">
        <v>0.53435646818906024</v>
      </c>
      <c r="AO247" s="98">
        <f t="shared" si="15"/>
        <v>164107468.63368392</v>
      </c>
      <c r="AP247" s="1804"/>
      <c r="AQ247" s="1804"/>
      <c r="AR247" s="1804"/>
      <c r="AS247" s="1804"/>
      <c r="AT247" s="1804"/>
      <c r="AU247" s="1804"/>
      <c r="AV247" s="1804"/>
      <c r="AW247" s="1804"/>
      <c r="AX247" s="1804"/>
      <c r="AY247" s="1804"/>
      <c r="AZ247" s="1804"/>
      <c r="BA247" s="1804"/>
      <c r="BB247" s="1804"/>
      <c r="BC247" s="1804"/>
      <c r="BD247" s="1804"/>
      <c r="BE247" s="1804"/>
      <c r="BF247" s="1804"/>
      <c r="BG247" s="1804"/>
      <c r="BH247" s="1804"/>
      <c r="BI247" s="1804"/>
      <c r="BJ247" s="1804"/>
      <c r="BK247" s="1804"/>
      <c r="BL247" s="1804"/>
      <c r="BM247" s="1804"/>
      <c r="BN247" s="1804"/>
      <c r="BO247" s="1804"/>
      <c r="BP247" s="1804"/>
      <c r="BQ247" s="1804"/>
      <c r="BR247" s="1804"/>
      <c r="BS247" s="1804"/>
      <c r="BT247" s="1804"/>
      <c r="BU247" s="1804"/>
      <c r="BV247" s="1804"/>
      <c r="BW247" s="1804"/>
      <c r="BX247" s="1804"/>
      <c r="BY247" s="1804"/>
      <c r="BZ247" s="1804"/>
      <c r="CA247" s="1804"/>
      <c r="CB247" s="1804"/>
      <c r="CC247" s="1804"/>
      <c r="CD247" s="1804"/>
      <c r="CE247" s="1804"/>
      <c r="CF247" s="1804"/>
      <c r="CG247" s="1804"/>
      <c r="CH247" s="1804"/>
      <c r="CI247" s="1804"/>
      <c r="CJ247" s="1804"/>
      <c r="CK247" s="1804"/>
      <c r="CL247" s="1804"/>
      <c r="CM247" s="1804"/>
      <c r="CN247" s="1804"/>
      <c r="CO247" s="1804"/>
      <c r="CP247" s="1804"/>
      <c r="CQ247" s="1804"/>
      <c r="CR247" s="1804"/>
      <c r="CS247" s="1804"/>
      <c r="CT247" s="1804"/>
      <c r="CU247" s="1804"/>
      <c r="CV247" s="1804"/>
      <c r="CW247" s="1804"/>
      <c r="CX247" s="1804"/>
      <c r="CY247" s="1804"/>
      <c r="CZ247" s="1804"/>
      <c r="DA247" s="1804"/>
      <c r="DB247" s="1804"/>
      <c r="DC247" s="1804"/>
      <c r="DD247" s="1804"/>
      <c r="DE247" s="1804"/>
      <c r="DF247" s="1804"/>
      <c r="DG247" s="1804"/>
      <c r="DH247" s="1804"/>
      <c r="DI247" s="1804"/>
      <c r="DJ247" s="1804"/>
      <c r="DK247" s="1804"/>
      <c r="DL247" s="1804"/>
      <c r="DM247" s="1804"/>
      <c r="DN247" s="1804"/>
      <c r="DO247" s="1804"/>
      <c r="DP247" s="1804"/>
      <c r="DQ247" s="1804"/>
      <c r="DR247" s="1804"/>
      <c r="DS247" s="1804"/>
      <c r="DT247" s="1804"/>
      <c r="DU247" s="1804"/>
      <c r="DV247" s="1804"/>
      <c r="DW247" s="1804"/>
      <c r="DX247" s="1804"/>
      <c r="DY247" s="1804"/>
      <c r="DZ247" s="1804"/>
      <c r="EA247" s="1804"/>
      <c r="EB247" s="1804"/>
      <c r="EC247" s="1804"/>
      <c r="ED247" s="1804"/>
      <c r="EE247" s="1804"/>
      <c r="EF247" s="1804"/>
      <c r="EG247" s="1804"/>
      <c r="EH247" s="1804"/>
      <c r="EI247" s="1804"/>
      <c r="EJ247" s="1804"/>
      <c r="EK247" s="1804"/>
      <c r="EL247" s="1804"/>
      <c r="EM247" s="1804"/>
      <c r="EN247" s="1804"/>
      <c r="EO247" s="1804"/>
      <c r="EP247" s="1804"/>
      <c r="EQ247" s="1804"/>
      <c r="ER247" s="1804"/>
      <c r="ES247" s="1804"/>
      <c r="ET247" s="1804"/>
      <c r="EU247" s="1804"/>
      <c r="EV247" s="1804"/>
      <c r="EW247" s="1804"/>
      <c r="EX247" s="1804"/>
      <c r="EY247" s="1804"/>
      <c r="EZ247" s="1804"/>
      <c r="FA247" s="1804"/>
      <c r="FB247" s="1804"/>
      <c r="FC247" s="1804"/>
      <c r="FD247" s="1804"/>
      <c r="FE247" s="1804"/>
      <c r="FF247" s="1804"/>
      <c r="FG247" s="1804"/>
      <c r="FH247" s="1804"/>
      <c r="FI247" s="1804"/>
      <c r="FJ247" s="1804"/>
      <c r="FK247" s="1804"/>
      <c r="FL247" s="1804"/>
      <c r="FM247" s="1804"/>
      <c r="FN247" s="1804"/>
      <c r="FO247" s="1804"/>
      <c r="FP247" s="1804"/>
      <c r="FQ247" s="1804"/>
      <c r="FR247" s="1804"/>
      <c r="FS247" s="1804"/>
      <c r="FT247" s="1804"/>
      <c r="FU247" s="1804"/>
      <c r="FV247" s="1804"/>
      <c r="FW247" s="1804"/>
      <c r="FX247" s="1804"/>
      <c r="FY247" s="1804"/>
      <c r="FZ247" s="1804"/>
      <c r="GA247" s="1804"/>
      <c r="GB247" s="1804"/>
      <c r="GC247" s="1804"/>
      <c r="GD247" s="1804"/>
      <c r="GE247" s="1804"/>
      <c r="GF247" s="1804"/>
      <c r="GG247" s="1804"/>
      <c r="GH247" s="1804"/>
      <c r="GI247" s="1804"/>
      <c r="GJ247" s="1804"/>
      <c r="GK247" s="1804"/>
      <c r="GL247" s="1804"/>
      <c r="GM247" s="1804"/>
      <c r="GN247" s="1804"/>
      <c r="GO247" s="1804"/>
      <c r="GP247" s="1804"/>
      <c r="GQ247" s="1804"/>
      <c r="GR247" s="1804"/>
      <c r="GS247" s="1804"/>
      <c r="GT247" s="1804"/>
      <c r="GU247" s="1804"/>
      <c r="GV247" s="1804"/>
      <c r="GW247" s="1804"/>
      <c r="GX247" s="1804"/>
      <c r="GY247" s="1804"/>
      <c r="GZ247" s="1804"/>
      <c r="HA247" s="1804"/>
      <c r="HB247" s="1804"/>
      <c r="HC247" s="1804"/>
      <c r="HD247" s="1804"/>
      <c r="HE247" s="1804"/>
      <c r="HF247" s="1804"/>
      <c r="HG247" s="1804"/>
      <c r="HH247" s="1804"/>
      <c r="HI247" s="1804"/>
      <c r="HJ247" s="1804"/>
      <c r="HK247" s="1804"/>
      <c r="HL247" s="1804"/>
      <c r="HM247" s="1804"/>
      <c r="HN247" s="1804"/>
      <c r="HO247" s="1804"/>
      <c r="HP247" s="1804"/>
      <c r="HQ247" s="1804"/>
      <c r="HR247" s="1804"/>
      <c r="HS247" s="1804"/>
      <c r="HT247" s="1804"/>
      <c r="HU247" s="1804"/>
      <c r="HV247" s="1804"/>
      <c r="HW247" s="1804"/>
      <c r="HX247" s="1804"/>
      <c r="HY247" s="1804"/>
      <c r="HZ247" s="1804"/>
      <c r="IA247" s="1804"/>
      <c r="IB247" s="1804"/>
      <c r="IC247" s="1804"/>
      <c r="ID247" s="1804"/>
      <c r="IE247" s="1804"/>
      <c r="IF247" s="1804"/>
      <c r="IG247" s="1804"/>
      <c r="IH247" s="1804"/>
      <c r="II247" s="1804"/>
      <c r="IJ247" s="1804"/>
      <c r="IK247" s="1804"/>
      <c r="IL247" s="1804"/>
      <c r="IM247" s="1804"/>
      <c r="IN247" s="1804"/>
      <c r="IO247" s="1804"/>
      <c r="IP247" s="1804"/>
      <c r="IQ247" s="1804"/>
      <c r="IR247" s="1804"/>
      <c r="IS247" s="1804"/>
      <c r="IT247" s="1804"/>
      <c r="IU247" s="1804"/>
      <c r="IV247" s="1804"/>
      <c r="IW247" s="1804"/>
    </row>
    <row r="248" spans="3:257" s="888" customFormat="1" x14ac:dyDescent="0.45">
      <c r="C248" s="67" t="s">
        <v>553</v>
      </c>
      <c r="D248" s="68" t="s">
        <v>656</v>
      </c>
      <c r="E248" s="69"/>
      <c r="F248" s="93">
        <v>0</v>
      </c>
      <c r="G248" s="93">
        <v>0</v>
      </c>
      <c r="H248" s="93">
        <v>0</v>
      </c>
      <c r="I248" s="94">
        <v>0</v>
      </c>
      <c r="J248" s="93">
        <v>0</v>
      </c>
      <c r="K248" s="93">
        <v>0</v>
      </c>
      <c r="L248" s="93">
        <v>0</v>
      </c>
      <c r="M248" s="94">
        <v>0</v>
      </c>
      <c r="N248" s="93">
        <v>0</v>
      </c>
      <c r="O248" s="93">
        <v>0</v>
      </c>
      <c r="P248" s="94">
        <v>0</v>
      </c>
      <c r="Q248" s="94">
        <v>0</v>
      </c>
      <c r="R248" s="94">
        <v>0</v>
      </c>
      <c r="S248" s="94">
        <v>271.75408320490192</v>
      </c>
      <c r="T248" s="94">
        <v>0</v>
      </c>
      <c r="U248" s="95">
        <v>0</v>
      </c>
      <c r="V248" s="95">
        <v>0</v>
      </c>
      <c r="W248" s="95">
        <v>0</v>
      </c>
      <c r="X248" s="95">
        <v>0</v>
      </c>
      <c r="Y248" s="95">
        <v>0</v>
      </c>
      <c r="Z248" s="95">
        <v>0</v>
      </c>
      <c r="AA248" s="95">
        <v>0</v>
      </c>
      <c r="AB248" s="95">
        <v>0</v>
      </c>
      <c r="AC248" s="95">
        <v>0</v>
      </c>
      <c r="AD248" s="95">
        <v>0</v>
      </c>
      <c r="AE248" s="95">
        <v>0</v>
      </c>
      <c r="AF248" s="95">
        <v>0</v>
      </c>
      <c r="AG248" s="95">
        <v>0</v>
      </c>
      <c r="AH248" s="95">
        <v>0</v>
      </c>
      <c r="AI248" s="95">
        <v>0</v>
      </c>
      <c r="AJ248" s="95">
        <v>0</v>
      </c>
      <c r="AK248" s="95">
        <v>0</v>
      </c>
      <c r="AL248" s="95">
        <v>0</v>
      </c>
      <c r="AM248" s="95">
        <v>0</v>
      </c>
      <c r="AN248" s="100">
        <v>2.6727308345032044</v>
      </c>
      <c r="AO248" s="98">
        <f t="shared" si="15"/>
        <v>3523091.4386378834</v>
      </c>
      <c r="AP248" s="1804"/>
      <c r="AQ248" s="1804"/>
      <c r="AR248" s="1804"/>
      <c r="AS248" s="1804"/>
      <c r="AT248" s="1804"/>
      <c r="AU248" s="1804"/>
      <c r="AV248" s="1804"/>
      <c r="AW248" s="1804"/>
      <c r="AX248" s="1804"/>
      <c r="AY248" s="1804"/>
      <c r="AZ248" s="1804"/>
      <c r="BA248" s="1804"/>
      <c r="BB248" s="1804"/>
      <c r="BC248" s="1804"/>
      <c r="BD248" s="1804"/>
      <c r="BE248" s="1804"/>
      <c r="BF248" s="1804"/>
      <c r="BG248" s="1804"/>
      <c r="BH248" s="1804"/>
      <c r="BI248" s="1804"/>
      <c r="BJ248" s="1804"/>
      <c r="BK248" s="1804"/>
      <c r="BL248" s="1804"/>
      <c r="BM248" s="1804"/>
      <c r="BN248" s="1804"/>
      <c r="BO248" s="1804"/>
      <c r="BP248" s="1804"/>
      <c r="BQ248" s="1804"/>
      <c r="BR248" s="1804"/>
      <c r="BS248" s="1804"/>
      <c r="BT248" s="1804"/>
      <c r="BU248" s="1804"/>
      <c r="BV248" s="1804"/>
      <c r="BW248" s="1804"/>
      <c r="BX248" s="1804"/>
      <c r="BY248" s="1804"/>
      <c r="BZ248" s="1804"/>
      <c r="CA248" s="1804"/>
      <c r="CB248" s="1804"/>
      <c r="CC248" s="1804"/>
      <c r="CD248" s="1804"/>
      <c r="CE248" s="1804"/>
      <c r="CF248" s="1804"/>
      <c r="CG248" s="1804"/>
      <c r="CH248" s="1804"/>
      <c r="CI248" s="1804"/>
      <c r="CJ248" s="1804"/>
      <c r="CK248" s="1804"/>
      <c r="CL248" s="1804"/>
      <c r="CM248" s="1804"/>
      <c r="CN248" s="1804"/>
      <c r="CO248" s="1804"/>
      <c r="CP248" s="1804"/>
      <c r="CQ248" s="1804"/>
      <c r="CR248" s="1804"/>
      <c r="CS248" s="1804"/>
      <c r="CT248" s="1804"/>
      <c r="CU248" s="1804"/>
      <c r="CV248" s="1804"/>
      <c r="CW248" s="1804"/>
      <c r="CX248" s="1804"/>
      <c r="CY248" s="1804"/>
      <c r="CZ248" s="1804"/>
      <c r="DA248" s="1804"/>
      <c r="DB248" s="1804"/>
      <c r="DC248" s="1804"/>
      <c r="DD248" s="1804"/>
      <c r="DE248" s="1804"/>
      <c r="DF248" s="1804"/>
      <c r="DG248" s="1804"/>
      <c r="DH248" s="1804"/>
      <c r="DI248" s="1804"/>
      <c r="DJ248" s="1804"/>
      <c r="DK248" s="1804"/>
      <c r="DL248" s="1804"/>
      <c r="DM248" s="1804"/>
      <c r="DN248" s="1804"/>
      <c r="DO248" s="1804"/>
      <c r="DP248" s="1804"/>
      <c r="DQ248" s="1804"/>
      <c r="DR248" s="1804"/>
      <c r="DS248" s="1804"/>
      <c r="DT248" s="1804"/>
      <c r="DU248" s="1804"/>
      <c r="DV248" s="1804"/>
      <c r="DW248" s="1804"/>
      <c r="DX248" s="1804"/>
      <c r="DY248" s="1804"/>
      <c r="DZ248" s="1804"/>
      <c r="EA248" s="1804"/>
      <c r="EB248" s="1804"/>
      <c r="EC248" s="1804"/>
      <c r="ED248" s="1804"/>
      <c r="EE248" s="1804"/>
      <c r="EF248" s="1804"/>
      <c r="EG248" s="1804"/>
      <c r="EH248" s="1804"/>
      <c r="EI248" s="1804"/>
      <c r="EJ248" s="1804"/>
      <c r="EK248" s="1804"/>
      <c r="EL248" s="1804"/>
      <c r="EM248" s="1804"/>
      <c r="EN248" s="1804"/>
      <c r="EO248" s="1804"/>
      <c r="EP248" s="1804"/>
      <c r="EQ248" s="1804"/>
      <c r="ER248" s="1804"/>
      <c r="ES248" s="1804"/>
      <c r="ET248" s="1804"/>
      <c r="EU248" s="1804"/>
      <c r="EV248" s="1804"/>
      <c r="EW248" s="1804"/>
      <c r="EX248" s="1804"/>
      <c r="EY248" s="1804"/>
      <c r="EZ248" s="1804"/>
      <c r="FA248" s="1804"/>
      <c r="FB248" s="1804"/>
      <c r="FC248" s="1804"/>
      <c r="FD248" s="1804"/>
      <c r="FE248" s="1804"/>
      <c r="FF248" s="1804"/>
      <c r="FG248" s="1804"/>
      <c r="FH248" s="1804"/>
      <c r="FI248" s="1804"/>
      <c r="FJ248" s="1804"/>
      <c r="FK248" s="1804"/>
      <c r="FL248" s="1804"/>
      <c r="FM248" s="1804"/>
      <c r="FN248" s="1804"/>
      <c r="FO248" s="1804"/>
      <c r="FP248" s="1804"/>
      <c r="FQ248" s="1804"/>
      <c r="FR248" s="1804"/>
      <c r="FS248" s="1804"/>
      <c r="FT248" s="1804"/>
      <c r="FU248" s="1804"/>
      <c r="FV248" s="1804"/>
      <c r="FW248" s="1804"/>
      <c r="FX248" s="1804"/>
      <c r="FY248" s="1804"/>
      <c r="FZ248" s="1804"/>
      <c r="GA248" s="1804"/>
      <c r="GB248" s="1804"/>
      <c r="GC248" s="1804"/>
      <c r="GD248" s="1804"/>
      <c r="GE248" s="1804"/>
      <c r="GF248" s="1804"/>
      <c r="GG248" s="1804"/>
      <c r="GH248" s="1804"/>
      <c r="GI248" s="1804"/>
      <c r="GJ248" s="1804"/>
      <c r="GK248" s="1804"/>
      <c r="GL248" s="1804"/>
      <c r="GM248" s="1804"/>
      <c r="GN248" s="1804"/>
      <c r="GO248" s="1804"/>
      <c r="GP248" s="1804"/>
      <c r="GQ248" s="1804"/>
      <c r="GR248" s="1804"/>
      <c r="GS248" s="1804"/>
      <c r="GT248" s="1804"/>
      <c r="GU248" s="1804"/>
      <c r="GV248" s="1804"/>
      <c r="GW248" s="1804"/>
      <c r="GX248" s="1804"/>
      <c r="GY248" s="1804"/>
      <c r="GZ248" s="1804"/>
      <c r="HA248" s="1804"/>
      <c r="HB248" s="1804"/>
      <c r="HC248" s="1804"/>
      <c r="HD248" s="1804"/>
      <c r="HE248" s="1804"/>
      <c r="HF248" s="1804"/>
      <c r="HG248" s="1804"/>
      <c r="HH248" s="1804"/>
      <c r="HI248" s="1804"/>
      <c r="HJ248" s="1804"/>
      <c r="HK248" s="1804"/>
      <c r="HL248" s="1804"/>
      <c r="HM248" s="1804"/>
      <c r="HN248" s="1804"/>
      <c r="HO248" s="1804"/>
      <c r="HP248" s="1804"/>
      <c r="HQ248" s="1804"/>
      <c r="HR248" s="1804"/>
      <c r="HS248" s="1804"/>
      <c r="HT248" s="1804"/>
      <c r="HU248" s="1804"/>
      <c r="HV248" s="1804"/>
      <c r="HW248" s="1804"/>
      <c r="HX248" s="1804"/>
      <c r="HY248" s="1804"/>
      <c r="HZ248" s="1804"/>
      <c r="IA248" s="1804"/>
      <c r="IB248" s="1804"/>
      <c r="IC248" s="1804"/>
      <c r="ID248" s="1804"/>
      <c r="IE248" s="1804"/>
      <c r="IF248" s="1804"/>
      <c r="IG248" s="1804"/>
      <c r="IH248" s="1804"/>
      <c r="II248" s="1804"/>
      <c r="IJ248" s="1804"/>
      <c r="IK248" s="1804"/>
      <c r="IL248" s="1804"/>
      <c r="IM248" s="1804"/>
      <c r="IN248" s="1804"/>
      <c r="IO248" s="1804"/>
      <c r="IP248" s="1804"/>
      <c r="IQ248" s="1804"/>
      <c r="IR248" s="1804"/>
      <c r="IS248" s="1804"/>
      <c r="IT248" s="1804"/>
      <c r="IU248" s="1804"/>
      <c r="IV248" s="1804"/>
      <c r="IW248" s="1804"/>
    </row>
    <row r="249" spans="3:257" s="888" customFormat="1" x14ac:dyDescent="0.45">
      <c r="C249" s="67" t="s">
        <v>554</v>
      </c>
      <c r="D249" s="68" t="s">
        <v>657</v>
      </c>
      <c r="E249" s="69"/>
      <c r="F249" s="93">
        <v>0</v>
      </c>
      <c r="G249" s="93">
        <v>14610.738638094079</v>
      </c>
      <c r="H249" s="93">
        <v>0</v>
      </c>
      <c r="I249" s="94">
        <v>0</v>
      </c>
      <c r="J249" s="93">
        <v>0</v>
      </c>
      <c r="K249" s="93">
        <v>0</v>
      </c>
      <c r="L249" s="93">
        <v>0</v>
      </c>
      <c r="M249" s="94">
        <v>0</v>
      </c>
      <c r="N249" s="93">
        <v>0</v>
      </c>
      <c r="O249" s="93">
        <v>0</v>
      </c>
      <c r="P249" s="94">
        <v>0</v>
      </c>
      <c r="Q249" s="94">
        <v>0</v>
      </c>
      <c r="R249" s="94">
        <v>0</v>
      </c>
      <c r="S249" s="94">
        <v>0</v>
      </c>
      <c r="T249" s="94">
        <v>0</v>
      </c>
      <c r="U249" s="95">
        <v>0</v>
      </c>
      <c r="V249" s="95">
        <v>0</v>
      </c>
      <c r="W249" s="95">
        <v>0</v>
      </c>
      <c r="X249" s="95">
        <v>0</v>
      </c>
      <c r="Y249" s="95">
        <v>0</v>
      </c>
      <c r="Z249" s="95">
        <v>0</v>
      </c>
      <c r="AA249" s="95">
        <v>0</v>
      </c>
      <c r="AB249" s="95">
        <v>0</v>
      </c>
      <c r="AC249" s="95">
        <v>0</v>
      </c>
      <c r="AD249" s="95">
        <v>0</v>
      </c>
      <c r="AE249" s="95">
        <v>0</v>
      </c>
      <c r="AF249" s="95">
        <v>0</v>
      </c>
      <c r="AG249" s="95">
        <v>0</v>
      </c>
      <c r="AH249" s="95">
        <v>0</v>
      </c>
      <c r="AI249" s="95">
        <v>0</v>
      </c>
      <c r="AJ249" s="95">
        <v>0</v>
      </c>
      <c r="AK249" s="95">
        <v>0</v>
      </c>
      <c r="AL249" s="95">
        <v>0</v>
      </c>
      <c r="AM249" s="95">
        <v>0</v>
      </c>
      <c r="AN249" s="97">
        <v>0</v>
      </c>
      <c r="AO249" s="98">
        <f t="shared" si="15"/>
        <v>187572662.63585177</v>
      </c>
      <c r="AP249" s="1804"/>
      <c r="AQ249" s="1804"/>
      <c r="AR249" s="1804"/>
      <c r="AS249" s="1804"/>
      <c r="AT249" s="1804"/>
      <c r="AU249" s="1804"/>
      <c r="AV249" s="1804"/>
      <c r="AW249" s="1804"/>
      <c r="AX249" s="1804"/>
      <c r="AY249" s="1804"/>
      <c r="AZ249" s="1804"/>
      <c r="BA249" s="1804"/>
      <c r="BB249" s="1804"/>
      <c r="BC249" s="1804"/>
      <c r="BD249" s="1804"/>
      <c r="BE249" s="1804"/>
      <c r="BF249" s="1804"/>
      <c r="BG249" s="1804"/>
      <c r="BH249" s="1804"/>
      <c r="BI249" s="1804"/>
      <c r="BJ249" s="1804"/>
      <c r="BK249" s="1804"/>
      <c r="BL249" s="1804"/>
      <c r="BM249" s="1804"/>
      <c r="BN249" s="1804"/>
      <c r="BO249" s="1804"/>
      <c r="BP249" s="1804"/>
      <c r="BQ249" s="1804"/>
      <c r="BR249" s="1804"/>
      <c r="BS249" s="1804"/>
      <c r="BT249" s="1804"/>
      <c r="BU249" s="1804"/>
      <c r="BV249" s="1804"/>
      <c r="BW249" s="1804"/>
      <c r="BX249" s="1804"/>
      <c r="BY249" s="1804"/>
      <c r="BZ249" s="1804"/>
      <c r="CA249" s="1804"/>
      <c r="CB249" s="1804"/>
      <c r="CC249" s="1804"/>
      <c r="CD249" s="1804"/>
      <c r="CE249" s="1804"/>
      <c r="CF249" s="1804"/>
      <c r="CG249" s="1804"/>
      <c r="CH249" s="1804"/>
      <c r="CI249" s="1804"/>
      <c r="CJ249" s="1804"/>
      <c r="CK249" s="1804"/>
      <c r="CL249" s="1804"/>
      <c r="CM249" s="1804"/>
      <c r="CN249" s="1804"/>
      <c r="CO249" s="1804"/>
      <c r="CP249" s="1804"/>
      <c r="CQ249" s="1804"/>
      <c r="CR249" s="1804"/>
      <c r="CS249" s="1804"/>
      <c r="CT249" s="1804"/>
      <c r="CU249" s="1804"/>
      <c r="CV249" s="1804"/>
      <c r="CW249" s="1804"/>
      <c r="CX249" s="1804"/>
      <c r="CY249" s="1804"/>
      <c r="CZ249" s="1804"/>
      <c r="DA249" s="1804"/>
      <c r="DB249" s="1804"/>
      <c r="DC249" s="1804"/>
      <c r="DD249" s="1804"/>
      <c r="DE249" s="1804"/>
      <c r="DF249" s="1804"/>
      <c r="DG249" s="1804"/>
      <c r="DH249" s="1804"/>
      <c r="DI249" s="1804"/>
      <c r="DJ249" s="1804"/>
      <c r="DK249" s="1804"/>
      <c r="DL249" s="1804"/>
      <c r="DM249" s="1804"/>
      <c r="DN249" s="1804"/>
      <c r="DO249" s="1804"/>
      <c r="DP249" s="1804"/>
      <c r="DQ249" s="1804"/>
      <c r="DR249" s="1804"/>
      <c r="DS249" s="1804"/>
      <c r="DT249" s="1804"/>
      <c r="DU249" s="1804"/>
      <c r="DV249" s="1804"/>
      <c r="DW249" s="1804"/>
      <c r="DX249" s="1804"/>
      <c r="DY249" s="1804"/>
      <c r="DZ249" s="1804"/>
      <c r="EA249" s="1804"/>
      <c r="EB249" s="1804"/>
      <c r="EC249" s="1804"/>
      <c r="ED249" s="1804"/>
      <c r="EE249" s="1804"/>
      <c r="EF249" s="1804"/>
      <c r="EG249" s="1804"/>
      <c r="EH249" s="1804"/>
      <c r="EI249" s="1804"/>
      <c r="EJ249" s="1804"/>
      <c r="EK249" s="1804"/>
      <c r="EL249" s="1804"/>
      <c r="EM249" s="1804"/>
      <c r="EN249" s="1804"/>
      <c r="EO249" s="1804"/>
      <c r="EP249" s="1804"/>
      <c r="EQ249" s="1804"/>
      <c r="ER249" s="1804"/>
      <c r="ES249" s="1804"/>
      <c r="ET249" s="1804"/>
      <c r="EU249" s="1804"/>
      <c r="EV249" s="1804"/>
      <c r="EW249" s="1804"/>
      <c r="EX249" s="1804"/>
      <c r="EY249" s="1804"/>
      <c r="EZ249" s="1804"/>
      <c r="FA249" s="1804"/>
      <c r="FB249" s="1804"/>
      <c r="FC249" s="1804"/>
      <c r="FD249" s="1804"/>
      <c r="FE249" s="1804"/>
      <c r="FF249" s="1804"/>
      <c r="FG249" s="1804"/>
      <c r="FH249" s="1804"/>
      <c r="FI249" s="1804"/>
      <c r="FJ249" s="1804"/>
      <c r="FK249" s="1804"/>
      <c r="FL249" s="1804"/>
      <c r="FM249" s="1804"/>
      <c r="FN249" s="1804"/>
      <c r="FO249" s="1804"/>
      <c r="FP249" s="1804"/>
      <c r="FQ249" s="1804"/>
      <c r="FR249" s="1804"/>
      <c r="FS249" s="1804"/>
      <c r="FT249" s="1804"/>
      <c r="FU249" s="1804"/>
      <c r="FV249" s="1804"/>
      <c r="FW249" s="1804"/>
      <c r="FX249" s="1804"/>
      <c r="FY249" s="1804"/>
      <c r="FZ249" s="1804"/>
      <c r="GA249" s="1804"/>
      <c r="GB249" s="1804"/>
      <c r="GC249" s="1804"/>
      <c r="GD249" s="1804"/>
      <c r="GE249" s="1804"/>
      <c r="GF249" s="1804"/>
      <c r="GG249" s="1804"/>
      <c r="GH249" s="1804"/>
      <c r="GI249" s="1804"/>
      <c r="GJ249" s="1804"/>
      <c r="GK249" s="1804"/>
      <c r="GL249" s="1804"/>
      <c r="GM249" s="1804"/>
      <c r="GN249" s="1804"/>
      <c r="GO249" s="1804"/>
      <c r="GP249" s="1804"/>
      <c r="GQ249" s="1804"/>
      <c r="GR249" s="1804"/>
      <c r="GS249" s="1804"/>
      <c r="GT249" s="1804"/>
      <c r="GU249" s="1804"/>
      <c r="GV249" s="1804"/>
      <c r="GW249" s="1804"/>
      <c r="GX249" s="1804"/>
      <c r="GY249" s="1804"/>
      <c r="GZ249" s="1804"/>
      <c r="HA249" s="1804"/>
      <c r="HB249" s="1804"/>
      <c r="HC249" s="1804"/>
      <c r="HD249" s="1804"/>
      <c r="HE249" s="1804"/>
      <c r="HF249" s="1804"/>
      <c r="HG249" s="1804"/>
      <c r="HH249" s="1804"/>
      <c r="HI249" s="1804"/>
      <c r="HJ249" s="1804"/>
      <c r="HK249" s="1804"/>
      <c r="HL249" s="1804"/>
      <c r="HM249" s="1804"/>
      <c r="HN249" s="1804"/>
      <c r="HO249" s="1804"/>
      <c r="HP249" s="1804"/>
      <c r="HQ249" s="1804"/>
      <c r="HR249" s="1804"/>
      <c r="HS249" s="1804"/>
      <c r="HT249" s="1804"/>
      <c r="HU249" s="1804"/>
      <c r="HV249" s="1804"/>
      <c r="HW249" s="1804"/>
      <c r="HX249" s="1804"/>
      <c r="HY249" s="1804"/>
      <c r="HZ249" s="1804"/>
      <c r="IA249" s="1804"/>
      <c r="IB249" s="1804"/>
      <c r="IC249" s="1804"/>
      <c r="ID249" s="1804"/>
      <c r="IE249" s="1804"/>
      <c r="IF249" s="1804"/>
      <c r="IG249" s="1804"/>
      <c r="IH249" s="1804"/>
      <c r="II249" s="1804"/>
      <c r="IJ249" s="1804"/>
      <c r="IK249" s="1804"/>
      <c r="IL249" s="1804"/>
      <c r="IM249" s="1804"/>
      <c r="IN249" s="1804"/>
      <c r="IO249" s="1804"/>
      <c r="IP249" s="1804"/>
      <c r="IQ249" s="1804"/>
      <c r="IR249" s="1804"/>
      <c r="IS249" s="1804"/>
      <c r="IT249" s="1804"/>
      <c r="IU249" s="1804"/>
      <c r="IV249" s="1804"/>
      <c r="IW249" s="1804"/>
    </row>
    <row r="250" spans="3:257" s="888" customFormat="1" x14ac:dyDescent="0.45">
      <c r="C250" s="67" t="s">
        <v>555</v>
      </c>
      <c r="D250" s="68" t="s">
        <v>658</v>
      </c>
      <c r="E250" s="69"/>
      <c r="F250" s="93">
        <v>0</v>
      </c>
      <c r="G250" s="93">
        <v>0</v>
      </c>
      <c r="H250" s="93">
        <v>0</v>
      </c>
      <c r="I250" s="94">
        <v>0</v>
      </c>
      <c r="J250" s="93">
        <v>0</v>
      </c>
      <c r="K250" s="93">
        <v>0</v>
      </c>
      <c r="L250" s="93">
        <v>0</v>
      </c>
      <c r="M250" s="94">
        <v>0</v>
      </c>
      <c r="N250" s="93">
        <v>0</v>
      </c>
      <c r="O250" s="93">
        <v>0</v>
      </c>
      <c r="P250" s="94">
        <v>0</v>
      </c>
      <c r="Q250" s="94">
        <v>0</v>
      </c>
      <c r="R250" s="94">
        <v>0</v>
      </c>
      <c r="S250" s="94">
        <v>413.84445482264925</v>
      </c>
      <c r="T250" s="94">
        <v>0</v>
      </c>
      <c r="U250" s="95">
        <v>0</v>
      </c>
      <c r="V250" s="95">
        <v>0</v>
      </c>
      <c r="W250" s="95">
        <v>0</v>
      </c>
      <c r="X250" s="95">
        <v>0</v>
      </c>
      <c r="Y250" s="95">
        <v>0</v>
      </c>
      <c r="Z250" s="95">
        <v>0</v>
      </c>
      <c r="AA250" s="95">
        <v>0</v>
      </c>
      <c r="AB250" s="95">
        <v>0</v>
      </c>
      <c r="AC250" s="95">
        <v>0</v>
      </c>
      <c r="AD250" s="95">
        <v>0</v>
      </c>
      <c r="AE250" s="95">
        <v>0</v>
      </c>
      <c r="AF250" s="95">
        <v>0</v>
      </c>
      <c r="AG250" s="95">
        <v>0</v>
      </c>
      <c r="AH250" s="95">
        <v>0</v>
      </c>
      <c r="AI250" s="95">
        <v>0</v>
      </c>
      <c r="AJ250" s="95">
        <v>0</v>
      </c>
      <c r="AK250" s="95">
        <v>0</v>
      </c>
      <c r="AL250" s="95">
        <v>0</v>
      </c>
      <c r="AM250" s="95">
        <v>0</v>
      </c>
      <c r="AN250" s="97">
        <v>0</v>
      </c>
      <c r="AO250" s="98">
        <f t="shared" si="15"/>
        <v>5312935.1110131713</v>
      </c>
      <c r="AP250" s="1804"/>
      <c r="AQ250" s="1804"/>
      <c r="AR250" s="1804"/>
      <c r="AS250" s="1804"/>
      <c r="AT250" s="1804"/>
      <c r="AU250" s="1804"/>
      <c r="AV250" s="1804"/>
      <c r="AW250" s="1804"/>
      <c r="AX250" s="1804"/>
      <c r="AY250" s="1804"/>
      <c r="AZ250" s="1804"/>
      <c r="BA250" s="1804"/>
      <c r="BB250" s="1804"/>
      <c r="BC250" s="1804"/>
      <c r="BD250" s="1804"/>
      <c r="BE250" s="1804"/>
      <c r="BF250" s="1804"/>
      <c r="BG250" s="1804"/>
      <c r="BH250" s="1804"/>
      <c r="BI250" s="1804"/>
      <c r="BJ250" s="1804"/>
      <c r="BK250" s="1804"/>
      <c r="BL250" s="1804"/>
      <c r="BM250" s="1804"/>
      <c r="BN250" s="1804"/>
      <c r="BO250" s="1804"/>
      <c r="BP250" s="1804"/>
      <c r="BQ250" s="1804"/>
      <c r="BR250" s="1804"/>
      <c r="BS250" s="1804"/>
      <c r="BT250" s="1804"/>
      <c r="BU250" s="1804"/>
      <c r="BV250" s="1804"/>
      <c r="BW250" s="1804"/>
      <c r="BX250" s="1804"/>
      <c r="BY250" s="1804"/>
      <c r="BZ250" s="1804"/>
      <c r="CA250" s="1804"/>
      <c r="CB250" s="1804"/>
      <c r="CC250" s="1804"/>
      <c r="CD250" s="1804"/>
      <c r="CE250" s="1804"/>
      <c r="CF250" s="1804"/>
      <c r="CG250" s="1804"/>
      <c r="CH250" s="1804"/>
      <c r="CI250" s="1804"/>
      <c r="CJ250" s="1804"/>
      <c r="CK250" s="1804"/>
      <c r="CL250" s="1804"/>
      <c r="CM250" s="1804"/>
      <c r="CN250" s="1804"/>
      <c r="CO250" s="1804"/>
      <c r="CP250" s="1804"/>
      <c r="CQ250" s="1804"/>
      <c r="CR250" s="1804"/>
      <c r="CS250" s="1804"/>
      <c r="CT250" s="1804"/>
      <c r="CU250" s="1804"/>
      <c r="CV250" s="1804"/>
      <c r="CW250" s="1804"/>
      <c r="CX250" s="1804"/>
      <c r="CY250" s="1804"/>
      <c r="CZ250" s="1804"/>
      <c r="DA250" s="1804"/>
      <c r="DB250" s="1804"/>
      <c r="DC250" s="1804"/>
      <c r="DD250" s="1804"/>
      <c r="DE250" s="1804"/>
      <c r="DF250" s="1804"/>
      <c r="DG250" s="1804"/>
      <c r="DH250" s="1804"/>
      <c r="DI250" s="1804"/>
      <c r="DJ250" s="1804"/>
      <c r="DK250" s="1804"/>
      <c r="DL250" s="1804"/>
      <c r="DM250" s="1804"/>
      <c r="DN250" s="1804"/>
      <c r="DO250" s="1804"/>
      <c r="DP250" s="1804"/>
      <c r="DQ250" s="1804"/>
      <c r="DR250" s="1804"/>
      <c r="DS250" s="1804"/>
      <c r="DT250" s="1804"/>
      <c r="DU250" s="1804"/>
      <c r="DV250" s="1804"/>
      <c r="DW250" s="1804"/>
      <c r="DX250" s="1804"/>
      <c r="DY250" s="1804"/>
      <c r="DZ250" s="1804"/>
      <c r="EA250" s="1804"/>
      <c r="EB250" s="1804"/>
      <c r="EC250" s="1804"/>
      <c r="ED250" s="1804"/>
      <c r="EE250" s="1804"/>
      <c r="EF250" s="1804"/>
      <c r="EG250" s="1804"/>
      <c r="EH250" s="1804"/>
      <c r="EI250" s="1804"/>
      <c r="EJ250" s="1804"/>
      <c r="EK250" s="1804"/>
      <c r="EL250" s="1804"/>
      <c r="EM250" s="1804"/>
      <c r="EN250" s="1804"/>
      <c r="EO250" s="1804"/>
      <c r="EP250" s="1804"/>
      <c r="EQ250" s="1804"/>
      <c r="ER250" s="1804"/>
      <c r="ES250" s="1804"/>
      <c r="ET250" s="1804"/>
      <c r="EU250" s="1804"/>
      <c r="EV250" s="1804"/>
      <c r="EW250" s="1804"/>
      <c r="EX250" s="1804"/>
      <c r="EY250" s="1804"/>
      <c r="EZ250" s="1804"/>
      <c r="FA250" s="1804"/>
      <c r="FB250" s="1804"/>
      <c r="FC250" s="1804"/>
      <c r="FD250" s="1804"/>
      <c r="FE250" s="1804"/>
      <c r="FF250" s="1804"/>
      <c r="FG250" s="1804"/>
      <c r="FH250" s="1804"/>
      <c r="FI250" s="1804"/>
      <c r="FJ250" s="1804"/>
      <c r="FK250" s="1804"/>
      <c r="FL250" s="1804"/>
      <c r="FM250" s="1804"/>
      <c r="FN250" s="1804"/>
      <c r="FO250" s="1804"/>
      <c r="FP250" s="1804"/>
      <c r="FQ250" s="1804"/>
      <c r="FR250" s="1804"/>
      <c r="FS250" s="1804"/>
      <c r="FT250" s="1804"/>
      <c r="FU250" s="1804"/>
      <c r="FV250" s="1804"/>
      <c r="FW250" s="1804"/>
      <c r="FX250" s="1804"/>
      <c r="FY250" s="1804"/>
      <c r="FZ250" s="1804"/>
      <c r="GA250" s="1804"/>
      <c r="GB250" s="1804"/>
      <c r="GC250" s="1804"/>
      <c r="GD250" s="1804"/>
      <c r="GE250" s="1804"/>
      <c r="GF250" s="1804"/>
      <c r="GG250" s="1804"/>
      <c r="GH250" s="1804"/>
      <c r="GI250" s="1804"/>
      <c r="GJ250" s="1804"/>
      <c r="GK250" s="1804"/>
      <c r="GL250" s="1804"/>
      <c r="GM250" s="1804"/>
      <c r="GN250" s="1804"/>
      <c r="GO250" s="1804"/>
      <c r="GP250" s="1804"/>
      <c r="GQ250" s="1804"/>
      <c r="GR250" s="1804"/>
      <c r="GS250" s="1804"/>
      <c r="GT250" s="1804"/>
      <c r="GU250" s="1804"/>
      <c r="GV250" s="1804"/>
      <c r="GW250" s="1804"/>
      <c r="GX250" s="1804"/>
      <c r="GY250" s="1804"/>
      <c r="GZ250" s="1804"/>
      <c r="HA250" s="1804"/>
      <c r="HB250" s="1804"/>
      <c r="HC250" s="1804"/>
      <c r="HD250" s="1804"/>
      <c r="HE250" s="1804"/>
      <c r="HF250" s="1804"/>
      <c r="HG250" s="1804"/>
      <c r="HH250" s="1804"/>
      <c r="HI250" s="1804"/>
      <c r="HJ250" s="1804"/>
      <c r="HK250" s="1804"/>
      <c r="HL250" s="1804"/>
      <c r="HM250" s="1804"/>
      <c r="HN250" s="1804"/>
      <c r="HO250" s="1804"/>
      <c r="HP250" s="1804"/>
      <c r="HQ250" s="1804"/>
      <c r="HR250" s="1804"/>
      <c r="HS250" s="1804"/>
      <c r="HT250" s="1804"/>
      <c r="HU250" s="1804"/>
      <c r="HV250" s="1804"/>
      <c r="HW250" s="1804"/>
      <c r="HX250" s="1804"/>
      <c r="HY250" s="1804"/>
      <c r="HZ250" s="1804"/>
      <c r="IA250" s="1804"/>
      <c r="IB250" s="1804"/>
      <c r="IC250" s="1804"/>
      <c r="ID250" s="1804"/>
      <c r="IE250" s="1804"/>
      <c r="IF250" s="1804"/>
      <c r="IG250" s="1804"/>
      <c r="IH250" s="1804"/>
      <c r="II250" s="1804"/>
      <c r="IJ250" s="1804"/>
      <c r="IK250" s="1804"/>
      <c r="IL250" s="1804"/>
      <c r="IM250" s="1804"/>
      <c r="IN250" s="1804"/>
      <c r="IO250" s="1804"/>
      <c r="IP250" s="1804"/>
      <c r="IQ250" s="1804"/>
      <c r="IR250" s="1804"/>
      <c r="IS250" s="1804"/>
      <c r="IT250" s="1804"/>
      <c r="IU250" s="1804"/>
      <c r="IV250" s="1804"/>
      <c r="IW250" s="1804"/>
    </row>
    <row r="251" spans="3:257" s="888" customFormat="1" x14ac:dyDescent="0.45">
      <c r="C251" s="67" t="s">
        <v>556</v>
      </c>
      <c r="D251" s="68" t="s">
        <v>659</v>
      </c>
      <c r="E251" s="69"/>
      <c r="F251" s="93">
        <v>0</v>
      </c>
      <c r="G251" s="93">
        <v>0</v>
      </c>
      <c r="H251" s="93">
        <v>0</v>
      </c>
      <c r="I251" s="94">
        <v>0</v>
      </c>
      <c r="J251" s="93">
        <v>0</v>
      </c>
      <c r="K251" s="93">
        <v>0</v>
      </c>
      <c r="L251" s="93">
        <v>0</v>
      </c>
      <c r="M251" s="94">
        <v>0</v>
      </c>
      <c r="N251" s="93">
        <v>0</v>
      </c>
      <c r="O251" s="93">
        <v>0</v>
      </c>
      <c r="P251" s="94">
        <v>0</v>
      </c>
      <c r="Q251" s="94">
        <v>0</v>
      </c>
      <c r="R251" s="94">
        <v>0</v>
      </c>
      <c r="S251" s="94">
        <v>0</v>
      </c>
      <c r="T251" s="94">
        <v>0</v>
      </c>
      <c r="U251" s="95">
        <v>0</v>
      </c>
      <c r="V251" s="95">
        <v>0</v>
      </c>
      <c r="W251" s="95">
        <v>0</v>
      </c>
      <c r="X251" s="95">
        <v>0</v>
      </c>
      <c r="Y251" s="95">
        <v>0</v>
      </c>
      <c r="Z251" s="95">
        <v>0</v>
      </c>
      <c r="AA251" s="95">
        <v>0</v>
      </c>
      <c r="AB251" s="95">
        <v>0</v>
      </c>
      <c r="AC251" s="95">
        <v>0</v>
      </c>
      <c r="AD251" s="95">
        <v>0</v>
      </c>
      <c r="AE251" s="95">
        <v>0</v>
      </c>
      <c r="AF251" s="99">
        <v>13.887579885212796</v>
      </c>
      <c r="AG251" s="95">
        <v>0</v>
      </c>
      <c r="AH251" s="95">
        <v>0</v>
      </c>
      <c r="AI251" s="95">
        <v>0</v>
      </c>
      <c r="AJ251" s="95">
        <v>0</v>
      </c>
      <c r="AK251" s="95">
        <v>0</v>
      </c>
      <c r="AL251" s="95">
        <v>0</v>
      </c>
      <c r="AM251" s="95">
        <v>0</v>
      </c>
      <c r="AN251" s="97">
        <v>0</v>
      </c>
      <c r="AO251" s="98">
        <f t="shared" si="15"/>
        <v>178288.75056636188</v>
      </c>
      <c r="AP251" s="1804"/>
      <c r="AQ251" s="1804"/>
      <c r="AR251" s="1804"/>
      <c r="AS251" s="1804"/>
      <c r="AT251" s="1804"/>
      <c r="AU251" s="1804"/>
      <c r="AV251" s="1804"/>
      <c r="AW251" s="1804"/>
      <c r="AX251" s="1804"/>
      <c r="AY251" s="1804"/>
      <c r="AZ251" s="1804"/>
      <c r="BA251" s="1804"/>
      <c r="BB251" s="1804"/>
      <c r="BC251" s="1804"/>
      <c r="BD251" s="1804"/>
      <c r="BE251" s="1804"/>
      <c r="BF251" s="1804"/>
      <c r="BG251" s="1804"/>
      <c r="BH251" s="1804"/>
      <c r="BI251" s="1804"/>
      <c r="BJ251" s="1804"/>
      <c r="BK251" s="1804"/>
      <c r="BL251" s="1804"/>
      <c r="BM251" s="1804"/>
      <c r="BN251" s="1804"/>
      <c r="BO251" s="1804"/>
      <c r="BP251" s="1804"/>
      <c r="BQ251" s="1804"/>
      <c r="BR251" s="1804"/>
      <c r="BS251" s="1804"/>
      <c r="BT251" s="1804"/>
      <c r="BU251" s="1804"/>
      <c r="BV251" s="1804"/>
      <c r="BW251" s="1804"/>
      <c r="BX251" s="1804"/>
      <c r="BY251" s="1804"/>
      <c r="BZ251" s="1804"/>
      <c r="CA251" s="1804"/>
      <c r="CB251" s="1804"/>
      <c r="CC251" s="1804"/>
      <c r="CD251" s="1804"/>
      <c r="CE251" s="1804"/>
      <c r="CF251" s="1804"/>
      <c r="CG251" s="1804"/>
      <c r="CH251" s="1804"/>
      <c r="CI251" s="1804"/>
      <c r="CJ251" s="1804"/>
      <c r="CK251" s="1804"/>
      <c r="CL251" s="1804"/>
      <c r="CM251" s="1804"/>
      <c r="CN251" s="1804"/>
      <c r="CO251" s="1804"/>
      <c r="CP251" s="1804"/>
      <c r="CQ251" s="1804"/>
      <c r="CR251" s="1804"/>
      <c r="CS251" s="1804"/>
      <c r="CT251" s="1804"/>
      <c r="CU251" s="1804"/>
      <c r="CV251" s="1804"/>
      <c r="CW251" s="1804"/>
      <c r="CX251" s="1804"/>
      <c r="CY251" s="1804"/>
      <c r="CZ251" s="1804"/>
      <c r="DA251" s="1804"/>
      <c r="DB251" s="1804"/>
      <c r="DC251" s="1804"/>
      <c r="DD251" s="1804"/>
      <c r="DE251" s="1804"/>
      <c r="DF251" s="1804"/>
      <c r="DG251" s="1804"/>
      <c r="DH251" s="1804"/>
      <c r="DI251" s="1804"/>
      <c r="DJ251" s="1804"/>
      <c r="DK251" s="1804"/>
      <c r="DL251" s="1804"/>
      <c r="DM251" s="1804"/>
      <c r="DN251" s="1804"/>
      <c r="DO251" s="1804"/>
      <c r="DP251" s="1804"/>
      <c r="DQ251" s="1804"/>
      <c r="DR251" s="1804"/>
      <c r="DS251" s="1804"/>
      <c r="DT251" s="1804"/>
      <c r="DU251" s="1804"/>
      <c r="DV251" s="1804"/>
      <c r="DW251" s="1804"/>
      <c r="DX251" s="1804"/>
      <c r="DY251" s="1804"/>
      <c r="DZ251" s="1804"/>
      <c r="EA251" s="1804"/>
      <c r="EB251" s="1804"/>
      <c r="EC251" s="1804"/>
      <c r="ED251" s="1804"/>
      <c r="EE251" s="1804"/>
      <c r="EF251" s="1804"/>
      <c r="EG251" s="1804"/>
      <c r="EH251" s="1804"/>
      <c r="EI251" s="1804"/>
      <c r="EJ251" s="1804"/>
      <c r="EK251" s="1804"/>
      <c r="EL251" s="1804"/>
      <c r="EM251" s="1804"/>
      <c r="EN251" s="1804"/>
      <c r="EO251" s="1804"/>
      <c r="EP251" s="1804"/>
      <c r="EQ251" s="1804"/>
      <c r="ER251" s="1804"/>
      <c r="ES251" s="1804"/>
      <c r="ET251" s="1804"/>
      <c r="EU251" s="1804"/>
      <c r="EV251" s="1804"/>
      <c r="EW251" s="1804"/>
      <c r="EX251" s="1804"/>
      <c r="EY251" s="1804"/>
      <c r="EZ251" s="1804"/>
      <c r="FA251" s="1804"/>
      <c r="FB251" s="1804"/>
      <c r="FC251" s="1804"/>
      <c r="FD251" s="1804"/>
      <c r="FE251" s="1804"/>
      <c r="FF251" s="1804"/>
      <c r="FG251" s="1804"/>
      <c r="FH251" s="1804"/>
      <c r="FI251" s="1804"/>
      <c r="FJ251" s="1804"/>
      <c r="FK251" s="1804"/>
      <c r="FL251" s="1804"/>
      <c r="FM251" s="1804"/>
      <c r="FN251" s="1804"/>
      <c r="FO251" s="1804"/>
      <c r="FP251" s="1804"/>
      <c r="FQ251" s="1804"/>
      <c r="FR251" s="1804"/>
      <c r="FS251" s="1804"/>
      <c r="FT251" s="1804"/>
      <c r="FU251" s="1804"/>
      <c r="FV251" s="1804"/>
      <c r="FW251" s="1804"/>
      <c r="FX251" s="1804"/>
      <c r="FY251" s="1804"/>
      <c r="FZ251" s="1804"/>
      <c r="GA251" s="1804"/>
      <c r="GB251" s="1804"/>
      <c r="GC251" s="1804"/>
      <c r="GD251" s="1804"/>
      <c r="GE251" s="1804"/>
      <c r="GF251" s="1804"/>
      <c r="GG251" s="1804"/>
      <c r="GH251" s="1804"/>
      <c r="GI251" s="1804"/>
      <c r="GJ251" s="1804"/>
      <c r="GK251" s="1804"/>
      <c r="GL251" s="1804"/>
      <c r="GM251" s="1804"/>
      <c r="GN251" s="1804"/>
      <c r="GO251" s="1804"/>
      <c r="GP251" s="1804"/>
      <c r="GQ251" s="1804"/>
      <c r="GR251" s="1804"/>
      <c r="GS251" s="1804"/>
      <c r="GT251" s="1804"/>
      <c r="GU251" s="1804"/>
      <c r="GV251" s="1804"/>
      <c r="GW251" s="1804"/>
      <c r="GX251" s="1804"/>
      <c r="GY251" s="1804"/>
      <c r="GZ251" s="1804"/>
      <c r="HA251" s="1804"/>
      <c r="HB251" s="1804"/>
      <c r="HC251" s="1804"/>
      <c r="HD251" s="1804"/>
      <c r="HE251" s="1804"/>
      <c r="HF251" s="1804"/>
      <c r="HG251" s="1804"/>
      <c r="HH251" s="1804"/>
      <c r="HI251" s="1804"/>
      <c r="HJ251" s="1804"/>
      <c r="HK251" s="1804"/>
      <c r="HL251" s="1804"/>
      <c r="HM251" s="1804"/>
      <c r="HN251" s="1804"/>
      <c r="HO251" s="1804"/>
      <c r="HP251" s="1804"/>
      <c r="HQ251" s="1804"/>
      <c r="HR251" s="1804"/>
      <c r="HS251" s="1804"/>
      <c r="HT251" s="1804"/>
      <c r="HU251" s="1804"/>
      <c r="HV251" s="1804"/>
      <c r="HW251" s="1804"/>
      <c r="HX251" s="1804"/>
      <c r="HY251" s="1804"/>
      <c r="HZ251" s="1804"/>
      <c r="IA251" s="1804"/>
      <c r="IB251" s="1804"/>
      <c r="IC251" s="1804"/>
      <c r="ID251" s="1804"/>
      <c r="IE251" s="1804"/>
      <c r="IF251" s="1804"/>
      <c r="IG251" s="1804"/>
      <c r="IH251" s="1804"/>
      <c r="II251" s="1804"/>
      <c r="IJ251" s="1804"/>
      <c r="IK251" s="1804"/>
      <c r="IL251" s="1804"/>
      <c r="IM251" s="1804"/>
      <c r="IN251" s="1804"/>
      <c r="IO251" s="1804"/>
      <c r="IP251" s="1804"/>
      <c r="IQ251" s="1804"/>
      <c r="IR251" s="1804"/>
      <c r="IS251" s="1804"/>
      <c r="IT251" s="1804"/>
      <c r="IU251" s="1804"/>
      <c r="IV251" s="1804"/>
      <c r="IW251" s="1804"/>
    </row>
    <row r="252" spans="3:257" s="888" customFormat="1" x14ac:dyDescent="0.45">
      <c r="C252" s="67" t="s">
        <v>557</v>
      </c>
      <c r="D252" s="68" t="s">
        <v>660</v>
      </c>
      <c r="E252" s="69"/>
      <c r="F252" s="93">
        <v>0</v>
      </c>
      <c r="G252" s="93">
        <v>0</v>
      </c>
      <c r="H252" s="93">
        <v>0</v>
      </c>
      <c r="I252" s="94">
        <v>0</v>
      </c>
      <c r="J252" s="93">
        <v>0</v>
      </c>
      <c r="K252" s="93">
        <v>0</v>
      </c>
      <c r="L252" s="93">
        <v>0</v>
      </c>
      <c r="M252" s="94">
        <v>0</v>
      </c>
      <c r="N252" s="93">
        <v>0</v>
      </c>
      <c r="O252" s="93">
        <v>0</v>
      </c>
      <c r="P252" s="94">
        <v>0</v>
      </c>
      <c r="Q252" s="94">
        <v>0</v>
      </c>
      <c r="R252" s="94">
        <v>0</v>
      </c>
      <c r="S252" s="94">
        <v>4109.2512082422872</v>
      </c>
      <c r="T252" s="94">
        <v>0</v>
      </c>
      <c r="U252" s="95">
        <v>0</v>
      </c>
      <c r="V252" s="95">
        <v>0</v>
      </c>
      <c r="W252" s="95">
        <v>0</v>
      </c>
      <c r="X252" s="95">
        <v>0</v>
      </c>
      <c r="Y252" s="95">
        <v>0</v>
      </c>
      <c r="Z252" s="95">
        <v>0</v>
      </c>
      <c r="AA252" s="95">
        <v>0</v>
      </c>
      <c r="AB252" s="95">
        <v>0</v>
      </c>
      <c r="AC252" s="95">
        <v>0</v>
      </c>
      <c r="AD252" s="95">
        <v>0</v>
      </c>
      <c r="AE252" s="95">
        <v>0</v>
      </c>
      <c r="AF252" s="95">
        <v>0</v>
      </c>
      <c r="AG252" s="95">
        <v>0</v>
      </c>
      <c r="AH252" s="95">
        <v>0</v>
      </c>
      <c r="AI252" s="95">
        <v>0</v>
      </c>
      <c r="AJ252" s="95">
        <v>0</v>
      </c>
      <c r="AK252" s="95">
        <v>0</v>
      </c>
      <c r="AL252" s="95">
        <v>0</v>
      </c>
      <c r="AM252" s="95">
        <v>0</v>
      </c>
      <c r="AN252" s="100">
        <v>0.19395080240208951</v>
      </c>
      <c r="AO252" s="98">
        <f t="shared" si="15"/>
        <v>52757056.951815724</v>
      </c>
      <c r="AP252" s="1804"/>
      <c r="AQ252" s="1804"/>
      <c r="AR252" s="1804"/>
      <c r="AS252" s="1804"/>
      <c r="AT252" s="1804"/>
      <c r="AU252" s="1804"/>
      <c r="AV252" s="1804"/>
      <c r="AW252" s="1804"/>
      <c r="AX252" s="1804"/>
      <c r="AY252" s="1804"/>
      <c r="AZ252" s="1804"/>
      <c r="BA252" s="1804"/>
      <c r="BB252" s="1804"/>
      <c r="BC252" s="1804"/>
      <c r="BD252" s="1804"/>
      <c r="BE252" s="1804"/>
      <c r="BF252" s="1804"/>
      <c r="BG252" s="1804"/>
      <c r="BH252" s="1804"/>
      <c r="BI252" s="1804"/>
      <c r="BJ252" s="1804"/>
      <c r="BK252" s="1804"/>
      <c r="BL252" s="1804"/>
      <c r="BM252" s="1804"/>
      <c r="BN252" s="1804"/>
      <c r="BO252" s="1804"/>
      <c r="BP252" s="1804"/>
      <c r="BQ252" s="1804"/>
      <c r="BR252" s="1804"/>
      <c r="BS252" s="1804"/>
      <c r="BT252" s="1804"/>
      <c r="BU252" s="1804"/>
      <c r="BV252" s="1804"/>
      <c r="BW252" s="1804"/>
      <c r="BX252" s="1804"/>
      <c r="BY252" s="1804"/>
      <c r="BZ252" s="1804"/>
      <c r="CA252" s="1804"/>
      <c r="CB252" s="1804"/>
      <c r="CC252" s="1804"/>
      <c r="CD252" s="1804"/>
      <c r="CE252" s="1804"/>
      <c r="CF252" s="1804"/>
      <c r="CG252" s="1804"/>
      <c r="CH252" s="1804"/>
      <c r="CI252" s="1804"/>
      <c r="CJ252" s="1804"/>
      <c r="CK252" s="1804"/>
      <c r="CL252" s="1804"/>
      <c r="CM252" s="1804"/>
      <c r="CN252" s="1804"/>
      <c r="CO252" s="1804"/>
      <c r="CP252" s="1804"/>
      <c r="CQ252" s="1804"/>
      <c r="CR252" s="1804"/>
      <c r="CS252" s="1804"/>
      <c r="CT252" s="1804"/>
      <c r="CU252" s="1804"/>
      <c r="CV252" s="1804"/>
      <c r="CW252" s="1804"/>
      <c r="CX252" s="1804"/>
      <c r="CY252" s="1804"/>
      <c r="CZ252" s="1804"/>
      <c r="DA252" s="1804"/>
      <c r="DB252" s="1804"/>
      <c r="DC252" s="1804"/>
      <c r="DD252" s="1804"/>
      <c r="DE252" s="1804"/>
      <c r="DF252" s="1804"/>
      <c r="DG252" s="1804"/>
      <c r="DH252" s="1804"/>
      <c r="DI252" s="1804"/>
      <c r="DJ252" s="1804"/>
      <c r="DK252" s="1804"/>
      <c r="DL252" s="1804"/>
      <c r="DM252" s="1804"/>
      <c r="DN252" s="1804"/>
      <c r="DO252" s="1804"/>
      <c r="DP252" s="1804"/>
      <c r="DQ252" s="1804"/>
      <c r="DR252" s="1804"/>
      <c r="DS252" s="1804"/>
      <c r="DT252" s="1804"/>
      <c r="DU252" s="1804"/>
      <c r="DV252" s="1804"/>
      <c r="DW252" s="1804"/>
      <c r="DX252" s="1804"/>
      <c r="DY252" s="1804"/>
      <c r="DZ252" s="1804"/>
      <c r="EA252" s="1804"/>
      <c r="EB252" s="1804"/>
      <c r="EC252" s="1804"/>
      <c r="ED252" s="1804"/>
      <c r="EE252" s="1804"/>
      <c r="EF252" s="1804"/>
      <c r="EG252" s="1804"/>
      <c r="EH252" s="1804"/>
      <c r="EI252" s="1804"/>
      <c r="EJ252" s="1804"/>
      <c r="EK252" s="1804"/>
      <c r="EL252" s="1804"/>
      <c r="EM252" s="1804"/>
      <c r="EN252" s="1804"/>
      <c r="EO252" s="1804"/>
      <c r="EP252" s="1804"/>
      <c r="EQ252" s="1804"/>
      <c r="ER252" s="1804"/>
      <c r="ES252" s="1804"/>
      <c r="ET252" s="1804"/>
      <c r="EU252" s="1804"/>
      <c r="EV252" s="1804"/>
      <c r="EW252" s="1804"/>
      <c r="EX252" s="1804"/>
      <c r="EY252" s="1804"/>
      <c r="EZ252" s="1804"/>
      <c r="FA252" s="1804"/>
      <c r="FB252" s="1804"/>
      <c r="FC252" s="1804"/>
      <c r="FD252" s="1804"/>
      <c r="FE252" s="1804"/>
      <c r="FF252" s="1804"/>
      <c r="FG252" s="1804"/>
      <c r="FH252" s="1804"/>
      <c r="FI252" s="1804"/>
      <c r="FJ252" s="1804"/>
      <c r="FK252" s="1804"/>
      <c r="FL252" s="1804"/>
      <c r="FM252" s="1804"/>
      <c r="FN252" s="1804"/>
      <c r="FO252" s="1804"/>
      <c r="FP252" s="1804"/>
      <c r="FQ252" s="1804"/>
      <c r="FR252" s="1804"/>
      <c r="FS252" s="1804"/>
      <c r="FT252" s="1804"/>
      <c r="FU252" s="1804"/>
      <c r="FV252" s="1804"/>
      <c r="FW252" s="1804"/>
      <c r="FX252" s="1804"/>
      <c r="FY252" s="1804"/>
      <c r="FZ252" s="1804"/>
      <c r="GA252" s="1804"/>
      <c r="GB252" s="1804"/>
      <c r="GC252" s="1804"/>
      <c r="GD252" s="1804"/>
      <c r="GE252" s="1804"/>
      <c r="GF252" s="1804"/>
      <c r="GG252" s="1804"/>
      <c r="GH252" s="1804"/>
      <c r="GI252" s="1804"/>
      <c r="GJ252" s="1804"/>
      <c r="GK252" s="1804"/>
      <c r="GL252" s="1804"/>
      <c r="GM252" s="1804"/>
      <c r="GN252" s="1804"/>
      <c r="GO252" s="1804"/>
      <c r="GP252" s="1804"/>
      <c r="GQ252" s="1804"/>
      <c r="GR252" s="1804"/>
      <c r="GS252" s="1804"/>
      <c r="GT252" s="1804"/>
      <c r="GU252" s="1804"/>
      <c r="GV252" s="1804"/>
      <c r="GW252" s="1804"/>
      <c r="GX252" s="1804"/>
      <c r="GY252" s="1804"/>
      <c r="GZ252" s="1804"/>
      <c r="HA252" s="1804"/>
      <c r="HB252" s="1804"/>
      <c r="HC252" s="1804"/>
      <c r="HD252" s="1804"/>
      <c r="HE252" s="1804"/>
      <c r="HF252" s="1804"/>
      <c r="HG252" s="1804"/>
      <c r="HH252" s="1804"/>
      <c r="HI252" s="1804"/>
      <c r="HJ252" s="1804"/>
      <c r="HK252" s="1804"/>
      <c r="HL252" s="1804"/>
      <c r="HM252" s="1804"/>
      <c r="HN252" s="1804"/>
      <c r="HO252" s="1804"/>
      <c r="HP252" s="1804"/>
      <c r="HQ252" s="1804"/>
      <c r="HR252" s="1804"/>
      <c r="HS252" s="1804"/>
      <c r="HT252" s="1804"/>
      <c r="HU252" s="1804"/>
      <c r="HV252" s="1804"/>
      <c r="HW252" s="1804"/>
      <c r="HX252" s="1804"/>
      <c r="HY252" s="1804"/>
      <c r="HZ252" s="1804"/>
      <c r="IA252" s="1804"/>
      <c r="IB252" s="1804"/>
      <c r="IC252" s="1804"/>
      <c r="ID252" s="1804"/>
      <c r="IE252" s="1804"/>
      <c r="IF252" s="1804"/>
      <c r="IG252" s="1804"/>
      <c r="IH252" s="1804"/>
      <c r="II252" s="1804"/>
      <c r="IJ252" s="1804"/>
      <c r="IK252" s="1804"/>
      <c r="IL252" s="1804"/>
      <c r="IM252" s="1804"/>
      <c r="IN252" s="1804"/>
      <c r="IO252" s="1804"/>
      <c r="IP252" s="1804"/>
      <c r="IQ252" s="1804"/>
      <c r="IR252" s="1804"/>
      <c r="IS252" s="1804"/>
      <c r="IT252" s="1804"/>
      <c r="IU252" s="1804"/>
      <c r="IV252" s="1804"/>
      <c r="IW252" s="1804"/>
    </row>
    <row r="253" spans="3:257" s="888" customFormat="1" x14ac:dyDescent="0.45">
      <c r="C253" s="67" t="s">
        <v>558</v>
      </c>
      <c r="D253" s="68" t="s">
        <v>661</v>
      </c>
      <c r="E253" s="69"/>
      <c r="F253" s="93">
        <v>0</v>
      </c>
      <c r="G253" s="93">
        <v>0</v>
      </c>
      <c r="H253" s="93">
        <v>0</v>
      </c>
      <c r="I253" s="94">
        <v>0</v>
      </c>
      <c r="J253" s="93">
        <v>0</v>
      </c>
      <c r="K253" s="93">
        <v>0</v>
      </c>
      <c r="L253" s="93">
        <v>0</v>
      </c>
      <c r="M253" s="94">
        <v>0</v>
      </c>
      <c r="N253" s="93">
        <v>0</v>
      </c>
      <c r="O253" s="93">
        <v>0</v>
      </c>
      <c r="P253" s="94">
        <v>0</v>
      </c>
      <c r="Q253" s="94">
        <v>0</v>
      </c>
      <c r="R253" s="94">
        <v>0</v>
      </c>
      <c r="S253" s="94">
        <v>190.32172839307049</v>
      </c>
      <c r="T253" s="94">
        <v>0</v>
      </c>
      <c r="U253" s="95">
        <v>0</v>
      </c>
      <c r="V253" s="95">
        <v>0</v>
      </c>
      <c r="W253" s="95">
        <v>0</v>
      </c>
      <c r="X253" s="95">
        <v>0</v>
      </c>
      <c r="Y253" s="95">
        <v>0</v>
      </c>
      <c r="Z253" s="95">
        <v>0</v>
      </c>
      <c r="AA253" s="95">
        <v>0</v>
      </c>
      <c r="AB253" s="95">
        <v>0</v>
      </c>
      <c r="AC253" s="95">
        <v>0</v>
      </c>
      <c r="AD253" s="95">
        <v>0</v>
      </c>
      <c r="AE253" s="95">
        <v>0</v>
      </c>
      <c r="AF253" s="95">
        <v>0</v>
      </c>
      <c r="AG253" s="95">
        <v>0</v>
      </c>
      <c r="AH253" s="95">
        <v>0</v>
      </c>
      <c r="AI253" s="95">
        <v>0</v>
      </c>
      <c r="AJ253" s="95">
        <v>0</v>
      </c>
      <c r="AK253" s="95">
        <v>0</v>
      </c>
      <c r="AL253" s="95">
        <v>0</v>
      </c>
      <c r="AM253" s="95">
        <v>0</v>
      </c>
      <c r="AN253" s="97">
        <v>0</v>
      </c>
      <c r="AO253" s="98">
        <f t="shared" si="15"/>
        <v>2443350.3491102387</v>
      </c>
      <c r="AP253" s="1804"/>
      <c r="AQ253" s="1804"/>
      <c r="AR253" s="1804"/>
      <c r="AS253" s="1804"/>
      <c r="AT253" s="1804"/>
      <c r="AU253" s="1804"/>
      <c r="AV253" s="1804"/>
      <c r="AW253" s="1804"/>
      <c r="AX253" s="1804"/>
      <c r="AY253" s="1804"/>
      <c r="AZ253" s="1804"/>
      <c r="BA253" s="1804"/>
      <c r="BB253" s="1804"/>
      <c r="BC253" s="1804"/>
      <c r="BD253" s="1804"/>
      <c r="BE253" s="1804"/>
      <c r="BF253" s="1804"/>
      <c r="BG253" s="1804"/>
      <c r="BH253" s="1804"/>
      <c r="BI253" s="1804"/>
      <c r="BJ253" s="1804"/>
      <c r="BK253" s="1804"/>
      <c r="BL253" s="1804"/>
      <c r="BM253" s="1804"/>
      <c r="BN253" s="1804"/>
      <c r="BO253" s="1804"/>
      <c r="BP253" s="1804"/>
      <c r="BQ253" s="1804"/>
      <c r="BR253" s="1804"/>
      <c r="BS253" s="1804"/>
      <c r="BT253" s="1804"/>
      <c r="BU253" s="1804"/>
      <c r="BV253" s="1804"/>
      <c r="BW253" s="1804"/>
      <c r="BX253" s="1804"/>
      <c r="BY253" s="1804"/>
      <c r="BZ253" s="1804"/>
      <c r="CA253" s="1804"/>
      <c r="CB253" s="1804"/>
      <c r="CC253" s="1804"/>
      <c r="CD253" s="1804"/>
      <c r="CE253" s="1804"/>
      <c r="CF253" s="1804"/>
      <c r="CG253" s="1804"/>
      <c r="CH253" s="1804"/>
      <c r="CI253" s="1804"/>
      <c r="CJ253" s="1804"/>
      <c r="CK253" s="1804"/>
      <c r="CL253" s="1804"/>
      <c r="CM253" s="1804"/>
      <c r="CN253" s="1804"/>
      <c r="CO253" s="1804"/>
      <c r="CP253" s="1804"/>
      <c r="CQ253" s="1804"/>
      <c r="CR253" s="1804"/>
      <c r="CS253" s="1804"/>
      <c r="CT253" s="1804"/>
      <c r="CU253" s="1804"/>
      <c r="CV253" s="1804"/>
      <c r="CW253" s="1804"/>
      <c r="CX253" s="1804"/>
      <c r="CY253" s="1804"/>
      <c r="CZ253" s="1804"/>
      <c r="DA253" s="1804"/>
      <c r="DB253" s="1804"/>
      <c r="DC253" s="1804"/>
      <c r="DD253" s="1804"/>
      <c r="DE253" s="1804"/>
      <c r="DF253" s="1804"/>
      <c r="DG253" s="1804"/>
      <c r="DH253" s="1804"/>
      <c r="DI253" s="1804"/>
      <c r="DJ253" s="1804"/>
      <c r="DK253" s="1804"/>
      <c r="DL253" s="1804"/>
      <c r="DM253" s="1804"/>
      <c r="DN253" s="1804"/>
      <c r="DO253" s="1804"/>
      <c r="DP253" s="1804"/>
      <c r="DQ253" s="1804"/>
      <c r="DR253" s="1804"/>
      <c r="DS253" s="1804"/>
      <c r="DT253" s="1804"/>
      <c r="DU253" s="1804"/>
      <c r="DV253" s="1804"/>
      <c r="DW253" s="1804"/>
      <c r="DX253" s="1804"/>
      <c r="DY253" s="1804"/>
      <c r="DZ253" s="1804"/>
      <c r="EA253" s="1804"/>
      <c r="EB253" s="1804"/>
      <c r="EC253" s="1804"/>
      <c r="ED253" s="1804"/>
      <c r="EE253" s="1804"/>
      <c r="EF253" s="1804"/>
      <c r="EG253" s="1804"/>
      <c r="EH253" s="1804"/>
      <c r="EI253" s="1804"/>
      <c r="EJ253" s="1804"/>
      <c r="EK253" s="1804"/>
      <c r="EL253" s="1804"/>
      <c r="EM253" s="1804"/>
      <c r="EN253" s="1804"/>
      <c r="EO253" s="1804"/>
      <c r="EP253" s="1804"/>
      <c r="EQ253" s="1804"/>
      <c r="ER253" s="1804"/>
      <c r="ES253" s="1804"/>
      <c r="ET253" s="1804"/>
      <c r="EU253" s="1804"/>
      <c r="EV253" s="1804"/>
      <c r="EW253" s="1804"/>
      <c r="EX253" s="1804"/>
      <c r="EY253" s="1804"/>
      <c r="EZ253" s="1804"/>
      <c r="FA253" s="1804"/>
      <c r="FB253" s="1804"/>
      <c r="FC253" s="1804"/>
      <c r="FD253" s="1804"/>
      <c r="FE253" s="1804"/>
      <c r="FF253" s="1804"/>
      <c r="FG253" s="1804"/>
      <c r="FH253" s="1804"/>
      <c r="FI253" s="1804"/>
      <c r="FJ253" s="1804"/>
      <c r="FK253" s="1804"/>
      <c r="FL253" s="1804"/>
      <c r="FM253" s="1804"/>
      <c r="FN253" s="1804"/>
      <c r="FO253" s="1804"/>
      <c r="FP253" s="1804"/>
      <c r="FQ253" s="1804"/>
      <c r="FR253" s="1804"/>
      <c r="FS253" s="1804"/>
      <c r="FT253" s="1804"/>
      <c r="FU253" s="1804"/>
      <c r="FV253" s="1804"/>
      <c r="FW253" s="1804"/>
      <c r="FX253" s="1804"/>
      <c r="FY253" s="1804"/>
      <c r="FZ253" s="1804"/>
      <c r="GA253" s="1804"/>
      <c r="GB253" s="1804"/>
      <c r="GC253" s="1804"/>
      <c r="GD253" s="1804"/>
      <c r="GE253" s="1804"/>
      <c r="GF253" s="1804"/>
      <c r="GG253" s="1804"/>
      <c r="GH253" s="1804"/>
      <c r="GI253" s="1804"/>
      <c r="GJ253" s="1804"/>
      <c r="GK253" s="1804"/>
      <c r="GL253" s="1804"/>
      <c r="GM253" s="1804"/>
      <c r="GN253" s="1804"/>
      <c r="GO253" s="1804"/>
      <c r="GP253" s="1804"/>
      <c r="GQ253" s="1804"/>
      <c r="GR253" s="1804"/>
      <c r="GS253" s="1804"/>
      <c r="GT253" s="1804"/>
      <c r="GU253" s="1804"/>
      <c r="GV253" s="1804"/>
      <c r="GW253" s="1804"/>
      <c r="GX253" s="1804"/>
      <c r="GY253" s="1804"/>
      <c r="GZ253" s="1804"/>
      <c r="HA253" s="1804"/>
      <c r="HB253" s="1804"/>
      <c r="HC253" s="1804"/>
      <c r="HD253" s="1804"/>
      <c r="HE253" s="1804"/>
      <c r="HF253" s="1804"/>
      <c r="HG253" s="1804"/>
      <c r="HH253" s="1804"/>
      <c r="HI253" s="1804"/>
      <c r="HJ253" s="1804"/>
      <c r="HK253" s="1804"/>
      <c r="HL253" s="1804"/>
      <c r="HM253" s="1804"/>
      <c r="HN253" s="1804"/>
      <c r="HO253" s="1804"/>
      <c r="HP253" s="1804"/>
      <c r="HQ253" s="1804"/>
      <c r="HR253" s="1804"/>
      <c r="HS253" s="1804"/>
      <c r="HT253" s="1804"/>
      <c r="HU253" s="1804"/>
      <c r="HV253" s="1804"/>
      <c r="HW253" s="1804"/>
      <c r="HX253" s="1804"/>
      <c r="HY253" s="1804"/>
      <c r="HZ253" s="1804"/>
      <c r="IA253" s="1804"/>
      <c r="IB253" s="1804"/>
      <c r="IC253" s="1804"/>
      <c r="ID253" s="1804"/>
      <c r="IE253" s="1804"/>
      <c r="IF253" s="1804"/>
      <c r="IG253" s="1804"/>
      <c r="IH253" s="1804"/>
      <c r="II253" s="1804"/>
      <c r="IJ253" s="1804"/>
      <c r="IK253" s="1804"/>
      <c r="IL253" s="1804"/>
      <c r="IM253" s="1804"/>
      <c r="IN253" s="1804"/>
      <c r="IO253" s="1804"/>
      <c r="IP253" s="1804"/>
      <c r="IQ253" s="1804"/>
      <c r="IR253" s="1804"/>
      <c r="IS253" s="1804"/>
      <c r="IT253" s="1804"/>
      <c r="IU253" s="1804"/>
      <c r="IV253" s="1804"/>
      <c r="IW253" s="1804"/>
    </row>
    <row r="254" spans="3:257" s="888" customFormat="1" x14ac:dyDescent="0.45">
      <c r="C254" s="67" t="s">
        <v>559</v>
      </c>
      <c r="D254" s="68" t="s">
        <v>662</v>
      </c>
      <c r="E254" s="69"/>
      <c r="F254" s="93">
        <v>0</v>
      </c>
      <c r="G254" s="93">
        <v>4366.6390197854616</v>
      </c>
      <c r="H254" s="93">
        <v>0</v>
      </c>
      <c r="I254" s="94">
        <v>0</v>
      </c>
      <c r="J254" s="93">
        <v>0</v>
      </c>
      <c r="K254" s="93">
        <v>0</v>
      </c>
      <c r="L254" s="93">
        <v>0</v>
      </c>
      <c r="M254" s="94">
        <v>0</v>
      </c>
      <c r="N254" s="93">
        <v>0</v>
      </c>
      <c r="O254" s="93">
        <v>0</v>
      </c>
      <c r="P254" s="94">
        <v>0</v>
      </c>
      <c r="Q254" s="94">
        <v>0</v>
      </c>
      <c r="R254" s="94">
        <v>0</v>
      </c>
      <c r="S254" s="94">
        <v>0</v>
      </c>
      <c r="T254" s="94">
        <v>0</v>
      </c>
      <c r="U254" s="95">
        <v>0</v>
      </c>
      <c r="V254" s="95">
        <v>0</v>
      </c>
      <c r="W254" s="95">
        <v>0</v>
      </c>
      <c r="X254" s="95">
        <v>0</v>
      </c>
      <c r="Y254" s="95">
        <v>0</v>
      </c>
      <c r="Z254" s="95">
        <v>0</v>
      </c>
      <c r="AA254" s="95">
        <v>0</v>
      </c>
      <c r="AB254" s="95">
        <v>0</v>
      </c>
      <c r="AC254" s="99">
        <v>0.69502361786094191</v>
      </c>
      <c r="AD254" s="99">
        <v>77.687072082139053</v>
      </c>
      <c r="AE254" s="95">
        <v>0</v>
      </c>
      <c r="AF254" s="95">
        <v>0</v>
      </c>
      <c r="AG254" s="95">
        <v>0</v>
      </c>
      <c r="AH254" s="95">
        <v>0</v>
      </c>
      <c r="AI254" s="95">
        <v>0</v>
      </c>
      <c r="AJ254" s="95">
        <v>0</v>
      </c>
      <c r="AK254" s="95">
        <v>0</v>
      </c>
      <c r="AL254" s="95">
        <v>0</v>
      </c>
      <c r="AM254" s="95">
        <v>0</v>
      </c>
      <c r="AN254" s="97">
        <v>0</v>
      </c>
      <c r="AO254" s="98">
        <f t="shared" si="15"/>
        <v>57065181.080602355</v>
      </c>
      <c r="AP254" s="1804"/>
      <c r="AQ254" s="1804"/>
      <c r="AR254" s="1804"/>
      <c r="AS254" s="1804"/>
      <c r="AT254" s="1804"/>
      <c r="AU254" s="1804"/>
      <c r="AV254" s="1804"/>
      <c r="AW254" s="1804"/>
      <c r="AX254" s="1804"/>
      <c r="AY254" s="1804"/>
      <c r="AZ254" s="1804"/>
      <c r="BA254" s="1804"/>
      <c r="BB254" s="1804"/>
      <c r="BC254" s="1804"/>
      <c r="BD254" s="1804"/>
      <c r="BE254" s="1804"/>
      <c r="BF254" s="1804"/>
      <c r="BG254" s="1804"/>
      <c r="BH254" s="1804"/>
      <c r="BI254" s="1804"/>
      <c r="BJ254" s="1804"/>
      <c r="BK254" s="1804"/>
      <c r="BL254" s="1804"/>
      <c r="BM254" s="1804"/>
      <c r="BN254" s="1804"/>
      <c r="BO254" s="1804"/>
      <c r="BP254" s="1804"/>
      <c r="BQ254" s="1804"/>
      <c r="BR254" s="1804"/>
      <c r="BS254" s="1804"/>
      <c r="BT254" s="1804"/>
      <c r="BU254" s="1804"/>
      <c r="BV254" s="1804"/>
      <c r="BW254" s="1804"/>
      <c r="BX254" s="1804"/>
      <c r="BY254" s="1804"/>
      <c r="BZ254" s="1804"/>
      <c r="CA254" s="1804"/>
      <c r="CB254" s="1804"/>
      <c r="CC254" s="1804"/>
      <c r="CD254" s="1804"/>
      <c r="CE254" s="1804"/>
      <c r="CF254" s="1804"/>
      <c r="CG254" s="1804"/>
      <c r="CH254" s="1804"/>
      <c r="CI254" s="1804"/>
      <c r="CJ254" s="1804"/>
      <c r="CK254" s="1804"/>
      <c r="CL254" s="1804"/>
      <c r="CM254" s="1804"/>
      <c r="CN254" s="1804"/>
      <c r="CO254" s="1804"/>
      <c r="CP254" s="1804"/>
      <c r="CQ254" s="1804"/>
      <c r="CR254" s="1804"/>
      <c r="CS254" s="1804"/>
      <c r="CT254" s="1804"/>
      <c r="CU254" s="1804"/>
      <c r="CV254" s="1804"/>
      <c r="CW254" s="1804"/>
      <c r="CX254" s="1804"/>
      <c r="CY254" s="1804"/>
      <c r="CZ254" s="1804"/>
      <c r="DA254" s="1804"/>
      <c r="DB254" s="1804"/>
      <c r="DC254" s="1804"/>
      <c r="DD254" s="1804"/>
      <c r="DE254" s="1804"/>
      <c r="DF254" s="1804"/>
      <c r="DG254" s="1804"/>
      <c r="DH254" s="1804"/>
      <c r="DI254" s="1804"/>
      <c r="DJ254" s="1804"/>
      <c r="DK254" s="1804"/>
      <c r="DL254" s="1804"/>
      <c r="DM254" s="1804"/>
      <c r="DN254" s="1804"/>
      <c r="DO254" s="1804"/>
      <c r="DP254" s="1804"/>
      <c r="DQ254" s="1804"/>
      <c r="DR254" s="1804"/>
      <c r="DS254" s="1804"/>
      <c r="DT254" s="1804"/>
      <c r="DU254" s="1804"/>
      <c r="DV254" s="1804"/>
      <c r="DW254" s="1804"/>
      <c r="DX254" s="1804"/>
      <c r="DY254" s="1804"/>
      <c r="DZ254" s="1804"/>
      <c r="EA254" s="1804"/>
      <c r="EB254" s="1804"/>
      <c r="EC254" s="1804"/>
      <c r="ED254" s="1804"/>
      <c r="EE254" s="1804"/>
      <c r="EF254" s="1804"/>
      <c r="EG254" s="1804"/>
      <c r="EH254" s="1804"/>
      <c r="EI254" s="1804"/>
      <c r="EJ254" s="1804"/>
      <c r="EK254" s="1804"/>
      <c r="EL254" s="1804"/>
      <c r="EM254" s="1804"/>
      <c r="EN254" s="1804"/>
      <c r="EO254" s="1804"/>
      <c r="EP254" s="1804"/>
      <c r="EQ254" s="1804"/>
      <c r="ER254" s="1804"/>
      <c r="ES254" s="1804"/>
      <c r="ET254" s="1804"/>
      <c r="EU254" s="1804"/>
      <c r="EV254" s="1804"/>
      <c r="EW254" s="1804"/>
      <c r="EX254" s="1804"/>
      <c r="EY254" s="1804"/>
      <c r="EZ254" s="1804"/>
      <c r="FA254" s="1804"/>
      <c r="FB254" s="1804"/>
      <c r="FC254" s="1804"/>
      <c r="FD254" s="1804"/>
      <c r="FE254" s="1804"/>
      <c r="FF254" s="1804"/>
      <c r="FG254" s="1804"/>
      <c r="FH254" s="1804"/>
      <c r="FI254" s="1804"/>
      <c r="FJ254" s="1804"/>
      <c r="FK254" s="1804"/>
      <c r="FL254" s="1804"/>
      <c r="FM254" s="1804"/>
      <c r="FN254" s="1804"/>
      <c r="FO254" s="1804"/>
      <c r="FP254" s="1804"/>
      <c r="FQ254" s="1804"/>
      <c r="FR254" s="1804"/>
      <c r="FS254" s="1804"/>
      <c r="FT254" s="1804"/>
      <c r="FU254" s="1804"/>
      <c r="FV254" s="1804"/>
      <c r="FW254" s="1804"/>
      <c r="FX254" s="1804"/>
      <c r="FY254" s="1804"/>
      <c r="FZ254" s="1804"/>
      <c r="GA254" s="1804"/>
      <c r="GB254" s="1804"/>
      <c r="GC254" s="1804"/>
      <c r="GD254" s="1804"/>
      <c r="GE254" s="1804"/>
      <c r="GF254" s="1804"/>
      <c r="GG254" s="1804"/>
      <c r="GH254" s="1804"/>
      <c r="GI254" s="1804"/>
      <c r="GJ254" s="1804"/>
      <c r="GK254" s="1804"/>
      <c r="GL254" s="1804"/>
      <c r="GM254" s="1804"/>
      <c r="GN254" s="1804"/>
      <c r="GO254" s="1804"/>
      <c r="GP254" s="1804"/>
      <c r="GQ254" s="1804"/>
      <c r="GR254" s="1804"/>
      <c r="GS254" s="1804"/>
      <c r="GT254" s="1804"/>
      <c r="GU254" s="1804"/>
      <c r="GV254" s="1804"/>
      <c r="GW254" s="1804"/>
      <c r="GX254" s="1804"/>
      <c r="GY254" s="1804"/>
      <c r="GZ254" s="1804"/>
      <c r="HA254" s="1804"/>
      <c r="HB254" s="1804"/>
      <c r="HC254" s="1804"/>
      <c r="HD254" s="1804"/>
      <c r="HE254" s="1804"/>
      <c r="HF254" s="1804"/>
      <c r="HG254" s="1804"/>
      <c r="HH254" s="1804"/>
      <c r="HI254" s="1804"/>
      <c r="HJ254" s="1804"/>
      <c r="HK254" s="1804"/>
      <c r="HL254" s="1804"/>
      <c r="HM254" s="1804"/>
      <c r="HN254" s="1804"/>
      <c r="HO254" s="1804"/>
      <c r="HP254" s="1804"/>
      <c r="HQ254" s="1804"/>
      <c r="HR254" s="1804"/>
      <c r="HS254" s="1804"/>
      <c r="HT254" s="1804"/>
      <c r="HU254" s="1804"/>
      <c r="HV254" s="1804"/>
      <c r="HW254" s="1804"/>
      <c r="HX254" s="1804"/>
      <c r="HY254" s="1804"/>
      <c r="HZ254" s="1804"/>
      <c r="IA254" s="1804"/>
      <c r="IB254" s="1804"/>
      <c r="IC254" s="1804"/>
      <c r="ID254" s="1804"/>
      <c r="IE254" s="1804"/>
      <c r="IF254" s="1804"/>
      <c r="IG254" s="1804"/>
      <c r="IH254" s="1804"/>
      <c r="II254" s="1804"/>
      <c r="IJ254" s="1804"/>
      <c r="IK254" s="1804"/>
      <c r="IL254" s="1804"/>
      <c r="IM254" s="1804"/>
      <c r="IN254" s="1804"/>
      <c r="IO254" s="1804"/>
      <c r="IP254" s="1804"/>
      <c r="IQ254" s="1804"/>
      <c r="IR254" s="1804"/>
      <c r="IS254" s="1804"/>
      <c r="IT254" s="1804"/>
      <c r="IU254" s="1804"/>
      <c r="IV254" s="1804"/>
      <c r="IW254" s="1804"/>
    </row>
    <row r="255" spans="3:257" s="888" customFormat="1" ht="14.65" thickBot="1" x14ac:dyDescent="0.5">
      <c r="C255" s="67" t="s">
        <v>560</v>
      </c>
      <c r="D255" s="68" t="s">
        <v>663</v>
      </c>
      <c r="E255" s="69"/>
      <c r="F255" s="93">
        <v>0</v>
      </c>
      <c r="G255" s="93">
        <v>0</v>
      </c>
      <c r="H255" s="93">
        <v>0</v>
      </c>
      <c r="I255" s="94">
        <v>0</v>
      </c>
      <c r="J255" s="93">
        <v>0</v>
      </c>
      <c r="K255" s="93">
        <v>0</v>
      </c>
      <c r="L255" s="93">
        <v>0</v>
      </c>
      <c r="M255" s="94">
        <v>0</v>
      </c>
      <c r="N255" s="93">
        <v>0</v>
      </c>
      <c r="O255" s="93">
        <v>0</v>
      </c>
      <c r="P255" s="94">
        <v>0</v>
      </c>
      <c r="Q255" s="94">
        <v>0</v>
      </c>
      <c r="R255" s="101">
        <v>0</v>
      </c>
      <c r="S255" s="101">
        <v>0</v>
      </c>
      <c r="T255" s="101">
        <v>0</v>
      </c>
      <c r="U255" s="102">
        <v>0</v>
      </c>
      <c r="V255" s="102">
        <v>0</v>
      </c>
      <c r="W255" s="102">
        <v>0</v>
      </c>
      <c r="X255" s="102">
        <v>0</v>
      </c>
      <c r="Y255" s="102">
        <v>0</v>
      </c>
      <c r="Z255" s="95">
        <v>0</v>
      </c>
      <c r="AA255" s="95">
        <v>0</v>
      </c>
      <c r="AB255" s="95">
        <v>0</v>
      </c>
      <c r="AC255" s="102">
        <v>0</v>
      </c>
      <c r="AD255" s="102">
        <v>0</v>
      </c>
      <c r="AE255" s="102">
        <v>0</v>
      </c>
      <c r="AF255" s="102">
        <v>0</v>
      </c>
      <c r="AG255" s="102">
        <v>0</v>
      </c>
      <c r="AH255" s="102">
        <v>0</v>
      </c>
      <c r="AI255" s="102">
        <v>0</v>
      </c>
      <c r="AJ255" s="102">
        <v>0</v>
      </c>
      <c r="AK255" s="102">
        <v>0</v>
      </c>
      <c r="AL255" s="102">
        <v>0</v>
      </c>
      <c r="AM255" s="102">
        <v>0</v>
      </c>
      <c r="AN255" s="97">
        <v>0</v>
      </c>
      <c r="AO255" s="98">
        <f t="shared" si="15"/>
        <v>0</v>
      </c>
      <c r="AP255" s="1804"/>
      <c r="AQ255" s="1804"/>
      <c r="AR255" s="1804"/>
      <c r="AS255" s="1804"/>
      <c r="AT255" s="1819"/>
      <c r="AU255" s="1819"/>
      <c r="AV255" s="1819"/>
      <c r="AW255" s="1819"/>
      <c r="AX255" s="1819"/>
      <c r="AY255" s="1819"/>
      <c r="AZ255" s="1819"/>
      <c r="BA255" s="1819"/>
      <c r="BB255" s="1819"/>
      <c r="BC255" s="1819"/>
      <c r="BD255" s="1819"/>
      <c r="BE255" s="1819"/>
      <c r="BF255" s="1819"/>
      <c r="BG255" s="1819"/>
      <c r="BH255" s="1819"/>
      <c r="BI255" s="1819"/>
      <c r="BJ255" s="1819"/>
      <c r="BK255" s="1819"/>
      <c r="BL255" s="1819"/>
      <c r="BM255" s="1819"/>
      <c r="BN255" s="1819"/>
      <c r="BO255" s="1819"/>
      <c r="BP255" s="1819"/>
      <c r="BQ255" s="1819"/>
      <c r="BR255" s="1819"/>
      <c r="BS255" s="1819"/>
      <c r="BT255" s="1819"/>
      <c r="BU255" s="1819"/>
      <c r="BV255" s="1819"/>
      <c r="BW255" s="1819"/>
      <c r="BX255" s="1819"/>
      <c r="BY255" s="1819"/>
      <c r="BZ255" s="1819"/>
      <c r="CA255" s="1819"/>
      <c r="CB255" s="1819"/>
      <c r="CC255" s="1819"/>
      <c r="CD255" s="1819"/>
      <c r="CE255" s="1819"/>
      <c r="CF255" s="1819"/>
      <c r="CG255" s="1819"/>
      <c r="CH255" s="1819"/>
      <c r="CI255" s="1819"/>
      <c r="CJ255" s="1819"/>
      <c r="CK255" s="1819"/>
      <c r="CL255" s="1819"/>
      <c r="CM255" s="1819"/>
      <c r="CN255" s="1819"/>
      <c r="CO255" s="1819"/>
      <c r="CP255" s="1819"/>
      <c r="CQ255" s="1819"/>
      <c r="CR255" s="1819"/>
      <c r="CS255" s="1819"/>
      <c r="CT255" s="1819"/>
      <c r="CU255" s="1819"/>
      <c r="CV255" s="1819"/>
      <c r="CW255" s="1819"/>
      <c r="CX255" s="1819"/>
      <c r="CY255" s="1819"/>
      <c r="CZ255" s="1819"/>
      <c r="DA255" s="1819"/>
      <c r="DB255" s="1819"/>
      <c r="DC255" s="1819"/>
      <c r="DD255" s="1819"/>
      <c r="DE255" s="1819"/>
      <c r="DF255" s="1819"/>
      <c r="DG255" s="1819"/>
      <c r="DH255" s="1819"/>
      <c r="DI255" s="1819"/>
      <c r="DJ255" s="1819"/>
      <c r="DK255" s="1819"/>
      <c r="DL255" s="1819"/>
      <c r="DM255" s="1819"/>
      <c r="DN255" s="1819"/>
      <c r="DO255" s="1819"/>
      <c r="DP255" s="1819"/>
      <c r="DQ255" s="1819"/>
      <c r="DR255" s="1819"/>
      <c r="DS255" s="1819"/>
      <c r="DT255" s="1819"/>
      <c r="DU255" s="1819"/>
      <c r="DV255" s="1819"/>
      <c r="DW255" s="1819"/>
      <c r="DX255" s="1819"/>
      <c r="DY255" s="1819"/>
      <c r="DZ255" s="1819"/>
      <c r="EA255" s="1819"/>
      <c r="EB255" s="1819"/>
      <c r="EC255" s="1819"/>
      <c r="ED255" s="1819"/>
      <c r="EE255" s="1819"/>
      <c r="EF255" s="1819"/>
      <c r="EG255" s="1819"/>
      <c r="EH255" s="1819"/>
      <c r="EI255" s="1819"/>
      <c r="EJ255" s="1819"/>
      <c r="EK255" s="1819"/>
      <c r="EL255" s="1819"/>
      <c r="EM255" s="1819"/>
      <c r="EN255" s="1819"/>
      <c r="EO255" s="1819"/>
      <c r="EP255" s="1819"/>
      <c r="EQ255" s="1819"/>
      <c r="ER255" s="1819"/>
      <c r="ES255" s="1819"/>
      <c r="ET255" s="1819"/>
      <c r="EU255" s="1819"/>
      <c r="EV255" s="1819"/>
      <c r="EW255" s="1819"/>
      <c r="EX255" s="1819"/>
      <c r="EY255" s="1819"/>
      <c r="EZ255" s="1819"/>
      <c r="FA255" s="1819"/>
      <c r="FB255" s="1819"/>
      <c r="FC255" s="1819"/>
      <c r="FD255" s="1819"/>
      <c r="FE255" s="1819"/>
      <c r="FF255" s="1819"/>
      <c r="FG255" s="1819"/>
      <c r="FH255" s="1819"/>
      <c r="FI255" s="1819"/>
      <c r="FJ255" s="1819"/>
      <c r="FK255" s="1819"/>
      <c r="FL255" s="1819"/>
      <c r="FM255" s="1819"/>
      <c r="FN255" s="1819"/>
      <c r="FO255" s="1819"/>
      <c r="FP255" s="1819"/>
      <c r="FQ255" s="1819"/>
      <c r="FR255" s="1819"/>
      <c r="FS255" s="1819"/>
      <c r="FT255" s="1819"/>
      <c r="FU255" s="1819"/>
      <c r="FV255" s="1819"/>
      <c r="FW255" s="1819"/>
      <c r="FX255" s="1819"/>
      <c r="FY255" s="1819"/>
      <c r="FZ255" s="1819"/>
      <c r="GA255" s="1819"/>
      <c r="GB255" s="1819"/>
      <c r="GC255" s="1819"/>
      <c r="GD255" s="1819"/>
      <c r="GE255" s="1819"/>
      <c r="GF255" s="1819"/>
      <c r="GG255" s="1819"/>
      <c r="GH255" s="1819"/>
      <c r="GI255" s="1819"/>
      <c r="GJ255" s="1819"/>
      <c r="GK255" s="1819"/>
      <c r="GL255" s="1819"/>
      <c r="GM255" s="1819"/>
      <c r="GN255" s="1819"/>
      <c r="GO255" s="1819"/>
      <c r="GP255" s="1819"/>
      <c r="GQ255" s="1819"/>
      <c r="GR255" s="1819"/>
      <c r="GS255" s="1819"/>
      <c r="GT255" s="1819"/>
      <c r="GU255" s="1819"/>
      <c r="GV255" s="1819"/>
      <c r="GW255" s="1819"/>
      <c r="GX255" s="1819"/>
      <c r="GY255" s="1819"/>
      <c r="GZ255" s="1819"/>
      <c r="HA255" s="1819"/>
      <c r="HB255" s="1819"/>
      <c r="HC255" s="1819"/>
      <c r="HD255" s="1819"/>
      <c r="HE255" s="1819"/>
      <c r="HF255" s="1819"/>
      <c r="HG255" s="1819"/>
      <c r="HH255" s="1819"/>
      <c r="HI255" s="1819"/>
      <c r="HJ255" s="1819"/>
      <c r="HK255" s="1819"/>
      <c r="HL255" s="1819"/>
      <c r="HM255" s="1819"/>
      <c r="HN255" s="1819"/>
      <c r="HO255" s="1819"/>
      <c r="HP255" s="1819"/>
      <c r="HQ255" s="1819"/>
      <c r="HR255" s="1819"/>
      <c r="HS255" s="1819"/>
      <c r="HT255" s="1819"/>
      <c r="HU255" s="1819"/>
      <c r="HV255" s="1819"/>
      <c r="HW255" s="1819"/>
      <c r="HX255" s="1819"/>
      <c r="HY255" s="1819"/>
      <c r="HZ255" s="1819"/>
      <c r="IA255" s="1819"/>
      <c r="IB255" s="1819"/>
      <c r="IC255" s="1819"/>
      <c r="ID255" s="1819"/>
      <c r="IE255" s="1819"/>
      <c r="IF255" s="1819"/>
      <c r="IG255" s="1819"/>
      <c r="IH255" s="1819"/>
      <c r="II255" s="1819"/>
      <c r="IJ255" s="1819"/>
      <c r="IK255" s="1819"/>
      <c r="IL255" s="1819"/>
      <c r="IM255" s="1819"/>
      <c r="IN255" s="1819"/>
      <c r="IO255" s="1819"/>
      <c r="IP255" s="1819"/>
      <c r="IQ255" s="1819"/>
      <c r="IR255" s="1819"/>
      <c r="IS255" s="1819"/>
      <c r="IT255" s="1819"/>
      <c r="IU255" s="1819"/>
      <c r="IV255" s="1819"/>
      <c r="IW255" s="1819"/>
    </row>
    <row r="256" spans="3:257" s="888" customFormat="1" ht="14.65" thickBot="1" x14ac:dyDescent="0.5">
      <c r="C256" s="103" t="s">
        <v>665</v>
      </c>
      <c r="D256" s="2362"/>
      <c r="E256" s="2363"/>
      <c r="F256" s="104">
        <f t="shared" ref="F256:T256" si="16">SUM(F223:F255)</f>
        <v>199428.79544132194</v>
      </c>
      <c r="G256" s="104">
        <f t="shared" si="16"/>
        <v>85968.174679250747</v>
      </c>
      <c r="H256" s="104">
        <f t="shared" si="16"/>
        <v>1093.9683040488658</v>
      </c>
      <c r="I256" s="104">
        <f t="shared" si="16"/>
        <v>5696.0626457444914</v>
      </c>
      <c r="J256" s="104">
        <f t="shared" si="16"/>
        <v>1.5047322809171442</v>
      </c>
      <c r="K256" s="104">
        <f t="shared" si="16"/>
        <v>83.177237904653097</v>
      </c>
      <c r="L256" s="104">
        <f t="shared" si="16"/>
        <v>1356111.8841182671</v>
      </c>
      <c r="M256" s="104">
        <f t="shared" si="16"/>
        <v>1270815.6701185638</v>
      </c>
      <c r="N256" s="104">
        <f t="shared" si="16"/>
        <v>270338888.8888889</v>
      </c>
      <c r="O256" s="104">
        <f t="shared" si="16"/>
        <v>6722222.222222222</v>
      </c>
      <c r="P256" s="104">
        <f t="shared" si="16"/>
        <v>29300</v>
      </c>
      <c r="Q256" s="104">
        <f t="shared" si="16"/>
        <v>6355</v>
      </c>
      <c r="R256" s="104">
        <f t="shared" si="16"/>
        <v>8953.1695687775609</v>
      </c>
      <c r="S256" s="104">
        <f t="shared" si="16"/>
        <v>14926.384201785362</v>
      </c>
      <c r="T256" s="104">
        <f t="shared" si="16"/>
        <v>20.317862433543251</v>
      </c>
      <c r="U256" s="104">
        <f t="shared" ref="U256:AO256" si="17">SUM(U223:U255)</f>
        <v>105.79550852258539</v>
      </c>
      <c r="V256" s="104">
        <f t="shared" si="17"/>
        <v>4.8347052434193655E-2</v>
      </c>
      <c r="W256" s="104">
        <f t="shared" si="17"/>
        <v>1.4625003886353141</v>
      </c>
      <c r="X256" s="104">
        <f t="shared" si="17"/>
        <v>17004.022572781658</v>
      </c>
      <c r="Y256" s="104">
        <f t="shared" si="17"/>
        <v>15731.78184940456</v>
      </c>
      <c r="Z256" s="104">
        <f t="shared" si="17"/>
        <v>9328909.1165359728</v>
      </c>
      <c r="AA256" s="104">
        <f t="shared" si="17"/>
        <v>130956.44512547972</v>
      </c>
      <c r="AB256" s="104">
        <f t="shared" si="17"/>
        <v>990.94735144871697</v>
      </c>
      <c r="AC256" s="104">
        <f t="shared" si="17"/>
        <v>0.69502361786094191</v>
      </c>
      <c r="AD256" s="104">
        <f t="shared" si="17"/>
        <v>77.687072082139053</v>
      </c>
      <c r="AE256" s="104">
        <f t="shared" si="17"/>
        <v>248.23929937297498</v>
      </c>
      <c r="AF256" s="104">
        <f t="shared" si="17"/>
        <v>339.77298139830731</v>
      </c>
      <c r="AG256" s="104">
        <f t="shared" si="17"/>
        <v>303.72631614088368</v>
      </c>
      <c r="AH256" s="104">
        <f t="shared" si="17"/>
        <v>506.9361483318666</v>
      </c>
      <c r="AI256" s="104">
        <f t="shared" si="17"/>
        <v>0</v>
      </c>
      <c r="AJ256" s="104">
        <f t="shared" si="17"/>
        <v>26.640374883763528</v>
      </c>
      <c r="AK256" s="104">
        <f t="shared" si="17"/>
        <v>0</v>
      </c>
      <c r="AL256" s="104">
        <f t="shared" si="17"/>
        <v>10.700649887208087</v>
      </c>
      <c r="AM256" s="104">
        <f t="shared" si="17"/>
        <v>0</v>
      </c>
      <c r="AN256" s="104">
        <f t="shared" si="17"/>
        <v>3.4010381050943543</v>
      </c>
      <c r="AO256" s="105">
        <f t="shared" si="17"/>
        <v>4104795692.2764487</v>
      </c>
      <c r="AP256" s="1819"/>
      <c r="AQ256" s="1819"/>
      <c r="AR256" s="1819"/>
      <c r="AS256" s="1819"/>
      <c r="AT256" s="1819"/>
      <c r="AU256" s="1819"/>
      <c r="AV256" s="1819"/>
      <c r="AW256" s="1819"/>
      <c r="AX256" s="1819"/>
      <c r="AY256" s="1819"/>
      <c r="AZ256" s="1819"/>
      <c r="BA256" s="1819"/>
      <c r="BB256" s="1819"/>
      <c r="BC256" s="1819"/>
      <c r="BD256" s="1819"/>
      <c r="BE256" s="1819"/>
      <c r="BF256" s="1819"/>
      <c r="BG256" s="1819"/>
      <c r="BH256" s="1819"/>
      <c r="BI256" s="1819"/>
      <c r="BJ256" s="1819"/>
      <c r="BK256" s="1819"/>
      <c r="BL256" s="1819"/>
      <c r="BM256" s="1819"/>
      <c r="BN256" s="1819"/>
      <c r="BO256" s="1819"/>
      <c r="BP256" s="1819"/>
      <c r="BQ256" s="1819"/>
      <c r="BR256" s="1819"/>
      <c r="BS256" s="1819"/>
      <c r="BT256" s="1819"/>
      <c r="BU256" s="1819"/>
      <c r="BV256" s="1819"/>
      <c r="BW256" s="1819"/>
      <c r="BX256" s="1819"/>
      <c r="BY256" s="1819"/>
      <c r="BZ256" s="1819"/>
      <c r="CA256" s="1819"/>
      <c r="CB256" s="1819"/>
      <c r="CC256" s="1819"/>
      <c r="CD256" s="1819"/>
      <c r="CE256" s="1819"/>
      <c r="CF256" s="1819"/>
      <c r="CG256" s="1819"/>
      <c r="CH256" s="1819"/>
      <c r="CI256" s="1819"/>
      <c r="CJ256" s="1819"/>
      <c r="CK256" s="1819"/>
      <c r="CL256" s="1819"/>
      <c r="CM256" s="1819"/>
      <c r="CN256" s="1819"/>
      <c r="CO256" s="1819"/>
      <c r="CP256" s="1819"/>
      <c r="CQ256" s="1819"/>
      <c r="CR256" s="1819"/>
      <c r="CS256" s="1819"/>
      <c r="CT256" s="1819"/>
      <c r="CU256" s="1819"/>
      <c r="CV256" s="1819"/>
      <c r="CW256" s="1819"/>
      <c r="CX256" s="1819"/>
      <c r="CY256" s="1819"/>
      <c r="CZ256" s="1819"/>
      <c r="DA256" s="1819"/>
      <c r="DB256" s="1819"/>
      <c r="DC256" s="1819"/>
      <c r="DD256" s="1819"/>
      <c r="DE256" s="1819"/>
      <c r="DF256" s="1819"/>
      <c r="DG256" s="1819"/>
      <c r="DH256" s="1819"/>
      <c r="DI256" s="1819"/>
      <c r="DJ256" s="1819"/>
      <c r="DK256" s="1819"/>
      <c r="DL256" s="1819"/>
      <c r="DM256" s="1819"/>
      <c r="DN256" s="1819"/>
      <c r="DO256" s="1819"/>
      <c r="DP256" s="1819"/>
      <c r="DQ256" s="1819"/>
      <c r="DR256" s="1819"/>
      <c r="DS256" s="1819"/>
      <c r="DT256" s="1819"/>
      <c r="DU256" s="1819"/>
      <c r="DV256" s="1819"/>
      <c r="DW256" s="1819"/>
      <c r="DX256" s="1819"/>
      <c r="DY256" s="1819"/>
      <c r="DZ256" s="1819"/>
      <c r="EA256" s="1819"/>
      <c r="EB256" s="1819"/>
      <c r="EC256" s="1819"/>
      <c r="ED256" s="1819"/>
      <c r="EE256" s="1819"/>
      <c r="EF256" s="1819"/>
      <c r="EG256" s="1819"/>
      <c r="EH256" s="1819"/>
      <c r="EI256" s="1819"/>
      <c r="EJ256" s="1819"/>
      <c r="EK256" s="1819"/>
      <c r="EL256" s="1819"/>
      <c r="EM256" s="1819"/>
      <c r="EN256" s="1819"/>
      <c r="EO256" s="1819"/>
      <c r="EP256" s="1819"/>
      <c r="EQ256" s="1819"/>
      <c r="ER256" s="1819"/>
      <c r="ES256" s="1819"/>
      <c r="ET256" s="1819"/>
      <c r="EU256" s="1819"/>
      <c r="EV256" s="1819"/>
      <c r="EW256" s="1819"/>
      <c r="EX256" s="1819"/>
      <c r="EY256" s="1819"/>
      <c r="EZ256" s="1819"/>
      <c r="FA256" s="1819"/>
      <c r="FB256" s="1819"/>
      <c r="FC256" s="1819"/>
      <c r="FD256" s="1819"/>
      <c r="FE256" s="1819"/>
      <c r="FF256" s="1819"/>
      <c r="FG256" s="1819"/>
      <c r="FH256" s="1819"/>
      <c r="FI256" s="1819"/>
      <c r="FJ256" s="1819"/>
      <c r="FK256" s="1819"/>
      <c r="FL256" s="1819"/>
      <c r="FM256" s="1819"/>
      <c r="FN256" s="1819"/>
      <c r="FO256" s="1819"/>
      <c r="FP256" s="1819"/>
      <c r="FQ256" s="1819"/>
      <c r="FR256" s="1819"/>
      <c r="FS256" s="1819"/>
      <c r="FT256" s="1819"/>
      <c r="FU256" s="1819"/>
      <c r="FV256" s="1819"/>
      <c r="FW256" s="1819"/>
      <c r="FX256" s="1819"/>
      <c r="FY256" s="1819"/>
      <c r="FZ256" s="1819"/>
      <c r="GA256" s="1819"/>
      <c r="GB256" s="1819"/>
      <c r="GC256" s="1819"/>
      <c r="GD256" s="1819"/>
      <c r="GE256" s="1819"/>
      <c r="GF256" s="1819"/>
      <c r="GG256" s="1819"/>
      <c r="GH256" s="1819"/>
      <c r="GI256" s="1819"/>
      <c r="GJ256" s="1819"/>
      <c r="GK256" s="1819"/>
      <c r="GL256" s="1819"/>
      <c r="GM256" s="1819"/>
      <c r="GN256" s="1819"/>
      <c r="GO256" s="1819"/>
      <c r="GP256" s="1819"/>
      <c r="GQ256" s="1819"/>
      <c r="GR256" s="1819"/>
      <c r="GS256" s="1819"/>
      <c r="GT256" s="1819"/>
      <c r="GU256" s="1819"/>
      <c r="GV256" s="1819"/>
      <c r="GW256" s="1819"/>
      <c r="GX256" s="1819"/>
      <c r="GY256" s="1819"/>
      <c r="GZ256" s="1819"/>
      <c r="HA256" s="1819"/>
      <c r="HB256" s="1819"/>
      <c r="HC256" s="1819"/>
      <c r="HD256" s="1819"/>
      <c r="HE256" s="1819"/>
      <c r="HF256" s="1819"/>
      <c r="HG256" s="1819"/>
      <c r="HH256" s="1819"/>
      <c r="HI256" s="1819"/>
      <c r="HJ256" s="1819"/>
      <c r="HK256" s="1819"/>
      <c r="HL256" s="1819"/>
      <c r="HM256" s="1819"/>
      <c r="HN256" s="1819"/>
      <c r="HO256" s="1819"/>
      <c r="HP256" s="1819"/>
      <c r="HQ256" s="1819"/>
      <c r="HR256" s="1819"/>
      <c r="HS256" s="1819"/>
      <c r="HT256" s="1819"/>
      <c r="HU256" s="1819"/>
      <c r="HV256" s="1819"/>
      <c r="HW256" s="1819"/>
      <c r="HX256" s="1819"/>
      <c r="HY256" s="1819"/>
      <c r="HZ256" s="1819"/>
      <c r="IA256" s="1819"/>
      <c r="IB256" s="1819"/>
      <c r="IC256" s="1819"/>
      <c r="ID256" s="1819"/>
      <c r="IE256" s="1819"/>
      <c r="IF256" s="1819"/>
      <c r="IG256" s="1819"/>
      <c r="IH256" s="1819"/>
      <c r="II256" s="1819"/>
      <c r="IJ256" s="1819"/>
      <c r="IK256" s="1819"/>
      <c r="IL256" s="1819"/>
      <c r="IM256" s="1819"/>
      <c r="IN256" s="1819"/>
      <c r="IO256" s="1819"/>
      <c r="IP256" s="1819"/>
      <c r="IQ256" s="1819"/>
      <c r="IR256" s="1819"/>
      <c r="IS256" s="1819"/>
      <c r="IT256" s="1819"/>
      <c r="IU256" s="1819"/>
      <c r="IV256" s="1819"/>
      <c r="IW256" s="1819"/>
    </row>
    <row r="257" spans="3:257" s="888" customFormat="1" x14ac:dyDescent="0.45">
      <c r="C257" s="1812"/>
      <c r="D257" s="1813"/>
      <c r="E257" s="1813"/>
      <c r="F257" s="1814"/>
      <c r="G257" s="1814"/>
      <c r="H257" s="1814"/>
      <c r="I257" s="1814"/>
      <c r="J257" s="1814"/>
      <c r="K257" s="1814"/>
      <c r="L257" s="1814"/>
      <c r="M257" s="1814"/>
      <c r="N257" s="1814"/>
      <c r="O257" s="1814"/>
      <c r="P257" s="1814"/>
      <c r="Q257" s="1814"/>
      <c r="R257" s="1814"/>
      <c r="S257" s="1814"/>
      <c r="T257" s="1814"/>
      <c r="U257" s="1814"/>
      <c r="V257" s="1814"/>
      <c r="W257" s="1814"/>
      <c r="X257" s="1814"/>
      <c r="Y257" s="1814"/>
      <c r="Z257" s="1814"/>
      <c r="AA257" s="1814"/>
      <c r="AB257" s="1814"/>
      <c r="AC257" s="1814"/>
      <c r="AD257" s="1814"/>
      <c r="AE257" s="1814"/>
      <c r="AF257" s="1814"/>
      <c r="AG257" s="1814"/>
      <c r="AH257" s="1814"/>
      <c r="AI257" s="1814"/>
      <c r="AJ257" s="1814"/>
      <c r="AK257" s="1814"/>
      <c r="AL257" s="1814"/>
      <c r="AM257" s="1814"/>
      <c r="AN257" s="1814"/>
      <c r="AO257" s="1815"/>
      <c r="AP257" s="1816"/>
      <c r="AQ257" s="1817"/>
      <c r="AR257" s="1817"/>
      <c r="AS257" s="1818"/>
      <c r="AT257" s="1819"/>
      <c r="AU257" s="1819"/>
      <c r="AV257" s="1819"/>
      <c r="AW257" s="1819"/>
      <c r="AX257" s="1819"/>
      <c r="AY257" s="1819"/>
      <c r="AZ257" s="1819"/>
      <c r="BA257" s="1819"/>
      <c r="BB257" s="1819"/>
      <c r="BC257" s="1819"/>
      <c r="BD257" s="1819"/>
      <c r="BE257" s="1819"/>
      <c r="BF257" s="1819"/>
      <c r="BG257" s="1819"/>
      <c r="BH257" s="1819"/>
      <c r="BI257" s="1819"/>
      <c r="BJ257" s="1819"/>
      <c r="BK257" s="1819"/>
      <c r="BL257" s="1819"/>
      <c r="BM257" s="1819"/>
      <c r="BN257" s="1819"/>
      <c r="BO257" s="1819"/>
      <c r="BP257" s="1819"/>
      <c r="BQ257" s="1819"/>
      <c r="BR257" s="1819"/>
      <c r="BS257" s="1819"/>
      <c r="BT257" s="1819"/>
      <c r="BU257" s="1819"/>
      <c r="BV257" s="1819"/>
      <c r="BW257" s="1819"/>
      <c r="BX257" s="1819"/>
      <c r="BY257" s="1819"/>
      <c r="BZ257" s="1819"/>
      <c r="CA257" s="1819"/>
      <c r="CB257" s="1819"/>
      <c r="CC257" s="1819"/>
      <c r="CD257" s="1819"/>
      <c r="CE257" s="1819"/>
      <c r="CF257" s="1819"/>
      <c r="CG257" s="1819"/>
      <c r="CH257" s="1819"/>
      <c r="CI257" s="1819"/>
      <c r="CJ257" s="1819"/>
      <c r="CK257" s="1819"/>
      <c r="CL257" s="1819"/>
      <c r="CM257" s="1819"/>
      <c r="CN257" s="1819"/>
      <c r="CO257" s="1819"/>
      <c r="CP257" s="1819"/>
      <c r="CQ257" s="1819"/>
      <c r="CR257" s="1819"/>
      <c r="CS257" s="1819"/>
      <c r="CT257" s="1819"/>
      <c r="CU257" s="1819"/>
      <c r="CV257" s="1819"/>
      <c r="CW257" s="1819"/>
      <c r="CX257" s="1819"/>
      <c r="CY257" s="1819"/>
      <c r="CZ257" s="1819"/>
      <c r="DA257" s="1819"/>
      <c r="DB257" s="1819"/>
      <c r="DC257" s="1819"/>
      <c r="DD257" s="1819"/>
      <c r="DE257" s="1819"/>
      <c r="DF257" s="1819"/>
      <c r="DG257" s="1819"/>
      <c r="DH257" s="1819"/>
      <c r="DI257" s="1819"/>
      <c r="DJ257" s="1819"/>
      <c r="DK257" s="1819"/>
      <c r="DL257" s="1819"/>
      <c r="DM257" s="1819"/>
      <c r="DN257" s="1819"/>
      <c r="DO257" s="1819"/>
      <c r="DP257" s="1819"/>
      <c r="DQ257" s="1819"/>
      <c r="DR257" s="1819"/>
      <c r="DS257" s="1819"/>
      <c r="DT257" s="1819"/>
      <c r="DU257" s="1819"/>
      <c r="DV257" s="1819"/>
      <c r="DW257" s="1819"/>
      <c r="DX257" s="1819"/>
      <c r="DY257" s="1819"/>
      <c r="DZ257" s="1819"/>
      <c r="EA257" s="1819"/>
      <c r="EB257" s="1819"/>
      <c r="EC257" s="1819"/>
      <c r="ED257" s="1819"/>
      <c r="EE257" s="1819"/>
      <c r="EF257" s="1819"/>
      <c r="EG257" s="1819"/>
      <c r="EH257" s="1819"/>
      <c r="EI257" s="1819"/>
      <c r="EJ257" s="1819"/>
      <c r="EK257" s="1819"/>
      <c r="EL257" s="1819"/>
      <c r="EM257" s="1819"/>
      <c r="EN257" s="1819"/>
      <c r="EO257" s="1819"/>
      <c r="EP257" s="1819"/>
      <c r="EQ257" s="1819"/>
      <c r="ER257" s="1819"/>
      <c r="ES257" s="1819"/>
      <c r="ET257" s="1819"/>
      <c r="EU257" s="1819"/>
      <c r="EV257" s="1819"/>
      <c r="EW257" s="1819"/>
      <c r="EX257" s="1819"/>
      <c r="EY257" s="1819"/>
      <c r="EZ257" s="1819"/>
      <c r="FA257" s="1819"/>
      <c r="FB257" s="1819"/>
      <c r="FC257" s="1819"/>
      <c r="FD257" s="1819"/>
      <c r="FE257" s="1819"/>
      <c r="FF257" s="1819"/>
      <c r="FG257" s="1819"/>
      <c r="FH257" s="1819"/>
      <c r="FI257" s="1819"/>
      <c r="FJ257" s="1819"/>
      <c r="FK257" s="1819"/>
      <c r="FL257" s="1819"/>
      <c r="FM257" s="1819"/>
      <c r="FN257" s="1819"/>
      <c r="FO257" s="1819"/>
      <c r="FP257" s="1819"/>
      <c r="FQ257" s="1819"/>
      <c r="FR257" s="1819"/>
      <c r="FS257" s="1819"/>
      <c r="FT257" s="1819"/>
      <c r="FU257" s="1819"/>
      <c r="FV257" s="1819"/>
      <c r="FW257" s="1819"/>
      <c r="FX257" s="1819"/>
      <c r="FY257" s="1819"/>
      <c r="FZ257" s="1819"/>
      <c r="GA257" s="1819"/>
      <c r="GB257" s="1819"/>
      <c r="GC257" s="1819"/>
      <c r="GD257" s="1819"/>
      <c r="GE257" s="1819"/>
      <c r="GF257" s="1819"/>
      <c r="GG257" s="1819"/>
      <c r="GH257" s="1819"/>
      <c r="GI257" s="1819"/>
      <c r="GJ257" s="1819"/>
      <c r="GK257" s="1819"/>
      <c r="GL257" s="1819"/>
      <c r="GM257" s="1819"/>
      <c r="GN257" s="1819"/>
      <c r="GO257" s="1819"/>
      <c r="GP257" s="1819"/>
      <c r="GQ257" s="1819"/>
      <c r="GR257" s="1819"/>
      <c r="GS257" s="1819"/>
      <c r="GT257" s="1819"/>
      <c r="GU257" s="1819"/>
      <c r="GV257" s="1819"/>
      <c r="GW257" s="1819"/>
      <c r="GX257" s="1819"/>
      <c r="GY257" s="1819"/>
      <c r="GZ257" s="1819"/>
      <c r="HA257" s="1819"/>
      <c r="HB257" s="1819"/>
      <c r="HC257" s="1819"/>
      <c r="HD257" s="1819"/>
      <c r="HE257" s="1819"/>
      <c r="HF257" s="1819"/>
      <c r="HG257" s="1819"/>
      <c r="HH257" s="1819"/>
      <c r="HI257" s="1819"/>
      <c r="HJ257" s="1819"/>
      <c r="HK257" s="1819"/>
      <c r="HL257" s="1819"/>
      <c r="HM257" s="1819"/>
      <c r="HN257" s="1819"/>
      <c r="HO257" s="1819"/>
      <c r="HP257" s="1819"/>
      <c r="HQ257" s="1819"/>
      <c r="HR257" s="1819"/>
      <c r="HS257" s="1819"/>
      <c r="HT257" s="1819"/>
      <c r="HU257" s="1819"/>
      <c r="HV257" s="1819"/>
      <c r="HW257" s="1819"/>
      <c r="HX257" s="1819"/>
      <c r="HY257" s="1819"/>
      <c r="HZ257" s="1819"/>
      <c r="IA257" s="1819"/>
      <c r="IB257" s="1819"/>
      <c r="IC257" s="1819"/>
      <c r="ID257" s="1819"/>
      <c r="IE257" s="1819"/>
      <c r="IF257" s="1819"/>
      <c r="IG257" s="1819"/>
      <c r="IH257" s="1819"/>
      <c r="II257" s="1819"/>
      <c r="IJ257" s="1819"/>
      <c r="IK257" s="1819"/>
      <c r="IL257" s="1819"/>
      <c r="IM257" s="1819"/>
      <c r="IN257" s="1819"/>
      <c r="IO257" s="1819"/>
      <c r="IP257" s="1819"/>
      <c r="IQ257" s="1819"/>
      <c r="IR257" s="1819"/>
      <c r="IS257" s="1819"/>
      <c r="IT257" s="1819"/>
      <c r="IU257" s="1819"/>
      <c r="IV257" s="1819"/>
      <c r="IW257" s="1819"/>
    </row>
    <row r="258" spans="3:257" s="888" customFormat="1" x14ac:dyDescent="0.45">
      <c r="C258" s="1820" t="s">
        <v>695</v>
      </c>
      <c r="D258" s="1813"/>
      <c r="E258" s="1813"/>
      <c r="F258" s="1814"/>
      <c r="G258" s="1814"/>
      <c r="H258" s="1814"/>
      <c r="I258" s="1814"/>
      <c r="J258" s="1814"/>
      <c r="K258" s="1814"/>
      <c r="L258" s="1814"/>
      <c r="M258" s="1814"/>
      <c r="N258" s="1814"/>
      <c r="O258" s="1814"/>
      <c r="P258" s="1814"/>
      <c r="Q258" s="1814"/>
      <c r="R258" s="1814"/>
      <c r="S258" s="1814"/>
      <c r="T258" s="1814"/>
      <c r="U258" s="1814"/>
      <c r="V258" s="1814"/>
      <c r="W258" s="1814"/>
      <c r="X258" s="1814"/>
      <c r="Y258" s="1814"/>
      <c r="Z258" s="1814"/>
      <c r="AA258" s="1814"/>
      <c r="AB258" s="1814"/>
      <c r="AC258" s="1814"/>
      <c r="AD258" s="1814"/>
      <c r="AE258" s="1814"/>
      <c r="AF258" s="1814"/>
      <c r="AG258" s="1814"/>
      <c r="AH258" s="1814"/>
      <c r="AI258" s="1814"/>
      <c r="AJ258" s="1814"/>
      <c r="AK258" s="1814"/>
      <c r="AL258" s="1814"/>
      <c r="AM258" s="1814"/>
      <c r="AN258" s="1814"/>
      <c r="AO258" s="1821"/>
      <c r="AP258" s="1816"/>
      <c r="AQ258" s="1817"/>
      <c r="AR258" s="1817"/>
      <c r="AS258" s="1818"/>
      <c r="AT258" s="1819"/>
      <c r="AU258" s="1819"/>
      <c r="AV258" s="1819"/>
      <c r="AW258" s="1819"/>
      <c r="AX258" s="1819"/>
      <c r="AY258" s="1819"/>
      <c r="AZ258" s="1819"/>
      <c r="BA258" s="1819"/>
      <c r="BB258" s="1819"/>
      <c r="BC258" s="1819"/>
      <c r="BD258" s="1819"/>
      <c r="BE258" s="1819"/>
      <c r="BF258" s="1819"/>
      <c r="BG258" s="1819"/>
      <c r="BH258" s="1819"/>
      <c r="BI258" s="1819"/>
      <c r="BJ258" s="1819"/>
      <c r="BK258" s="1819"/>
      <c r="BL258" s="1819"/>
      <c r="BM258" s="1819"/>
      <c r="BN258" s="1819"/>
      <c r="BO258" s="1819"/>
      <c r="BP258" s="1819"/>
      <c r="BQ258" s="1819"/>
      <c r="BR258" s="1819"/>
      <c r="BS258" s="1819"/>
      <c r="BT258" s="1819"/>
      <c r="BU258" s="1819"/>
      <c r="BV258" s="1819"/>
      <c r="BW258" s="1819"/>
      <c r="BX258" s="1819"/>
      <c r="BY258" s="1819"/>
      <c r="BZ258" s="1819"/>
      <c r="CA258" s="1819"/>
      <c r="CB258" s="1819"/>
      <c r="CC258" s="1819"/>
      <c r="CD258" s="1819"/>
      <c r="CE258" s="1819"/>
      <c r="CF258" s="1819"/>
      <c r="CG258" s="1819"/>
      <c r="CH258" s="1819"/>
      <c r="CI258" s="1819"/>
      <c r="CJ258" s="1819"/>
      <c r="CK258" s="1819"/>
      <c r="CL258" s="1819"/>
      <c r="CM258" s="1819"/>
      <c r="CN258" s="1819"/>
      <c r="CO258" s="1819"/>
      <c r="CP258" s="1819"/>
      <c r="CQ258" s="1819"/>
      <c r="CR258" s="1819"/>
      <c r="CS258" s="1819"/>
      <c r="CT258" s="1819"/>
      <c r="CU258" s="1819"/>
      <c r="CV258" s="1819"/>
      <c r="CW258" s="1819"/>
      <c r="CX258" s="1819"/>
      <c r="CY258" s="1819"/>
      <c r="CZ258" s="1819"/>
      <c r="DA258" s="1819"/>
      <c r="DB258" s="1819"/>
      <c r="DC258" s="1819"/>
      <c r="DD258" s="1819"/>
      <c r="DE258" s="1819"/>
      <c r="DF258" s="1819"/>
      <c r="DG258" s="1819"/>
      <c r="DH258" s="1819"/>
      <c r="DI258" s="1819"/>
      <c r="DJ258" s="1819"/>
      <c r="DK258" s="1819"/>
      <c r="DL258" s="1819"/>
      <c r="DM258" s="1819"/>
      <c r="DN258" s="1819"/>
      <c r="DO258" s="1819"/>
      <c r="DP258" s="1819"/>
      <c r="DQ258" s="1819"/>
      <c r="DR258" s="1819"/>
      <c r="DS258" s="1819"/>
      <c r="DT258" s="1819"/>
      <c r="DU258" s="1819"/>
      <c r="DV258" s="1819"/>
      <c r="DW258" s="1819"/>
      <c r="DX258" s="1819"/>
      <c r="DY258" s="1819"/>
      <c r="DZ258" s="1819"/>
      <c r="EA258" s="1819"/>
      <c r="EB258" s="1819"/>
      <c r="EC258" s="1819"/>
      <c r="ED258" s="1819"/>
      <c r="EE258" s="1819"/>
      <c r="EF258" s="1819"/>
      <c r="EG258" s="1819"/>
      <c r="EH258" s="1819"/>
      <c r="EI258" s="1819"/>
      <c r="EJ258" s="1819"/>
      <c r="EK258" s="1819"/>
      <c r="EL258" s="1819"/>
      <c r="EM258" s="1819"/>
      <c r="EN258" s="1819"/>
      <c r="EO258" s="1819"/>
      <c r="EP258" s="1819"/>
      <c r="EQ258" s="1819"/>
      <c r="ER258" s="1819"/>
      <c r="ES258" s="1819"/>
      <c r="ET258" s="1819"/>
      <c r="EU258" s="1819"/>
      <c r="EV258" s="1819"/>
      <c r="EW258" s="1819"/>
      <c r="EX258" s="1819"/>
      <c r="EY258" s="1819"/>
      <c r="EZ258" s="1819"/>
      <c r="FA258" s="1819"/>
      <c r="FB258" s="1819"/>
      <c r="FC258" s="1819"/>
      <c r="FD258" s="1819"/>
      <c r="FE258" s="1819"/>
      <c r="FF258" s="1819"/>
      <c r="FG258" s="1819"/>
      <c r="FH258" s="1819"/>
      <c r="FI258" s="1819"/>
      <c r="FJ258" s="1819"/>
      <c r="FK258" s="1819"/>
      <c r="FL258" s="1819"/>
      <c r="FM258" s="1819"/>
      <c r="FN258" s="1819"/>
      <c r="FO258" s="1819"/>
      <c r="FP258" s="1819"/>
      <c r="FQ258" s="1819"/>
      <c r="FR258" s="1819"/>
      <c r="FS258" s="1819"/>
      <c r="FT258" s="1819"/>
      <c r="FU258" s="1819"/>
      <c r="FV258" s="1819"/>
      <c r="FW258" s="1819"/>
      <c r="FX258" s="1819"/>
      <c r="FY258" s="1819"/>
      <c r="FZ258" s="1819"/>
      <c r="GA258" s="1819"/>
      <c r="GB258" s="1819"/>
      <c r="GC258" s="1819"/>
      <c r="GD258" s="1819"/>
      <c r="GE258" s="1819"/>
      <c r="GF258" s="1819"/>
      <c r="GG258" s="1819"/>
      <c r="GH258" s="1819"/>
      <c r="GI258" s="1819"/>
      <c r="GJ258" s="1819"/>
      <c r="GK258" s="1819"/>
      <c r="GL258" s="1819"/>
      <c r="GM258" s="1819"/>
      <c r="GN258" s="1819"/>
      <c r="GO258" s="1819"/>
      <c r="GP258" s="1819"/>
      <c r="GQ258" s="1819"/>
      <c r="GR258" s="1819"/>
      <c r="GS258" s="1819"/>
      <c r="GT258" s="1819"/>
      <c r="GU258" s="1819"/>
      <c r="GV258" s="1819"/>
      <c r="GW258" s="1819"/>
      <c r="GX258" s="1819"/>
      <c r="GY258" s="1819"/>
      <c r="GZ258" s="1819"/>
      <c r="HA258" s="1819"/>
      <c r="HB258" s="1819"/>
      <c r="HC258" s="1819"/>
      <c r="HD258" s="1819"/>
      <c r="HE258" s="1819"/>
      <c r="HF258" s="1819"/>
      <c r="HG258" s="1819"/>
      <c r="HH258" s="1819"/>
      <c r="HI258" s="1819"/>
      <c r="HJ258" s="1819"/>
      <c r="HK258" s="1819"/>
      <c r="HL258" s="1819"/>
      <c r="HM258" s="1819"/>
      <c r="HN258" s="1819"/>
      <c r="HO258" s="1819"/>
      <c r="HP258" s="1819"/>
      <c r="HQ258" s="1819"/>
      <c r="HR258" s="1819"/>
      <c r="HS258" s="1819"/>
      <c r="HT258" s="1819"/>
      <c r="HU258" s="1819"/>
      <c r="HV258" s="1819"/>
      <c r="HW258" s="1819"/>
      <c r="HX258" s="1819"/>
      <c r="HY258" s="1819"/>
      <c r="HZ258" s="1819"/>
      <c r="IA258" s="1819"/>
      <c r="IB258" s="1819"/>
      <c r="IC258" s="1819"/>
      <c r="ID258" s="1819"/>
      <c r="IE258" s="1819"/>
      <c r="IF258" s="1819"/>
      <c r="IG258" s="1819"/>
      <c r="IH258" s="1819"/>
      <c r="II258" s="1819"/>
      <c r="IJ258" s="1819"/>
      <c r="IK258" s="1819"/>
      <c r="IL258" s="1819"/>
      <c r="IM258" s="1819"/>
      <c r="IN258" s="1819"/>
      <c r="IO258" s="1819"/>
      <c r="IP258" s="1819"/>
      <c r="IQ258" s="1819"/>
      <c r="IR258" s="1819"/>
      <c r="IS258" s="1819"/>
      <c r="IT258" s="1819"/>
      <c r="IU258" s="1819"/>
      <c r="IV258" s="1819"/>
      <c r="IW258" s="1819"/>
    </row>
    <row r="259" spans="3:257" s="888" customFormat="1" x14ac:dyDescent="0.45">
      <c r="C259" s="1812" t="s">
        <v>696</v>
      </c>
      <c r="D259" s="1813"/>
      <c r="E259" s="1813"/>
      <c r="F259" s="1814"/>
      <c r="G259" s="1814"/>
      <c r="H259" s="1814"/>
      <c r="I259" s="1814"/>
      <c r="J259" s="1814"/>
      <c r="K259" s="1814"/>
      <c r="L259" s="1814"/>
      <c r="M259" s="1814"/>
      <c r="N259" s="1814"/>
      <c r="O259" s="1814"/>
      <c r="P259" s="1814"/>
      <c r="Q259" s="1814"/>
      <c r="R259" s="1814"/>
      <c r="S259" s="1814"/>
      <c r="T259" s="1814"/>
      <c r="U259" s="1814"/>
      <c r="V259" s="1814"/>
      <c r="W259" s="1814"/>
      <c r="X259" s="1814"/>
      <c r="Y259" s="1814"/>
      <c r="Z259" s="1814"/>
      <c r="AA259" s="1814"/>
      <c r="AB259" s="1814"/>
      <c r="AC259" s="1814"/>
      <c r="AD259" s="1814"/>
      <c r="AE259" s="1814"/>
      <c r="AF259" s="1814"/>
      <c r="AG259" s="1814"/>
      <c r="AH259" s="1814"/>
      <c r="AI259" s="1814"/>
      <c r="AJ259" s="1814"/>
      <c r="AK259" s="1814"/>
      <c r="AL259" s="1814"/>
      <c r="AM259" s="1814"/>
      <c r="AN259" s="1814"/>
      <c r="AO259" s="1821"/>
      <c r="AP259" s="1816"/>
      <c r="AQ259" s="1817"/>
      <c r="AR259" s="1817"/>
      <c r="AS259" s="1818"/>
      <c r="AT259" s="1819"/>
      <c r="AU259" s="1819"/>
      <c r="AV259" s="1819"/>
      <c r="AW259" s="1819"/>
      <c r="AX259" s="1819"/>
      <c r="AY259" s="1819"/>
      <c r="AZ259" s="1819"/>
      <c r="BA259" s="1819"/>
      <c r="BB259" s="1819"/>
      <c r="BC259" s="1819"/>
      <c r="BD259" s="1819"/>
      <c r="BE259" s="1819"/>
      <c r="BF259" s="1819"/>
      <c r="BG259" s="1819"/>
      <c r="BH259" s="1819"/>
      <c r="BI259" s="1819"/>
      <c r="BJ259" s="1819"/>
      <c r="BK259" s="1819"/>
      <c r="BL259" s="1819"/>
      <c r="BM259" s="1819"/>
      <c r="BN259" s="1819"/>
      <c r="BO259" s="1819"/>
      <c r="BP259" s="1819"/>
      <c r="BQ259" s="1819"/>
      <c r="BR259" s="1819"/>
      <c r="BS259" s="1819"/>
      <c r="BT259" s="1819"/>
      <c r="BU259" s="1819"/>
      <c r="BV259" s="1819"/>
      <c r="BW259" s="1819"/>
      <c r="BX259" s="1819"/>
      <c r="BY259" s="1819"/>
      <c r="BZ259" s="1819"/>
      <c r="CA259" s="1819"/>
      <c r="CB259" s="1819"/>
      <c r="CC259" s="1819"/>
      <c r="CD259" s="1819"/>
      <c r="CE259" s="1819"/>
      <c r="CF259" s="1819"/>
      <c r="CG259" s="1819"/>
      <c r="CH259" s="1819"/>
      <c r="CI259" s="1819"/>
      <c r="CJ259" s="1819"/>
      <c r="CK259" s="1819"/>
      <c r="CL259" s="1819"/>
      <c r="CM259" s="1819"/>
      <c r="CN259" s="1819"/>
      <c r="CO259" s="1819"/>
      <c r="CP259" s="1819"/>
      <c r="CQ259" s="1819"/>
      <c r="CR259" s="1819"/>
      <c r="CS259" s="1819"/>
      <c r="CT259" s="1819"/>
      <c r="CU259" s="1819"/>
      <c r="CV259" s="1819"/>
      <c r="CW259" s="1819"/>
      <c r="CX259" s="1819"/>
      <c r="CY259" s="1819"/>
      <c r="CZ259" s="1819"/>
      <c r="DA259" s="1819"/>
      <c r="DB259" s="1819"/>
      <c r="DC259" s="1819"/>
      <c r="DD259" s="1819"/>
      <c r="DE259" s="1819"/>
      <c r="DF259" s="1819"/>
      <c r="DG259" s="1819"/>
      <c r="DH259" s="1819"/>
      <c r="DI259" s="1819"/>
      <c r="DJ259" s="1819"/>
      <c r="DK259" s="1819"/>
      <c r="DL259" s="1819"/>
      <c r="DM259" s="1819"/>
      <c r="DN259" s="1819"/>
      <c r="DO259" s="1819"/>
      <c r="DP259" s="1819"/>
      <c r="DQ259" s="1819"/>
      <c r="DR259" s="1819"/>
      <c r="DS259" s="1819"/>
      <c r="DT259" s="1819"/>
      <c r="DU259" s="1819"/>
      <c r="DV259" s="1819"/>
      <c r="DW259" s="1819"/>
      <c r="DX259" s="1819"/>
      <c r="DY259" s="1819"/>
      <c r="DZ259" s="1819"/>
      <c r="EA259" s="1819"/>
      <c r="EB259" s="1819"/>
      <c r="EC259" s="1819"/>
      <c r="ED259" s="1819"/>
      <c r="EE259" s="1819"/>
      <c r="EF259" s="1819"/>
      <c r="EG259" s="1819"/>
      <c r="EH259" s="1819"/>
      <c r="EI259" s="1819"/>
      <c r="EJ259" s="1819"/>
      <c r="EK259" s="1819"/>
      <c r="EL259" s="1819"/>
      <c r="EM259" s="1819"/>
      <c r="EN259" s="1819"/>
      <c r="EO259" s="1819"/>
      <c r="EP259" s="1819"/>
      <c r="EQ259" s="1819"/>
      <c r="ER259" s="1819"/>
      <c r="ES259" s="1819"/>
      <c r="ET259" s="1819"/>
      <c r="EU259" s="1819"/>
      <c r="EV259" s="1819"/>
      <c r="EW259" s="1819"/>
      <c r="EX259" s="1819"/>
      <c r="EY259" s="1819"/>
      <c r="EZ259" s="1819"/>
      <c r="FA259" s="1819"/>
      <c r="FB259" s="1819"/>
      <c r="FC259" s="1819"/>
      <c r="FD259" s="1819"/>
      <c r="FE259" s="1819"/>
      <c r="FF259" s="1819"/>
      <c r="FG259" s="1819"/>
      <c r="FH259" s="1819"/>
      <c r="FI259" s="1819"/>
      <c r="FJ259" s="1819"/>
      <c r="FK259" s="1819"/>
      <c r="FL259" s="1819"/>
      <c r="FM259" s="1819"/>
      <c r="FN259" s="1819"/>
      <c r="FO259" s="1819"/>
      <c r="FP259" s="1819"/>
      <c r="FQ259" s="1819"/>
      <c r="FR259" s="1819"/>
      <c r="FS259" s="1819"/>
      <c r="FT259" s="1819"/>
      <c r="FU259" s="1819"/>
      <c r="FV259" s="1819"/>
      <c r="FW259" s="1819"/>
      <c r="FX259" s="1819"/>
      <c r="FY259" s="1819"/>
      <c r="FZ259" s="1819"/>
      <c r="GA259" s="1819"/>
      <c r="GB259" s="1819"/>
      <c r="GC259" s="1819"/>
      <c r="GD259" s="1819"/>
      <c r="GE259" s="1819"/>
      <c r="GF259" s="1819"/>
      <c r="GG259" s="1819"/>
      <c r="GH259" s="1819"/>
      <c r="GI259" s="1819"/>
      <c r="GJ259" s="1819"/>
      <c r="GK259" s="1819"/>
      <c r="GL259" s="1819"/>
      <c r="GM259" s="1819"/>
      <c r="GN259" s="1819"/>
      <c r="GO259" s="1819"/>
      <c r="GP259" s="1819"/>
      <c r="GQ259" s="1819"/>
      <c r="GR259" s="1819"/>
      <c r="GS259" s="1819"/>
      <c r="GT259" s="1819"/>
      <c r="GU259" s="1819"/>
      <c r="GV259" s="1819"/>
      <c r="GW259" s="1819"/>
      <c r="GX259" s="1819"/>
      <c r="GY259" s="1819"/>
      <c r="GZ259" s="1819"/>
      <c r="HA259" s="1819"/>
      <c r="HB259" s="1819"/>
      <c r="HC259" s="1819"/>
      <c r="HD259" s="1819"/>
      <c r="HE259" s="1819"/>
      <c r="HF259" s="1819"/>
      <c r="HG259" s="1819"/>
      <c r="HH259" s="1819"/>
      <c r="HI259" s="1819"/>
      <c r="HJ259" s="1819"/>
      <c r="HK259" s="1819"/>
      <c r="HL259" s="1819"/>
      <c r="HM259" s="1819"/>
      <c r="HN259" s="1819"/>
      <c r="HO259" s="1819"/>
      <c r="HP259" s="1819"/>
      <c r="HQ259" s="1819"/>
      <c r="HR259" s="1819"/>
      <c r="HS259" s="1819"/>
      <c r="HT259" s="1819"/>
      <c r="HU259" s="1819"/>
      <c r="HV259" s="1819"/>
      <c r="HW259" s="1819"/>
      <c r="HX259" s="1819"/>
      <c r="HY259" s="1819"/>
      <c r="HZ259" s="1819"/>
      <c r="IA259" s="1819"/>
      <c r="IB259" s="1819"/>
      <c r="IC259" s="1819"/>
      <c r="ID259" s="1819"/>
      <c r="IE259" s="1819"/>
      <c r="IF259" s="1819"/>
      <c r="IG259" s="1819"/>
      <c r="IH259" s="1819"/>
      <c r="II259" s="1819"/>
      <c r="IJ259" s="1819"/>
      <c r="IK259" s="1819"/>
      <c r="IL259" s="1819"/>
      <c r="IM259" s="1819"/>
      <c r="IN259" s="1819"/>
      <c r="IO259" s="1819"/>
      <c r="IP259" s="1819"/>
      <c r="IQ259" s="1819"/>
      <c r="IR259" s="1819"/>
      <c r="IS259" s="1819"/>
      <c r="IT259" s="1819"/>
      <c r="IU259" s="1819"/>
      <c r="IV259" s="1819"/>
      <c r="IW259" s="1819"/>
    </row>
    <row r="260" spans="3:257" s="888" customFormat="1" x14ac:dyDescent="0.45">
      <c r="C260" s="1812"/>
      <c r="D260" s="1813"/>
      <c r="E260" s="1813"/>
      <c r="F260" s="1814"/>
      <c r="G260" s="1814"/>
      <c r="H260" s="1814"/>
      <c r="I260" s="1814"/>
      <c r="J260" s="1814"/>
      <c r="K260" s="1814"/>
      <c r="L260" s="1814"/>
      <c r="M260" s="1814"/>
      <c r="N260" s="1814"/>
      <c r="O260" s="1814"/>
      <c r="P260" s="1814"/>
      <c r="Q260" s="1814"/>
      <c r="R260" s="1814"/>
      <c r="S260" s="1814"/>
      <c r="T260" s="1814"/>
      <c r="U260" s="1814"/>
      <c r="V260" s="1814"/>
      <c r="W260" s="1814"/>
      <c r="X260" s="1814"/>
      <c r="Y260" s="1814"/>
      <c r="Z260" s="1814"/>
      <c r="AA260" s="1814"/>
      <c r="AB260" s="1814"/>
      <c r="AC260" s="1814"/>
      <c r="AD260" s="1814"/>
      <c r="AE260" s="1814"/>
      <c r="AF260" s="1814"/>
      <c r="AG260" s="1814"/>
      <c r="AH260" s="1814"/>
      <c r="AI260" s="1814"/>
      <c r="AJ260" s="1814"/>
      <c r="AK260" s="1814"/>
      <c r="AL260" s="1814"/>
      <c r="AM260" s="1814"/>
      <c r="AN260" s="1814"/>
      <c r="AO260" s="1821"/>
      <c r="AP260" s="1816"/>
      <c r="AQ260" s="1817"/>
      <c r="AR260" s="1817"/>
      <c r="AS260" s="1818"/>
      <c r="AT260" s="1804"/>
      <c r="AU260" s="1804"/>
      <c r="AV260" s="1804"/>
      <c r="AW260" s="1804"/>
      <c r="AX260" s="1804"/>
      <c r="AY260" s="1804"/>
      <c r="AZ260" s="1804"/>
      <c r="BA260" s="1804"/>
      <c r="BB260" s="1804"/>
      <c r="BC260" s="1804"/>
      <c r="BD260" s="1804"/>
      <c r="BE260" s="1804"/>
      <c r="BF260" s="1804"/>
      <c r="BG260" s="1804"/>
      <c r="BH260" s="1804"/>
      <c r="BI260" s="1804"/>
      <c r="BJ260" s="1804"/>
      <c r="BK260" s="1804"/>
      <c r="BL260" s="1804"/>
      <c r="BM260" s="1804"/>
      <c r="BN260" s="1804"/>
      <c r="BO260" s="1804"/>
      <c r="BP260" s="1804"/>
      <c r="BQ260" s="1804"/>
      <c r="BR260" s="1804"/>
      <c r="BS260" s="1804"/>
      <c r="BT260" s="1804"/>
      <c r="BU260" s="1804"/>
      <c r="BV260" s="1804"/>
      <c r="BW260" s="1804"/>
      <c r="BX260" s="1804"/>
      <c r="BY260" s="1804"/>
      <c r="BZ260" s="1804"/>
      <c r="CA260" s="1804"/>
      <c r="CB260" s="1804"/>
      <c r="CC260" s="1804"/>
      <c r="CD260" s="1804"/>
      <c r="CE260" s="1804"/>
      <c r="CF260" s="1804"/>
      <c r="CG260" s="1804"/>
      <c r="CH260" s="1804"/>
      <c r="CI260" s="1804"/>
      <c r="CJ260" s="1804"/>
      <c r="CK260" s="1804"/>
      <c r="CL260" s="1804"/>
      <c r="CM260" s="1804"/>
      <c r="CN260" s="1804"/>
      <c r="CO260" s="1804"/>
      <c r="CP260" s="1804"/>
      <c r="CQ260" s="1804"/>
      <c r="CR260" s="1804"/>
      <c r="CS260" s="1804"/>
      <c r="CT260" s="1804"/>
      <c r="CU260" s="1804"/>
      <c r="CV260" s="1804"/>
      <c r="CW260" s="1804"/>
      <c r="CX260" s="1804"/>
      <c r="CY260" s="1804"/>
      <c r="CZ260" s="1804"/>
      <c r="DA260" s="1804"/>
      <c r="DB260" s="1804"/>
      <c r="DC260" s="1804"/>
      <c r="DD260" s="1804"/>
      <c r="DE260" s="1804"/>
      <c r="DF260" s="1804"/>
      <c r="DG260" s="1804"/>
      <c r="DH260" s="1804"/>
      <c r="DI260" s="1804"/>
      <c r="DJ260" s="1804"/>
      <c r="DK260" s="1804"/>
      <c r="DL260" s="1804"/>
      <c r="DM260" s="1804"/>
      <c r="DN260" s="1804"/>
      <c r="DO260" s="1804"/>
      <c r="DP260" s="1804"/>
      <c r="DQ260" s="1804"/>
      <c r="DR260" s="1804"/>
      <c r="DS260" s="1804"/>
      <c r="DT260" s="1804"/>
      <c r="DU260" s="1804"/>
      <c r="DV260" s="1804"/>
      <c r="DW260" s="1804"/>
      <c r="DX260" s="1804"/>
      <c r="DY260" s="1804"/>
      <c r="DZ260" s="1804"/>
      <c r="EA260" s="1804"/>
      <c r="EB260" s="1804"/>
      <c r="EC260" s="1804"/>
      <c r="ED260" s="1804"/>
      <c r="EE260" s="1804"/>
      <c r="EF260" s="1804"/>
      <c r="EG260" s="1804"/>
      <c r="EH260" s="1804"/>
      <c r="EI260" s="1804"/>
      <c r="EJ260" s="1804"/>
      <c r="EK260" s="1804"/>
      <c r="EL260" s="1804"/>
      <c r="EM260" s="1804"/>
      <c r="EN260" s="1804"/>
      <c r="EO260" s="1804"/>
      <c r="EP260" s="1804"/>
      <c r="EQ260" s="1804"/>
      <c r="ER260" s="1804"/>
      <c r="ES260" s="1804"/>
      <c r="ET260" s="1804"/>
      <c r="EU260" s="1804"/>
      <c r="EV260" s="1804"/>
      <c r="EW260" s="1804"/>
      <c r="EX260" s="1804"/>
      <c r="EY260" s="1804"/>
      <c r="EZ260" s="1804"/>
      <c r="FA260" s="1804"/>
      <c r="FB260" s="1804"/>
      <c r="FC260" s="1804"/>
      <c r="FD260" s="1804"/>
      <c r="FE260" s="1804"/>
      <c r="FF260" s="1804"/>
      <c r="FG260" s="1804"/>
      <c r="FH260" s="1804"/>
      <c r="FI260" s="1804"/>
      <c r="FJ260" s="1804"/>
      <c r="FK260" s="1804"/>
      <c r="FL260" s="1804"/>
      <c r="FM260" s="1804"/>
      <c r="FN260" s="1804"/>
      <c r="FO260" s="1804"/>
      <c r="FP260" s="1804"/>
      <c r="FQ260" s="1804"/>
      <c r="FR260" s="1804"/>
      <c r="FS260" s="1804"/>
      <c r="FT260" s="1804"/>
      <c r="FU260" s="1804"/>
      <c r="FV260" s="1804"/>
      <c r="FW260" s="1804"/>
      <c r="FX260" s="1804"/>
      <c r="FY260" s="1804"/>
      <c r="FZ260" s="1804"/>
      <c r="GA260" s="1804"/>
      <c r="GB260" s="1804"/>
      <c r="GC260" s="1804"/>
      <c r="GD260" s="1804"/>
      <c r="GE260" s="1804"/>
      <c r="GF260" s="1804"/>
      <c r="GG260" s="1804"/>
      <c r="GH260" s="1804"/>
      <c r="GI260" s="1804"/>
      <c r="GJ260" s="1804"/>
      <c r="GK260" s="1804"/>
      <c r="GL260" s="1804"/>
      <c r="GM260" s="1804"/>
      <c r="GN260" s="1804"/>
      <c r="GO260" s="1804"/>
      <c r="GP260" s="1804"/>
      <c r="GQ260" s="1804"/>
      <c r="GR260" s="1804"/>
      <c r="GS260" s="1804"/>
      <c r="GT260" s="1804"/>
      <c r="GU260" s="1804"/>
      <c r="GV260" s="1804"/>
      <c r="GW260" s="1804"/>
      <c r="GX260" s="1804"/>
      <c r="GY260" s="1804"/>
      <c r="GZ260" s="1804"/>
      <c r="HA260" s="1804"/>
      <c r="HB260" s="1804"/>
      <c r="HC260" s="1804"/>
      <c r="HD260" s="1804"/>
      <c r="HE260" s="1804"/>
      <c r="HF260" s="1804"/>
      <c r="HG260" s="1804"/>
      <c r="HH260" s="1804"/>
      <c r="HI260" s="1804"/>
      <c r="HJ260" s="1804"/>
      <c r="HK260" s="1804"/>
      <c r="HL260" s="1804"/>
      <c r="HM260" s="1804"/>
      <c r="HN260" s="1804"/>
      <c r="HO260" s="1804"/>
      <c r="HP260" s="1804"/>
      <c r="HQ260" s="1804"/>
      <c r="HR260" s="1804"/>
      <c r="HS260" s="1804"/>
      <c r="HT260" s="1804"/>
      <c r="HU260" s="1804"/>
      <c r="HV260" s="1804"/>
      <c r="HW260" s="1804"/>
      <c r="HX260" s="1804"/>
      <c r="HY260" s="1804"/>
      <c r="HZ260" s="1804"/>
      <c r="IA260" s="1804"/>
      <c r="IB260" s="1804"/>
      <c r="IC260" s="1804"/>
      <c r="ID260" s="1804"/>
      <c r="IE260" s="1804"/>
      <c r="IF260" s="1804"/>
      <c r="IG260" s="1804"/>
      <c r="IH260" s="1804"/>
      <c r="II260" s="1804"/>
      <c r="IJ260" s="1804"/>
      <c r="IK260" s="1804"/>
      <c r="IL260" s="1804"/>
      <c r="IM260" s="1804"/>
      <c r="IN260" s="1804"/>
      <c r="IO260" s="1804"/>
      <c r="IP260" s="1804"/>
      <c r="IQ260" s="1804"/>
      <c r="IR260" s="1804"/>
      <c r="IS260" s="1804"/>
      <c r="IT260" s="1804"/>
      <c r="IU260" s="1804"/>
      <c r="IV260" s="1804"/>
      <c r="IW260" s="1804"/>
    </row>
    <row r="261" spans="3:257" s="888" customFormat="1" ht="24" x14ac:dyDescent="0.45">
      <c r="C261" s="1803" t="s">
        <v>697</v>
      </c>
      <c r="D261" s="1822" t="s">
        <v>698</v>
      </c>
      <c r="E261" s="1804"/>
      <c r="F261" s="1804"/>
      <c r="G261" s="1804"/>
      <c r="H261" s="1804"/>
      <c r="I261" s="1804"/>
      <c r="J261" s="1804"/>
      <c r="K261" s="1804"/>
      <c r="L261" s="1804"/>
      <c r="M261" s="1804"/>
      <c r="N261" s="1804"/>
      <c r="O261" s="1804"/>
      <c r="P261" s="1804"/>
      <c r="Q261" s="1804"/>
      <c r="R261" s="1804"/>
      <c r="S261" s="1804"/>
      <c r="T261" s="1804"/>
      <c r="U261" s="1804"/>
      <c r="V261" s="1804"/>
      <c r="W261" s="1804"/>
      <c r="X261" s="1804"/>
      <c r="Y261" s="1804"/>
      <c r="Z261" s="1804"/>
      <c r="AA261" s="1804"/>
      <c r="AB261" s="1804"/>
      <c r="AC261" s="1804"/>
      <c r="AD261" s="1804"/>
      <c r="AE261" s="1804"/>
      <c r="AF261" s="1804"/>
      <c r="AG261" s="1804"/>
      <c r="AH261" s="1804"/>
      <c r="AI261" s="1804"/>
      <c r="AJ261" s="1804"/>
      <c r="AK261" s="1804"/>
      <c r="AL261" s="1804"/>
      <c r="AM261" s="1804"/>
      <c r="AN261" s="1804"/>
      <c r="AO261" s="1804"/>
      <c r="AP261" s="1804"/>
      <c r="AQ261" s="1804"/>
      <c r="AR261" s="1804"/>
      <c r="AS261" s="1804"/>
      <c r="AT261" s="1804"/>
      <c r="AU261" s="1804"/>
      <c r="AV261" s="1804"/>
      <c r="AW261" s="1804"/>
      <c r="AX261" s="1804"/>
      <c r="AY261" s="1804"/>
      <c r="AZ261" s="1804"/>
      <c r="BA261" s="1804"/>
      <c r="BB261" s="1804"/>
      <c r="BC261" s="1804"/>
      <c r="BD261" s="1804"/>
      <c r="BE261" s="1804"/>
      <c r="BF261" s="1804"/>
      <c r="BG261" s="1804"/>
      <c r="BH261" s="1804"/>
      <c r="BI261" s="1804"/>
      <c r="BJ261" s="1804"/>
      <c r="BK261" s="1804"/>
      <c r="BL261" s="1804"/>
      <c r="BM261" s="1804"/>
      <c r="BN261" s="1804"/>
      <c r="BO261" s="1804"/>
      <c r="BP261" s="1804"/>
      <c r="BQ261" s="1804"/>
      <c r="BR261" s="1804"/>
      <c r="BS261" s="1804"/>
      <c r="BT261" s="1804"/>
      <c r="BU261" s="1804"/>
      <c r="BV261" s="1804"/>
      <c r="BW261" s="1804"/>
      <c r="BX261" s="1804"/>
      <c r="BY261" s="1804"/>
      <c r="BZ261" s="1804"/>
      <c r="CA261" s="1804"/>
      <c r="CB261" s="1804"/>
      <c r="CC261" s="1804"/>
      <c r="CD261" s="1804"/>
      <c r="CE261" s="1804"/>
      <c r="CF261" s="1804"/>
      <c r="CG261" s="1804"/>
      <c r="CH261" s="1804"/>
      <c r="CI261" s="1804"/>
      <c r="CJ261" s="1804"/>
      <c r="CK261" s="1804"/>
      <c r="CL261" s="1804"/>
      <c r="CM261" s="1804"/>
      <c r="CN261" s="1804"/>
      <c r="CO261" s="1804"/>
      <c r="CP261" s="1804"/>
      <c r="CQ261" s="1804"/>
      <c r="CR261" s="1804"/>
      <c r="CS261" s="1804"/>
      <c r="CT261" s="1804"/>
      <c r="CU261" s="1804"/>
      <c r="CV261" s="1804"/>
      <c r="CW261" s="1804"/>
      <c r="CX261" s="1804"/>
      <c r="CY261" s="1804"/>
      <c r="CZ261" s="1804"/>
      <c r="DA261" s="1804"/>
      <c r="DB261" s="1804"/>
      <c r="DC261" s="1804"/>
      <c r="DD261" s="1804"/>
      <c r="DE261" s="1804"/>
      <c r="DF261" s="1804"/>
      <c r="DG261" s="1804"/>
      <c r="DH261" s="1804"/>
      <c r="DI261" s="1804"/>
      <c r="DJ261" s="1804"/>
      <c r="DK261" s="1804"/>
      <c r="DL261" s="1804"/>
      <c r="DM261" s="1804"/>
      <c r="DN261" s="1804"/>
      <c r="DO261" s="1804"/>
      <c r="DP261" s="1804"/>
      <c r="DQ261" s="1804"/>
      <c r="DR261" s="1804"/>
      <c r="DS261" s="1804"/>
      <c r="DT261" s="1804"/>
      <c r="DU261" s="1804"/>
      <c r="DV261" s="1804"/>
      <c r="DW261" s="1804"/>
      <c r="DX261" s="1804"/>
      <c r="DY261" s="1804"/>
      <c r="DZ261" s="1804"/>
      <c r="EA261" s="1804"/>
      <c r="EB261" s="1804"/>
      <c r="EC261" s="1804"/>
      <c r="ED261" s="1804"/>
      <c r="EE261" s="1804"/>
      <c r="EF261" s="1804"/>
      <c r="EG261" s="1804"/>
      <c r="EH261" s="1804"/>
      <c r="EI261" s="1804"/>
      <c r="EJ261" s="1804"/>
      <c r="EK261" s="1804"/>
      <c r="EL261" s="1804"/>
      <c r="EM261" s="1804"/>
      <c r="EN261" s="1804"/>
      <c r="EO261" s="1804"/>
      <c r="EP261" s="1804"/>
      <c r="EQ261" s="1804"/>
      <c r="ER261" s="1804"/>
      <c r="ES261" s="1804"/>
      <c r="ET261" s="1804"/>
      <c r="EU261" s="1804"/>
      <c r="EV261" s="1804"/>
      <c r="EW261" s="1804"/>
      <c r="EX261" s="1804"/>
      <c r="EY261" s="1804"/>
      <c r="EZ261" s="1804"/>
      <c r="FA261" s="1804"/>
      <c r="FB261" s="1804"/>
      <c r="FC261" s="1804"/>
      <c r="FD261" s="1804"/>
      <c r="FE261" s="1804"/>
      <c r="FF261" s="1804"/>
      <c r="FG261" s="1804"/>
      <c r="FH261" s="1804"/>
      <c r="FI261" s="1804"/>
      <c r="FJ261" s="1804"/>
      <c r="FK261" s="1804"/>
      <c r="FL261" s="1804"/>
      <c r="FM261" s="1804"/>
      <c r="FN261" s="1804"/>
      <c r="FO261" s="1804"/>
      <c r="FP261" s="1804"/>
      <c r="FQ261" s="1804"/>
      <c r="FR261" s="1804"/>
      <c r="FS261" s="1804"/>
      <c r="FT261" s="1804"/>
      <c r="FU261" s="1804"/>
      <c r="FV261" s="1804"/>
      <c r="FW261" s="1804"/>
      <c r="FX261" s="1804"/>
      <c r="FY261" s="1804"/>
      <c r="FZ261" s="1804"/>
      <c r="GA261" s="1804"/>
      <c r="GB261" s="1804"/>
      <c r="GC261" s="1804"/>
      <c r="GD261" s="1804"/>
      <c r="GE261" s="1804"/>
      <c r="GF261" s="1804"/>
      <c r="GG261" s="1804"/>
      <c r="GH261" s="1804"/>
      <c r="GI261" s="1804"/>
      <c r="GJ261" s="1804"/>
      <c r="GK261" s="1804"/>
      <c r="GL261" s="1804"/>
      <c r="GM261" s="1804"/>
      <c r="GN261" s="1804"/>
      <c r="GO261" s="1804"/>
      <c r="GP261" s="1804"/>
      <c r="GQ261" s="1804"/>
      <c r="GR261" s="1804"/>
      <c r="GS261" s="1804"/>
      <c r="GT261" s="1804"/>
      <c r="GU261" s="1804"/>
      <c r="GV261" s="1804"/>
      <c r="GW261" s="1804"/>
      <c r="GX261" s="1804"/>
      <c r="GY261" s="1804"/>
      <c r="GZ261" s="1804"/>
      <c r="HA261" s="1804"/>
      <c r="HB261" s="1804"/>
      <c r="HC261" s="1804"/>
      <c r="HD261" s="1804"/>
      <c r="HE261" s="1804"/>
      <c r="HF261" s="1804"/>
      <c r="HG261" s="1804"/>
      <c r="HH261" s="1804"/>
      <c r="HI261" s="1804"/>
      <c r="HJ261" s="1804"/>
      <c r="HK261" s="1804"/>
      <c r="HL261" s="1804"/>
      <c r="HM261" s="1804"/>
      <c r="HN261" s="1804"/>
      <c r="HO261" s="1804"/>
      <c r="HP261" s="1804"/>
      <c r="HQ261" s="1804"/>
      <c r="HR261" s="1804"/>
      <c r="HS261" s="1804"/>
      <c r="HT261" s="1804"/>
      <c r="HU261" s="1804"/>
      <c r="HV261" s="1804"/>
      <c r="HW261" s="1804"/>
      <c r="HX261" s="1804"/>
      <c r="HY261" s="1804"/>
      <c r="HZ261" s="1804"/>
      <c r="IA261" s="1804"/>
      <c r="IB261" s="1804"/>
      <c r="IC261" s="1804"/>
      <c r="ID261" s="1804"/>
      <c r="IE261" s="1804"/>
      <c r="IF261" s="1804"/>
      <c r="IG261" s="1804"/>
      <c r="IH261" s="1804"/>
      <c r="II261" s="1804"/>
      <c r="IJ261" s="1804"/>
      <c r="IK261" s="1804"/>
      <c r="IL261" s="1804"/>
      <c r="IM261" s="1804"/>
      <c r="IN261" s="1804"/>
      <c r="IO261" s="1804"/>
      <c r="IP261" s="1804"/>
      <c r="IQ261" s="1804"/>
      <c r="IR261" s="1804"/>
      <c r="IS261" s="1804"/>
      <c r="IT261" s="1804"/>
      <c r="IU261" s="1804"/>
      <c r="IV261" s="1804"/>
      <c r="IW261" s="1804"/>
    </row>
    <row r="262" spans="3:257" s="888" customFormat="1" ht="14.65" thickBot="1" x14ac:dyDescent="0.5">
      <c r="C262" s="1804"/>
      <c r="D262" s="1804"/>
      <c r="E262" s="1804"/>
      <c r="F262" s="1823"/>
      <c r="G262" s="1823"/>
      <c r="H262" s="1823"/>
      <c r="I262" s="1823"/>
      <c r="J262" s="1823"/>
      <c r="K262" s="1823"/>
      <c r="L262" s="1823"/>
      <c r="M262" s="1823"/>
      <c r="N262" s="1823"/>
      <c r="O262" s="1823"/>
      <c r="P262" s="1823"/>
      <c r="Q262" s="1823"/>
      <c r="R262" s="1823"/>
      <c r="S262" s="1823"/>
      <c r="T262" s="1823"/>
      <c r="U262" s="1823"/>
      <c r="V262" s="1823"/>
      <c r="W262" s="1823"/>
      <c r="X262" s="1823"/>
      <c r="Y262" s="1823"/>
      <c r="Z262" s="1823"/>
      <c r="AA262" s="1823"/>
      <c r="AB262" s="1823"/>
      <c r="AC262" s="1823"/>
      <c r="AD262" s="1823"/>
      <c r="AE262" s="1823"/>
      <c r="AF262" s="1823"/>
      <c r="AG262" s="1823"/>
      <c r="AH262" s="1804"/>
      <c r="AI262" s="1804"/>
      <c r="AJ262" s="1804"/>
      <c r="AK262" s="1804"/>
      <c r="AL262" s="1804"/>
      <c r="AM262" s="1804"/>
      <c r="AN262" s="1804"/>
      <c r="AO262" s="1804"/>
      <c r="AP262" s="1804"/>
      <c r="AQ262" s="1804"/>
      <c r="AR262" s="1804"/>
      <c r="AS262" s="1804"/>
      <c r="AT262" s="1804"/>
      <c r="AU262" s="1804"/>
      <c r="AV262" s="1804"/>
      <c r="AW262" s="1804"/>
      <c r="AX262" s="1804"/>
      <c r="AY262" s="1804"/>
      <c r="AZ262" s="1804"/>
      <c r="BA262" s="1804"/>
      <c r="BB262" s="1804"/>
      <c r="BC262" s="1804"/>
      <c r="BD262" s="1804"/>
      <c r="BE262" s="1804"/>
      <c r="BF262" s="1804"/>
      <c r="BG262" s="1804"/>
      <c r="BH262" s="1804"/>
      <c r="BI262" s="1804"/>
      <c r="BJ262" s="1804"/>
      <c r="BK262" s="1804"/>
      <c r="BL262" s="1804"/>
      <c r="BM262" s="1804"/>
      <c r="BN262" s="1804"/>
      <c r="BO262" s="1804"/>
      <c r="BP262" s="1804"/>
      <c r="BQ262" s="1804"/>
      <c r="BR262" s="1804"/>
      <c r="BS262" s="1804"/>
      <c r="BT262" s="1804"/>
      <c r="BU262" s="1804"/>
      <c r="BV262" s="1804"/>
      <c r="BW262" s="1804"/>
      <c r="BX262" s="1804"/>
      <c r="BY262" s="1804"/>
      <c r="BZ262" s="1804"/>
      <c r="CA262" s="1804"/>
      <c r="CB262" s="1804"/>
      <c r="CC262" s="1804"/>
      <c r="CD262" s="1804"/>
      <c r="CE262" s="1804"/>
      <c r="CF262" s="1804"/>
      <c r="CG262" s="1804"/>
      <c r="CH262" s="1804"/>
      <c r="CI262" s="1804"/>
      <c r="CJ262" s="1804"/>
      <c r="CK262" s="1804"/>
      <c r="CL262" s="1804"/>
      <c r="CM262" s="1804"/>
      <c r="CN262" s="1804"/>
      <c r="CO262" s="1804"/>
      <c r="CP262" s="1804"/>
      <c r="CQ262" s="1804"/>
      <c r="CR262" s="1804"/>
      <c r="CS262" s="1804"/>
      <c r="CT262" s="1804"/>
      <c r="CU262" s="1804"/>
      <c r="CV262" s="1804"/>
      <c r="CW262" s="1804"/>
      <c r="CX262" s="1804"/>
      <c r="CY262" s="1804"/>
      <c r="CZ262" s="1804"/>
      <c r="DA262" s="1804"/>
      <c r="DB262" s="1804"/>
      <c r="DC262" s="1804"/>
      <c r="DD262" s="1804"/>
      <c r="DE262" s="1804"/>
      <c r="DF262" s="1804"/>
      <c r="DG262" s="1804"/>
      <c r="DH262" s="1804"/>
      <c r="DI262" s="1804"/>
      <c r="DJ262" s="1804"/>
      <c r="DK262" s="1804"/>
      <c r="DL262" s="1804"/>
      <c r="DM262" s="1804"/>
      <c r="DN262" s="1804"/>
      <c r="DO262" s="1804"/>
      <c r="DP262" s="1804"/>
      <c r="DQ262" s="1804"/>
      <c r="DR262" s="1804"/>
      <c r="DS262" s="1804"/>
      <c r="DT262" s="1804"/>
      <c r="DU262" s="1804"/>
      <c r="DV262" s="1804"/>
      <c r="DW262" s="1804"/>
      <c r="DX262" s="1804"/>
      <c r="DY262" s="1804"/>
      <c r="DZ262" s="1804"/>
      <c r="EA262" s="1804"/>
      <c r="EB262" s="1804"/>
      <c r="EC262" s="1804"/>
      <c r="ED262" s="1804"/>
      <c r="EE262" s="1804"/>
      <c r="EF262" s="1804"/>
      <c r="EG262" s="1804"/>
      <c r="EH262" s="1804"/>
      <c r="EI262" s="1804"/>
      <c r="EJ262" s="1804"/>
      <c r="EK262" s="1804"/>
      <c r="EL262" s="1804"/>
      <c r="EM262" s="1804"/>
      <c r="EN262" s="1804"/>
      <c r="EO262" s="1804"/>
      <c r="EP262" s="1804"/>
      <c r="EQ262" s="1804"/>
      <c r="ER262" s="1804"/>
      <c r="ES262" s="1804"/>
      <c r="ET262" s="1804"/>
      <c r="EU262" s="1804"/>
      <c r="EV262" s="1804"/>
      <c r="EW262" s="1804"/>
      <c r="EX262" s="1804"/>
      <c r="EY262" s="1804"/>
      <c r="EZ262" s="1804"/>
      <c r="FA262" s="1804"/>
      <c r="FB262" s="1804"/>
      <c r="FC262" s="1804"/>
      <c r="FD262" s="1804"/>
      <c r="FE262" s="1804"/>
      <c r="FF262" s="1804"/>
      <c r="FG262" s="1804"/>
      <c r="FH262" s="1804"/>
      <c r="FI262" s="1804"/>
      <c r="FJ262" s="1804"/>
      <c r="FK262" s="1804"/>
      <c r="FL262" s="1804"/>
      <c r="FM262" s="1804"/>
      <c r="FN262" s="1804"/>
      <c r="FO262" s="1804"/>
      <c r="FP262" s="1804"/>
      <c r="FQ262" s="1804"/>
      <c r="FR262" s="1804"/>
      <c r="FS262" s="1804"/>
      <c r="FT262" s="1804"/>
      <c r="FU262" s="1804"/>
      <c r="FV262" s="1804"/>
      <c r="FW262" s="1804"/>
      <c r="FX262" s="1804"/>
      <c r="FY262" s="1804"/>
      <c r="FZ262" s="1804"/>
      <c r="GA262" s="1804"/>
      <c r="GB262" s="1804"/>
      <c r="GC262" s="1804"/>
      <c r="GD262" s="1804"/>
      <c r="GE262" s="1804"/>
      <c r="GF262" s="1804"/>
      <c r="GG262" s="1804"/>
      <c r="GH262" s="1804"/>
      <c r="GI262" s="1804"/>
      <c r="GJ262" s="1804"/>
      <c r="GK262" s="1804"/>
      <c r="GL262" s="1804"/>
      <c r="GM262" s="1804"/>
      <c r="GN262" s="1804"/>
      <c r="GO262" s="1804"/>
      <c r="GP262" s="1804"/>
      <c r="GQ262" s="1804"/>
      <c r="GR262" s="1804"/>
      <c r="GS262" s="1804"/>
      <c r="GT262" s="1804"/>
      <c r="GU262" s="1804"/>
      <c r="GV262" s="1804"/>
      <c r="GW262" s="1804"/>
      <c r="GX262" s="1804"/>
      <c r="GY262" s="1804"/>
      <c r="GZ262" s="1804"/>
      <c r="HA262" s="1804"/>
      <c r="HB262" s="1804"/>
      <c r="HC262" s="1804"/>
      <c r="HD262" s="1804"/>
      <c r="HE262" s="1804"/>
      <c r="HF262" s="1804"/>
      <c r="HG262" s="1804"/>
      <c r="HH262" s="1804"/>
      <c r="HI262" s="1804"/>
      <c r="HJ262" s="1804"/>
      <c r="HK262" s="1804"/>
      <c r="HL262" s="1804"/>
      <c r="HM262" s="1804"/>
      <c r="HN262" s="1804"/>
      <c r="HO262" s="1804"/>
      <c r="HP262" s="1804"/>
      <c r="HQ262" s="1804"/>
      <c r="HR262" s="1804"/>
      <c r="HS262" s="1804"/>
      <c r="HT262" s="1804"/>
      <c r="HU262" s="1804"/>
      <c r="HV262" s="1804"/>
      <c r="HW262" s="1804"/>
      <c r="HX262" s="1804"/>
      <c r="HY262" s="1804"/>
      <c r="HZ262" s="1804"/>
      <c r="IA262" s="1804"/>
      <c r="IB262" s="1804"/>
      <c r="IC262" s="1804"/>
      <c r="ID262" s="1804"/>
      <c r="IE262" s="1804"/>
      <c r="IF262" s="1804"/>
      <c r="IG262" s="1804"/>
      <c r="IH262" s="1804"/>
      <c r="II262" s="1804"/>
      <c r="IJ262" s="1804"/>
      <c r="IK262" s="1804"/>
      <c r="IL262" s="1804"/>
      <c r="IM262" s="1804"/>
      <c r="IN262" s="1804"/>
      <c r="IO262" s="1804"/>
      <c r="IP262" s="1804"/>
      <c r="IQ262" s="1804"/>
      <c r="IR262" s="1804"/>
      <c r="IS262" s="1804"/>
      <c r="IT262" s="1804"/>
      <c r="IU262" s="1804"/>
      <c r="IV262" s="1804"/>
      <c r="IW262" s="1804"/>
    </row>
    <row r="263" spans="3:257" s="888" customFormat="1" x14ac:dyDescent="0.45">
      <c r="C263" s="2374" t="s">
        <v>618</v>
      </c>
      <c r="D263" s="2377" t="s">
        <v>619</v>
      </c>
      <c r="E263" s="2377" t="s">
        <v>620</v>
      </c>
      <c r="F263" s="529" t="s">
        <v>623</v>
      </c>
      <c r="G263" s="530"/>
      <c r="H263" s="530"/>
      <c r="I263" s="530"/>
      <c r="J263" s="530"/>
      <c r="K263" s="530"/>
      <c r="L263" s="530"/>
      <c r="M263" s="530"/>
      <c r="N263" s="530"/>
      <c r="O263" s="530"/>
      <c r="P263" s="530"/>
      <c r="Q263" s="530"/>
      <c r="R263" s="530"/>
      <c r="S263" s="530"/>
      <c r="T263" s="530"/>
      <c r="U263" s="530"/>
      <c r="V263" s="530"/>
      <c r="W263" s="530"/>
      <c r="X263" s="530"/>
      <c r="Y263" s="530"/>
      <c r="Z263" s="530"/>
      <c r="AA263" s="530"/>
      <c r="AB263" s="530"/>
      <c r="AC263" s="530"/>
      <c r="AD263" s="530"/>
      <c r="AE263" s="530"/>
      <c r="AF263" s="530"/>
      <c r="AG263" s="530"/>
      <c r="AH263" s="530"/>
      <c r="AI263" s="530"/>
      <c r="AJ263" s="530"/>
      <c r="AK263" s="530"/>
      <c r="AL263" s="530"/>
      <c r="AM263" s="530"/>
      <c r="AN263" s="531"/>
      <c r="AO263" s="1804"/>
      <c r="AP263" s="1804"/>
      <c r="AQ263" s="1804"/>
      <c r="AR263" s="1804"/>
      <c r="AS263" s="1804"/>
      <c r="AT263" s="1804"/>
      <c r="AU263" s="1804"/>
      <c r="AV263" s="1804"/>
      <c r="AW263" s="1804"/>
      <c r="AX263" s="1804"/>
      <c r="AY263" s="1804"/>
      <c r="AZ263" s="1804"/>
      <c r="BA263" s="1804"/>
      <c r="BB263" s="1804"/>
      <c r="BC263" s="1804"/>
      <c r="BD263" s="1804"/>
      <c r="BE263" s="1804"/>
      <c r="BF263" s="1804"/>
      <c r="BG263" s="1804"/>
      <c r="BH263" s="1804"/>
      <c r="BI263" s="1804"/>
      <c r="BJ263" s="1804"/>
      <c r="BK263" s="1804"/>
      <c r="BL263" s="1804"/>
      <c r="BM263" s="1804"/>
      <c r="BN263" s="1804"/>
      <c r="BO263" s="1804"/>
      <c r="BP263" s="1804"/>
      <c r="BQ263" s="1804"/>
      <c r="BR263" s="1804"/>
      <c r="BS263" s="1804"/>
      <c r="BT263" s="1804"/>
      <c r="BU263" s="1804"/>
      <c r="BV263" s="1804"/>
      <c r="BW263" s="1804"/>
      <c r="BX263" s="1804"/>
      <c r="BY263" s="1804"/>
      <c r="BZ263" s="1804"/>
      <c r="CA263" s="1804"/>
      <c r="CB263" s="1804"/>
      <c r="CC263" s="1804"/>
      <c r="CD263" s="1804"/>
      <c r="CE263" s="1804"/>
      <c r="CF263" s="1804"/>
      <c r="CG263" s="1804"/>
      <c r="CH263" s="1804"/>
      <c r="CI263" s="1804"/>
      <c r="CJ263" s="1804"/>
      <c r="CK263" s="1804"/>
      <c r="CL263" s="1804"/>
      <c r="CM263" s="1804"/>
      <c r="CN263" s="1804"/>
      <c r="CO263" s="1804"/>
      <c r="CP263" s="1804"/>
      <c r="CQ263" s="1804"/>
      <c r="CR263" s="1804"/>
      <c r="CS263" s="1804"/>
      <c r="CT263" s="1804"/>
      <c r="CU263" s="1804"/>
      <c r="CV263" s="1804"/>
      <c r="CW263" s="1804"/>
      <c r="CX263" s="1804"/>
      <c r="CY263" s="1804"/>
      <c r="CZ263" s="1804"/>
      <c r="DA263" s="1804"/>
      <c r="DB263" s="1804"/>
      <c r="DC263" s="1804"/>
      <c r="DD263" s="1804"/>
      <c r="DE263" s="1804"/>
      <c r="DF263" s="1804"/>
      <c r="DG263" s="1804"/>
      <c r="DH263" s="1804"/>
      <c r="DI263" s="1804"/>
      <c r="DJ263" s="1804"/>
      <c r="DK263" s="1804"/>
      <c r="DL263" s="1804"/>
      <c r="DM263" s="1804"/>
      <c r="DN263" s="1804"/>
      <c r="DO263" s="1804"/>
      <c r="DP263" s="1804"/>
      <c r="DQ263" s="1804"/>
      <c r="DR263" s="1804"/>
      <c r="DS263" s="1804"/>
      <c r="DT263" s="1804"/>
      <c r="DU263" s="1804"/>
      <c r="DV263" s="1804"/>
      <c r="DW263" s="1804"/>
      <c r="DX263" s="1804"/>
      <c r="DY263" s="1804"/>
      <c r="DZ263" s="1804"/>
      <c r="EA263" s="1804"/>
      <c r="EB263" s="1804"/>
      <c r="EC263" s="1804"/>
      <c r="ED263" s="1804"/>
      <c r="EE263" s="1804"/>
      <c r="EF263" s="1804"/>
      <c r="EG263" s="1804"/>
      <c r="EH263" s="1804"/>
      <c r="EI263" s="1804"/>
      <c r="EJ263" s="1804"/>
      <c r="EK263" s="1804"/>
      <c r="EL263" s="1804"/>
      <c r="EM263" s="1804"/>
      <c r="EN263" s="1804"/>
      <c r="EO263" s="1804"/>
      <c r="EP263" s="1804"/>
      <c r="EQ263" s="1804"/>
      <c r="ER263" s="1804"/>
      <c r="ES263" s="1804"/>
      <c r="ET263" s="1804"/>
      <c r="EU263" s="1804"/>
      <c r="EV263" s="1804"/>
      <c r="EW263" s="1804"/>
      <c r="EX263" s="1804"/>
      <c r="EY263" s="1804"/>
      <c r="EZ263" s="1804"/>
      <c r="FA263" s="1804"/>
      <c r="FB263" s="1804"/>
      <c r="FC263" s="1804"/>
      <c r="FD263" s="1804"/>
      <c r="FE263" s="1804"/>
      <c r="FF263" s="1804"/>
      <c r="FG263" s="1804"/>
      <c r="FH263" s="1804"/>
      <c r="FI263" s="1804"/>
      <c r="FJ263" s="1804"/>
      <c r="FK263" s="1804"/>
      <c r="FL263" s="1804"/>
      <c r="FM263" s="1804"/>
      <c r="FN263" s="1804"/>
      <c r="FO263" s="1804"/>
      <c r="FP263" s="1804"/>
      <c r="FQ263" s="1804"/>
      <c r="FR263" s="1804"/>
      <c r="FS263" s="1804"/>
      <c r="FT263" s="1804"/>
      <c r="FU263" s="1804"/>
      <c r="FV263" s="1804"/>
      <c r="FW263" s="1804"/>
      <c r="FX263" s="1804"/>
      <c r="FY263" s="1804"/>
      <c r="FZ263" s="1804"/>
      <c r="GA263" s="1804"/>
      <c r="GB263" s="1804"/>
      <c r="GC263" s="1804"/>
      <c r="GD263" s="1804"/>
      <c r="GE263" s="1804"/>
      <c r="GF263" s="1804"/>
      <c r="GG263" s="1804"/>
      <c r="GH263" s="1804"/>
      <c r="GI263" s="1804"/>
      <c r="GJ263" s="1804"/>
      <c r="GK263" s="1804"/>
      <c r="GL263" s="1804"/>
      <c r="GM263" s="1804"/>
      <c r="GN263" s="1804"/>
      <c r="GO263" s="1804"/>
      <c r="GP263" s="1804"/>
      <c r="GQ263" s="1804"/>
      <c r="GR263" s="1804"/>
      <c r="GS263" s="1804"/>
      <c r="GT263" s="1804"/>
      <c r="GU263" s="1804"/>
      <c r="GV263" s="1804"/>
      <c r="GW263" s="1804"/>
      <c r="GX263" s="1804"/>
      <c r="GY263" s="1804"/>
      <c r="GZ263" s="1804"/>
      <c r="HA263" s="1804"/>
      <c r="HB263" s="1804"/>
      <c r="HC263" s="1804"/>
      <c r="HD263" s="1804"/>
      <c r="HE263" s="1804"/>
      <c r="HF263" s="1804"/>
      <c r="HG263" s="1804"/>
      <c r="HH263" s="1804"/>
      <c r="HI263" s="1804"/>
      <c r="HJ263" s="1804"/>
      <c r="HK263" s="1804"/>
      <c r="HL263" s="1804"/>
      <c r="HM263" s="1804"/>
      <c r="HN263" s="1804"/>
      <c r="HO263" s="1804"/>
      <c r="HP263" s="1804"/>
      <c r="HQ263" s="1804"/>
      <c r="HR263" s="1804"/>
      <c r="HS263" s="1804"/>
      <c r="HT263" s="1804"/>
      <c r="HU263" s="1804"/>
      <c r="HV263" s="1804"/>
      <c r="HW263" s="1804"/>
      <c r="HX263" s="1804"/>
      <c r="HY263" s="1804"/>
      <c r="HZ263" s="1804"/>
      <c r="IA263" s="1804"/>
      <c r="IB263" s="1804"/>
      <c r="IC263" s="1804"/>
      <c r="ID263" s="1804"/>
      <c r="IE263" s="1804"/>
      <c r="IF263" s="1804"/>
      <c r="IG263" s="1804"/>
      <c r="IH263" s="1804"/>
      <c r="II263" s="1804"/>
      <c r="IJ263" s="1804"/>
      <c r="IK263" s="1804"/>
      <c r="IL263" s="1804"/>
      <c r="IM263" s="1804"/>
      <c r="IN263" s="1804"/>
      <c r="IO263" s="1804"/>
      <c r="IP263" s="1804"/>
      <c r="IQ263" s="1804"/>
      <c r="IR263" s="1804"/>
      <c r="IS263" s="1804"/>
      <c r="IT263" s="1804"/>
      <c r="IU263" s="1804"/>
      <c r="IV263" s="1804"/>
      <c r="IW263" s="1804"/>
    </row>
    <row r="264" spans="3:257" s="888" customFormat="1" x14ac:dyDescent="0.45">
      <c r="C264" s="2375"/>
      <c r="D264" s="2378"/>
      <c r="E264" s="2378"/>
      <c r="F264" s="2357" t="s">
        <v>668</v>
      </c>
      <c r="G264" s="2382"/>
      <c r="H264" s="2382"/>
      <c r="I264" s="2382"/>
      <c r="J264" s="2382"/>
      <c r="K264" s="2382"/>
      <c r="L264" s="2382"/>
      <c r="M264" s="2382"/>
      <c r="N264" s="2358"/>
      <c r="O264" s="596" t="s">
        <v>699</v>
      </c>
      <c r="P264" s="597"/>
      <c r="Q264" s="597"/>
      <c r="R264" s="597"/>
      <c r="S264" s="597"/>
      <c r="T264" s="597"/>
      <c r="U264" s="597"/>
      <c r="V264" s="597"/>
      <c r="W264" s="598"/>
      <c r="X264" s="2357" t="s">
        <v>670</v>
      </c>
      <c r="Y264" s="2358"/>
      <c r="Z264" s="2357" t="s">
        <v>671</v>
      </c>
      <c r="AA264" s="2358"/>
      <c r="AB264" s="2357" t="s">
        <v>672</v>
      </c>
      <c r="AC264" s="2358"/>
      <c r="AD264" s="2357" t="s">
        <v>673</v>
      </c>
      <c r="AE264" s="2358"/>
      <c r="AF264" s="2357" t="s">
        <v>674</v>
      </c>
      <c r="AG264" s="2358"/>
      <c r="AH264" s="2357" t="s">
        <v>675</v>
      </c>
      <c r="AI264" s="2358"/>
      <c r="AJ264" s="2371" t="s">
        <v>700</v>
      </c>
      <c r="AK264" s="2372"/>
      <c r="AL264" s="2372"/>
      <c r="AM264" s="2372"/>
      <c r="AN264" s="2373"/>
      <c r="AO264" s="1804"/>
      <c r="AP264" s="1804"/>
      <c r="AQ264" s="1804"/>
      <c r="AR264" s="1804"/>
      <c r="AS264" s="1804"/>
      <c r="AT264" s="1804"/>
      <c r="AU264" s="1804"/>
      <c r="AV264" s="1804"/>
      <c r="AW264" s="1804"/>
      <c r="AX264" s="1804"/>
      <c r="AY264" s="1804"/>
      <c r="AZ264" s="1804"/>
      <c r="BA264" s="1804"/>
      <c r="BB264" s="1804"/>
      <c r="BC264" s="1804"/>
      <c r="BD264" s="1804"/>
      <c r="BE264" s="1804"/>
      <c r="BF264" s="1804"/>
      <c r="BG264" s="1804"/>
      <c r="BH264" s="1804"/>
      <c r="BI264" s="1804"/>
      <c r="BJ264" s="1804"/>
      <c r="BK264" s="1804"/>
      <c r="BL264" s="1804"/>
      <c r="BM264" s="1804"/>
      <c r="BN264" s="1804"/>
      <c r="BO264" s="1804"/>
      <c r="BP264" s="1804"/>
      <c r="BQ264" s="1804"/>
      <c r="BR264" s="1804"/>
      <c r="BS264" s="1804"/>
      <c r="BT264" s="1804"/>
      <c r="BU264" s="1804"/>
      <c r="BV264" s="1804"/>
      <c r="BW264" s="1804"/>
      <c r="BX264" s="1804"/>
      <c r="BY264" s="1804"/>
      <c r="BZ264" s="1804"/>
      <c r="CA264" s="1804"/>
      <c r="CB264" s="1804"/>
      <c r="CC264" s="1804"/>
      <c r="CD264" s="1804"/>
      <c r="CE264" s="1804"/>
      <c r="CF264" s="1804"/>
      <c r="CG264" s="1804"/>
      <c r="CH264" s="1804"/>
      <c r="CI264" s="1804"/>
      <c r="CJ264" s="1804"/>
      <c r="CK264" s="1804"/>
      <c r="CL264" s="1804"/>
      <c r="CM264" s="1804"/>
      <c r="CN264" s="1804"/>
      <c r="CO264" s="1804"/>
      <c r="CP264" s="1804"/>
      <c r="CQ264" s="1804"/>
      <c r="CR264" s="1804"/>
      <c r="CS264" s="1804"/>
      <c r="CT264" s="1804"/>
      <c r="CU264" s="1804"/>
      <c r="CV264" s="1804"/>
      <c r="CW264" s="1804"/>
      <c r="CX264" s="1804"/>
      <c r="CY264" s="1804"/>
      <c r="CZ264" s="1804"/>
      <c r="DA264" s="1804"/>
      <c r="DB264" s="1804"/>
      <c r="DC264" s="1804"/>
      <c r="DD264" s="1804"/>
      <c r="DE264" s="1804"/>
      <c r="DF264" s="1804"/>
      <c r="DG264" s="1804"/>
      <c r="DH264" s="1804"/>
      <c r="DI264" s="1804"/>
      <c r="DJ264" s="1804"/>
      <c r="DK264" s="1804"/>
      <c r="DL264" s="1804"/>
      <c r="DM264" s="1804"/>
      <c r="DN264" s="1804"/>
      <c r="DO264" s="1804"/>
      <c r="DP264" s="1804"/>
      <c r="DQ264" s="1804"/>
      <c r="DR264" s="1804"/>
      <c r="DS264" s="1804"/>
      <c r="DT264" s="1804"/>
      <c r="DU264" s="1804"/>
      <c r="DV264" s="1804"/>
      <c r="DW264" s="1804"/>
      <c r="DX264" s="1804"/>
      <c r="DY264" s="1804"/>
      <c r="DZ264" s="1804"/>
      <c r="EA264" s="1804"/>
      <c r="EB264" s="1804"/>
      <c r="EC264" s="1804"/>
      <c r="ED264" s="1804"/>
      <c r="EE264" s="1804"/>
      <c r="EF264" s="1804"/>
      <c r="EG264" s="1804"/>
      <c r="EH264" s="1804"/>
      <c r="EI264" s="1804"/>
      <c r="EJ264" s="1804"/>
      <c r="EK264" s="1804"/>
      <c r="EL264" s="1804"/>
      <c r="EM264" s="1804"/>
      <c r="EN264" s="1804"/>
      <c r="EO264" s="1804"/>
      <c r="EP264" s="1804"/>
      <c r="EQ264" s="1804"/>
      <c r="ER264" s="1804"/>
      <c r="ES264" s="1804"/>
      <c r="ET264" s="1804"/>
      <c r="EU264" s="1804"/>
      <c r="EV264" s="1804"/>
      <c r="EW264" s="1804"/>
      <c r="EX264" s="1804"/>
      <c r="EY264" s="1804"/>
      <c r="EZ264" s="1804"/>
      <c r="FA264" s="1804"/>
      <c r="FB264" s="1804"/>
      <c r="FC264" s="1804"/>
      <c r="FD264" s="1804"/>
      <c r="FE264" s="1804"/>
      <c r="FF264" s="1804"/>
      <c r="FG264" s="1804"/>
      <c r="FH264" s="1804"/>
      <c r="FI264" s="1804"/>
      <c r="FJ264" s="1804"/>
      <c r="FK264" s="1804"/>
      <c r="FL264" s="1804"/>
      <c r="FM264" s="1804"/>
      <c r="FN264" s="1804"/>
      <c r="FO264" s="1804"/>
      <c r="FP264" s="1804"/>
      <c r="FQ264" s="1804"/>
      <c r="FR264" s="1804"/>
      <c r="FS264" s="1804"/>
      <c r="FT264" s="1804"/>
      <c r="FU264" s="1804"/>
      <c r="FV264" s="1804"/>
      <c r="FW264" s="1804"/>
      <c r="FX264" s="1804"/>
      <c r="FY264" s="1804"/>
      <c r="FZ264" s="1804"/>
      <c r="GA264" s="1804"/>
      <c r="GB264" s="1804"/>
      <c r="GC264" s="1804"/>
      <c r="GD264" s="1804"/>
      <c r="GE264" s="1804"/>
      <c r="GF264" s="1804"/>
      <c r="GG264" s="1804"/>
      <c r="GH264" s="1804"/>
      <c r="GI264" s="1804"/>
      <c r="GJ264" s="1804"/>
      <c r="GK264" s="1804"/>
      <c r="GL264" s="1804"/>
      <c r="GM264" s="1804"/>
      <c r="GN264" s="1804"/>
      <c r="GO264" s="1804"/>
      <c r="GP264" s="1804"/>
      <c r="GQ264" s="1804"/>
      <c r="GR264" s="1804"/>
      <c r="GS264" s="1804"/>
      <c r="GT264" s="1804"/>
      <c r="GU264" s="1804"/>
      <c r="GV264" s="1804"/>
      <c r="GW264" s="1804"/>
      <c r="GX264" s="1804"/>
      <c r="GY264" s="1804"/>
      <c r="GZ264" s="1804"/>
      <c r="HA264" s="1804"/>
      <c r="HB264" s="1804"/>
      <c r="HC264" s="1804"/>
      <c r="HD264" s="1804"/>
      <c r="HE264" s="1804"/>
      <c r="HF264" s="1804"/>
      <c r="HG264" s="1804"/>
      <c r="HH264" s="1804"/>
      <c r="HI264" s="1804"/>
      <c r="HJ264" s="1804"/>
      <c r="HK264" s="1804"/>
      <c r="HL264" s="1804"/>
      <c r="HM264" s="1804"/>
      <c r="HN264" s="1804"/>
      <c r="HO264" s="1804"/>
      <c r="HP264" s="1804"/>
      <c r="HQ264" s="1804"/>
      <c r="HR264" s="1804"/>
      <c r="HS264" s="1804"/>
      <c r="HT264" s="1804"/>
      <c r="HU264" s="1804"/>
      <c r="HV264" s="1804"/>
      <c r="HW264" s="1804"/>
      <c r="HX264" s="1804"/>
      <c r="HY264" s="1804"/>
      <c r="HZ264" s="1804"/>
      <c r="IA264" s="1804"/>
      <c r="IB264" s="1804"/>
      <c r="IC264" s="1804"/>
      <c r="ID264" s="1804"/>
      <c r="IE264" s="1804"/>
      <c r="IF264" s="1804"/>
      <c r="IG264" s="1804"/>
      <c r="IH264" s="1804"/>
      <c r="II264" s="1804"/>
      <c r="IJ264" s="1804"/>
      <c r="IK264" s="1804"/>
      <c r="IL264" s="1804"/>
      <c r="IM264" s="1804"/>
      <c r="IN264" s="1804"/>
      <c r="IO264" s="1804"/>
      <c r="IP264" s="1804"/>
      <c r="IQ264" s="1804"/>
      <c r="IR264" s="1804"/>
      <c r="IS264" s="1804"/>
      <c r="IT264" s="1804"/>
      <c r="IU264" s="1804"/>
      <c r="IV264" s="1804"/>
      <c r="IW264" s="1804"/>
    </row>
    <row r="265" spans="3:257" s="888" customFormat="1" x14ac:dyDescent="0.45">
      <c r="C265" s="2375"/>
      <c r="D265" s="2378"/>
      <c r="E265" s="2378"/>
      <c r="F265" s="86" t="s">
        <v>676</v>
      </c>
      <c r="G265" s="86" t="s">
        <v>677</v>
      </c>
      <c r="H265" s="2359" t="s">
        <v>678</v>
      </c>
      <c r="I265" s="2360"/>
      <c r="J265" s="2360"/>
      <c r="K265" s="2361"/>
      <c r="L265" s="2357" t="s">
        <v>679</v>
      </c>
      <c r="M265" s="2358"/>
      <c r="N265" s="106" t="s">
        <v>394</v>
      </c>
      <c r="O265" s="86" t="s">
        <v>676</v>
      </c>
      <c r="P265" s="86" t="s">
        <v>677</v>
      </c>
      <c r="Q265" s="2359" t="s">
        <v>678</v>
      </c>
      <c r="R265" s="2360"/>
      <c r="S265" s="2360"/>
      <c r="T265" s="2361"/>
      <c r="U265" s="2357" t="s">
        <v>679</v>
      </c>
      <c r="V265" s="2358"/>
      <c r="W265" s="107" t="s">
        <v>394</v>
      </c>
      <c r="X265" s="86" t="s">
        <v>676</v>
      </c>
      <c r="Y265" s="86" t="s">
        <v>677</v>
      </c>
      <c r="Z265" s="86" t="s">
        <v>676</v>
      </c>
      <c r="AA265" s="86" t="s">
        <v>677</v>
      </c>
      <c r="AB265" s="86" t="s">
        <v>676</v>
      </c>
      <c r="AC265" s="86" t="s">
        <v>677</v>
      </c>
      <c r="AD265" s="86" t="s">
        <v>676</v>
      </c>
      <c r="AE265" s="86" t="s">
        <v>677</v>
      </c>
      <c r="AF265" s="86" t="s">
        <v>676</v>
      </c>
      <c r="AG265" s="86" t="s">
        <v>677</v>
      </c>
      <c r="AH265" s="86" t="s">
        <v>676</v>
      </c>
      <c r="AI265" s="86" t="s">
        <v>677</v>
      </c>
      <c r="AJ265" s="108" t="s">
        <v>676</v>
      </c>
      <c r="AK265" s="108" t="s">
        <v>701</v>
      </c>
      <c r="AL265" s="108" t="s">
        <v>702</v>
      </c>
      <c r="AM265" s="108" t="s">
        <v>703</v>
      </c>
      <c r="AN265" s="109" t="s">
        <v>704</v>
      </c>
      <c r="AO265" s="1804"/>
      <c r="AP265" s="1804"/>
      <c r="AQ265" s="1804"/>
      <c r="AR265" s="1804"/>
      <c r="AS265" s="1804"/>
      <c r="AT265" s="1839"/>
      <c r="AU265" s="1839"/>
      <c r="AV265" s="1839"/>
      <c r="AW265" s="1839"/>
      <c r="AX265" s="1839"/>
      <c r="AY265" s="1839"/>
      <c r="AZ265" s="1839"/>
      <c r="BA265" s="1839"/>
      <c r="BB265" s="1839"/>
      <c r="BC265" s="1839"/>
      <c r="BD265" s="1839"/>
      <c r="BE265" s="1839"/>
      <c r="BF265" s="1839"/>
      <c r="BG265" s="1839"/>
      <c r="BH265" s="1839"/>
      <c r="BI265" s="1839"/>
      <c r="BJ265" s="1839"/>
      <c r="BK265" s="1839"/>
      <c r="BL265" s="1839"/>
      <c r="BM265" s="1839"/>
      <c r="BN265" s="1839"/>
      <c r="BO265" s="1839"/>
      <c r="BP265" s="1839"/>
      <c r="BQ265" s="1839"/>
      <c r="BR265" s="1839"/>
      <c r="BS265" s="1839"/>
      <c r="BT265" s="1839"/>
      <c r="BU265" s="1839"/>
      <c r="BV265" s="1839"/>
      <c r="BW265" s="1839"/>
      <c r="BX265" s="1839"/>
      <c r="BY265" s="1839"/>
      <c r="BZ265" s="1839"/>
      <c r="CA265" s="1839"/>
      <c r="CB265" s="1839"/>
      <c r="CC265" s="1839"/>
      <c r="CD265" s="1839"/>
      <c r="CE265" s="1839"/>
      <c r="CF265" s="1839"/>
      <c r="CG265" s="1839"/>
      <c r="CH265" s="1839"/>
      <c r="CI265" s="1839"/>
      <c r="CJ265" s="1839"/>
      <c r="CK265" s="1839"/>
      <c r="CL265" s="1839"/>
      <c r="CM265" s="1839"/>
      <c r="CN265" s="1839"/>
      <c r="CO265" s="1839"/>
      <c r="CP265" s="1839"/>
      <c r="CQ265" s="1839"/>
      <c r="CR265" s="1839"/>
      <c r="CS265" s="1839"/>
      <c r="CT265" s="1839"/>
      <c r="CU265" s="1839"/>
      <c r="CV265" s="1839"/>
      <c r="CW265" s="1839"/>
      <c r="CX265" s="1839"/>
      <c r="CY265" s="1839"/>
      <c r="CZ265" s="1839"/>
      <c r="DA265" s="1839"/>
      <c r="DB265" s="1839"/>
      <c r="DC265" s="1839"/>
      <c r="DD265" s="1839"/>
      <c r="DE265" s="1839"/>
      <c r="DF265" s="1839"/>
      <c r="DG265" s="1839"/>
      <c r="DH265" s="1839"/>
      <c r="DI265" s="1839"/>
      <c r="DJ265" s="1839"/>
      <c r="DK265" s="1839"/>
      <c r="DL265" s="1839"/>
      <c r="DM265" s="1839"/>
      <c r="DN265" s="1839"/>
      <c r="DO265" s="1839"/>
      <c r="DP265" s="1839"/>
      <c r="DQ265" s="1839"/>
      <c r="DR265" s="1839"/>
      <c r="DS265" s="1839"/>
      <c r="DT265" s="1839"/>
      <c r="DU265" s="1839"/>
      <c r="DV265" s="1839"/>
      <c r="DW265" s="1839"/>
      <c r="DX265" s="1839"/>
      <c r="DY265" s="1839"/>
      <c r="DZ265" s="1839"/>
      <c r="EA265" s="1839"/>
      <c r="EB265" s="1839"/>
      <c r="EC265" s="1839"/>
      <c r="ED265" s="1839"/>
      <c r="EE265" s="1839"/>
      <c r="EF265" s="1839"/>
      <c r="EG265" s="1839"/>
      <c r="EH265" s="1839"/>
      <c r="EI265" s="1839"/>
      <c r="EJ265" s="1839"/>
      <c r="EK265" s="1839"/>
      <c r="EL265" s="1839"/>
      <c r="EM265" s="1839"/>
      <c r="EN265" s="1839"/>
      <c r="EO265" s="1839"/>
      <c r="EP265" s="1839"/>
      <c r="EQ265" s="1839"/>
      <c r="ER265" s="1839"/>
      <c r="ES265" s="1839"/>
      <c r="ET265" s="1839"/>
      <c r="EU265" s="1839"/>
      <c r="EV265" s="1839"/>
      <c r="EW265" s="1839"/>
      <c r="EX265" s="1839"/>
      <c r="EY265" s="1839"/>
      <c r="EZ265" s="1839"/>
      <c r="FA265" s="1839"/>
      <c r="FB265" s="1839"/>
      <c r="FC265" s="1839"/>
      <c r="FD265" s="1839"/>
      <c r="FE265" s="1839"/>
      <c r="FF265" s="1839"/>
      <c r="FG265" s="1839"/>
      <c r="FH265" s="1839"/>
      <c r="FI265" s="1839"/>
      <c r="FJ265" s="1839"/>
      <c r="FK265" s="1839"/>
      <c r="FL265" s="1839"/>
      <c r="FM265" s="1839"/>
      <c r="FN265" s="1839"/>
      <c r="FO265" s="1839"/>
      <c r="FP265" s="1839"/>
      <c r="FQ265" s="1839"/>
      <c r="FR265" s="1839"/>
      <c r="FS265" s="1839"/>
      <c r="FT265" s="1839"/>
      <c r="FU265" s="1839"/>
      <c r="FV265" s="1839"/>
      <c r="FW265" s="1839"/>
      <c r="FX265" s="1839"/>
      <c r="FY265" s="1839"/>
      <c r="FZ265" s="1839"/>
      <c r="GA265" s="1839"/>
      <c r="GB265" s="1839"/>
      <c r="GC265" s="1839"/>
      <c r="GD265" s="1839"/>
      <c r="GE265" s="1839"/>
      <c r="GF265" s="1839"/>
      <c r="GG265" s="1839"/>
      <c r="GH265" s="1839"/>
      <c r="GI265" s="1839"/>
      <c r="GJ265" s="1839"/>
      <c r="GK265" s="1839"/>
      <c r="GL265" s="1839"/>
      <c r="GM265" s="1839"/>
      <c r="GN265" s="1839"/>
      <c r="GO265" s="1839"/>
      <c r="GP265" s="1839"/>
      <c r="GQ265" s="1839"/>
      <c r="GR265" s="1839"/>
      <c r="GS265" s="1839"/>
      <c r="GT265" s="1839"/>
      <c r="GU265" s="1839"/>
      <c r="GV265" s="1839"/>
      <c r="GW265" s="1839"/>
      <c r="GX265" s="1839"/>
      <c r="GY265" s="1839"/>
      <c r="GZ265" s="1839"/>
      <c r="HA265" s="1839"/>
      <c r="HB265" s="1839"/>
      <c r="HC265" s="1839"/>
      <c r="HD265" s="1839"/>
      <c r="HE265" s="1839"/>
      <c r="HF265" s="1839"/>
      <c r="HG265" s="1839"/>
      <c r="HH265" s="1839"/>
      <c r="HI265" s="1839"/>
      <c r="HJ265" s="1839"/>
      <c r="HK265" s="1839"/>
      <c r="HL265" s="1839"/>
      <c r="HM265" s="1839"/>
      <c r="HN265" s="1839"/>
      <c r="HO265" s="1839"/>
      <c r="HP265" s="1839"/>
      <c r="HQ265" s="1839"/>
      <c r="HR265" s="1839"/>
      <c r="HS265" s="1839"/>
      <c r="HT265" s="1839"/>
      <c r="HU265" s="1839"/>
      <c r="HV265" s="1839"/>
      <c r="HW265" s="1839"/>
      <c r="HX265" s="1839"/>
      <c r="HY265" s="1839"/>
      <c r="HZ265" s="1839"/>
      <c r="IA265" s="1839"/>
      <c r="IB265" s="1839"/>
      <c r="IC265" s="1839"/>
      <c r="ID265" s="1839"/>
      <c r="IE265" s="1839"/>
      <c r="IF265" s="1839"/>
      <c r="IG265" s="1839"/>
      <c r="IH265" s="1839"/>
      <c r="II265" s="1839"/>
      <c r="IJ265" s="1839"/>
      <c r="IK265" s="1839"/>
      <c r="IL265" s="1839"/>
      <c r="IM265" s="1839"/>
      <c r="IN265" s="1839"/>
      <c r="IO265" s="1839"/>
      <c r="IP265" s="1839"/>
      <c r="IQ265" s="1839"/>
      <c r="IR265" s="1839"/>
      <c r="IS265" s="1839"/>
      <c r="IT265" s="1839"/>
      <c r="IU265" s="1839"/>
      <c r="IV265" s="1839"/>
      <c r="IW265" s="1839"/>
    </row>
    <row r="266" spans="3:257" s="888" customFormat="1" ht="28.5" x14ac:dyDescent="0.45">
      <c r="C266" s="2376"/>
      <c r="D266" s="2379"/>
      <c r="E266" s="2379"/>
      <c r="F266" s="90" t="s">
        <v>705</v>
      </c>
      <c r="G266" s="90" t="s">
        <v>705</v>
      </c>
      <c r="H266" s="89" t="s">
        <v>706</v>
      </c>
      <c r="I266" s="48" t="s">
        <v>707</v>
      </c>
      <c r="J266" s="48" t="s">
        <v>708</v>
      </c>
      <c r="K266" s="48" t="s">
        <v>709</v>
      </c>
      <c r="L266" s="89" t="s">
        <v>706</v>
      </c>
      <c r="M266" s="48" t="s">
        <v>709</v>
      </c>
      <c r="N266" s="90" t="s">
        <v>621</v>
      </c>
      <c r="O266" s="90" t="s">
        <v>705</v>
      </c>
      <c r="P266" s="90" t="s">
        <v>705</v>
      </c>
      <c r="Q266" s="89" t="s">
        <v>706</v>
      </c>
      <c r="R266" s="48" t="s">
        <v>707</v>
      </c>
      <c r="S266" s="48" t="s">
        <v>708</v>
      </c>
      <c r="T266" s="48" t="s">
        <v>709</v>
      </c>
      <c r="U266" s="89" t="s">
        <v>706</v>
      </c>
      <c r="V266" s="48" t="s">
        <v>709</v>
      </c>
      <c r="W266" s="90" t="s">
        <v>621</v>
      </c>
      <c r="X266" s="90" t="s">
        <v>705</v>
      </c>
      <c r="Y266" s="90" t="s">
        <v>705</v>
      </c>
      <c r="Z266" s="90" t="s">
        <v>705</v>
      </c>
      <c r="AA266" s="90" t="s">
        <v>705</v>
      </c>
      <c r="AB266" s="90" t="s">
        <v>705</v>
      </c>
      <c r="AC266" s="90" t="s">
        <v>705</v>
      </c>
      <c r="AD266" s="90" t="s">
        <v>705</v>
      </c>
      <c r="AE266" s="90" t="s">
        <v>705</v>
      </c>
      <c r="AF266" s="90" t="s">
        <v>705</v>
      </c>
      <c r="AG266" s="90" t="s">
        <v>705</v>
      </c>
      <c r="AH266" s="90" t="s">
        <v>705</v>
      </c>
      <c r="AI266" s="90" t="s">
        <v>705</v>
      </c>
      <c r="AJ266" s="90" t="s">
        <v>705</v>
      </c>
      <c r="AK266" s="90" t="s">
        <v>705</v>
      </c>
      <c r="AL266" s="90" t="s">
        <v>705</v>
      </c>
      <c r="AM266" s="90" t="s">
        <v>705</v>
      </c>
      <c r="AN266" s="90" t="s">
        <v>705</v>
      </c>
      <c r="AO266" s="1839"/>
      <c r="AP266" s="1839"/>
      <c r="AQ266" s="1839"/>
      <c r="AR266" s="1839"/>
      <c r="AS266" s="1839"/>
      <c r="AT266" s="1804"/>
      <c r="AU266" s="1804"/>
      <c r="AV266" s="1804"/>
      <c r="AW266" s="1804"/>
      <c r="AX266" s="1804"/>
      <c r="AY266" s="1804"/>
      <c r="AZ266" s="1804"/>
      <c r="BA266" s="1804"/>
      <c r="BB266" s="1804"/>
      <c r="BC266" s="1804"/>
      <c r="BD266" s="1804"/>
      <c r="BE266" s="1804"/>
      <c r="BF266" s="1804"/>
      <c r="BG266" s="1804"/>
      <c r="BH266" s="1804"/>
      <c r="BI266" s="1804"/>
      <c r="BJ266" s="1804"/>
      <c r="BK266" s="1804"/>
      <c r="BL266" s="1804"/>
      <c r="BM266" s="1804"/>
      <c r="BN266" s="1804"/>
      <c r="BO266" s="1804"/>
      <c r="BP266" s="1804"/>
      <c r="BQ266" s="1804"/>
      <c r="BR266" s="1804"/>
      <c r="BS266" s="1804"/>
      <c r="BT266" s="1804"/>
      <c r="BU266" s="1804"/>
      <c r="BV266" s="1804"/>
      <c r="BW266" s="1804"/>
      <c r="BX266" s="1804"/>
      <c r="BY266" s="1804"/>
      <c r="BZ266" s="1804"/>
      <c r="CA266" s="1804"/>
      <c r="CB266" s="1804"/>
      <c r="CC266" s="1804"/>
      <c r="CD266" s="1804"/>
      <c r="CE266" s="1804"/>
      <c r="CF266" s="1804"/>
      <c r="CG266" s="1804"/>
      <c r="CH266" s="1804"/>
      <c r="CI266" s="1804"/>
      <c r="CJ266" s="1804"/>
      <c r="CK266" s="1804"/>
      <c r="CL266" s="1804"/>
      <c r="CM266" s="1804"/>
      <c r="CN266" s="1804"/>
      <c r="CO266" s="1804"/>
      <c r="CP266" s="1804"/>
      <c r="CQ266" s="1804"/>
      <c r="CR266" s="1804"/>
      <c r="CS266" s="1804"/>
      <c r="CT266" s="1804"/>
      <c r="CU266" s="1804"/>
      <c r="CV266" s="1804"/>
      <c r="CW266" s="1804"/>
      <c r="CX266" s="1804"/>
      <c r="CY266" s="1804"/>
      <c r="CZ266" s="1804"/>
      <c r="DA266" s="1804"/>
      <c r="DB266" s="1804"/>
      <c r="DC266" s="1804"/>
      <c r="DD266" s="1804"/>
      <c r="DE266" s="1804"/>
      <c r="DF266" s="1804"/>
      <c r="DG266" s="1804"/>
      <c r="DH266" s="1804"/>
      <c r="DI266" s="1804"/>
      <c r="DJ266" s="1804"/>
      <c r="DK266" s="1804"/>
      <c r="DL266" s="1804"/>
      <c r="DM266" s="1804"/>
      <c r="DN266" s="1804"/>
      <c r="DO266" s="1804"/>
      <c r="DP266" s="1804"/>
      <c r="DQ266" s="1804"/>
      <c r="DR266" s="1804"/>
      <c r="DS266" s="1804"/>
      <c r="DT266" s="1804"/>
      <c r="DU266" s="1804"/>
      <c r="DV266" s="1804"/>
      <c r="DW266" s="1804"/>
      <c r="DX266" s="1804"/>
      <c r="DY266" s="1804"/>
      <c r="DZ266" s="1804"/>
      <c r="EA266" s="1804"/>
      <c r="EB266" s="1804"/>
      <c r="EC266" s="1804"/>
      <c r="ED266" s="1804"/>
      <c r="EE266" s="1804"/>
      <c r="EF266" s="1804"/>
      <c r="EG266" s="1804"/>
      <c r="EH266" s="1804"/>
      <c r="EI266" s="1804"/>
      <c r="EJ266" s="1804"/>
      <c r="EK266" s="1804"/>
      <c r="EL266" s="1804"/>
      <c r="EM266" s="1804"/>
      <c r="EN266" s="1804"/>
      <c r="EO266" s="1804"/>
      <c r="EP266" s="1804"/>
      <c r="EQ266" s="1804"/>
      <c r="ER266" s="1804"/>
      <c r="ES266" s="1804"/>
      <c r="ET266" s="1804"/>
      <c r="EU266" s="1804"/>
      <c r="EV266" s="1804"/>
      <c r="EW266" s="1804"/>
      <c r="EX266" s="1804"/>
      <c r="EY266" s="1804"/>
      <c r="EZ266" s="1804"/>
      <c r="FA266" s="1804"/>
      <c r="FB266" s="1804"/>
      <c r="FC266" s="1804"/>
      <c r="FD266" s="1804"/>
      <c r="FE266" s="1804"/>
      <c r="FF266" s="1804"/>
      <c r="FG266" s="1804"/>
      <c r="FH266" s="1804"/>
      <c r="FI266" s="1804"/>
      <c r="FJ266" s="1804"/>
      <c r="FK266" s="1804"/>
      <c r="FL266" s="1804"/>
      <c r="FM266" s="1804"/>
      <c r="FN266" s="1804"/>
      <c r="FO266" s="1804"/>
      <c r="FP266" s="1804"/>
      <c r="FQ266" s="1804"/>
      <c r="FR266" s="1804"/>
      <c r="FS266" s="1804"/>
      <c r="FT266" s="1804"/>
      <c r="FU266" s="1804"/>
      <c r="FV266" s="1804"/>
      <c r="FW266" s="1804"/>
      <c r="FX266" s="1804"/>
      <c r="FY266" s="1804"/>
      <c r="FZ266" s="1804"/>
      <c r="GA266" s="1804"/>
      <c r="GB266" s="1804"/>
      <c r="GC266" s="1804"/>
      <c r="GD266" s="1804"/>
      <c r="GE266" s="1804"/>
      <c r="GF266" s="1804"/>
      <c r="GG266" s="1804"/>
      <c r="GH266" s="1804"/>
      <c r="GI266" s="1804"/>
      <c r="GJ266" s="1804"/>
      <c r="GK266" s="1804"/>
      <c r="GL266" s="1804"/>
      <c r="GM266" s="1804"/>
      <c r="GN266" s="1804"/>
      <c r="GO266" s="1804"/>
      <c r="GP266" s="1804"/>
      <c r="GQ266" s="1804"/>
      <c r="GR266" s="1804"/>
      <c r="GS266" s="1804"/>
      <c r="GT266" s="1804"/>
      <c r="GU266" s="1804"/>
      <c r="GV266" s="1804"/>
      <c r="GW266" s="1804"/>
      <c r="GX266" s="1804"/>
      <c r="GY266" s="1804"/>
      <c r="GZ266" s="1804"/>
      <c r="HA266" s="1804"/>
      <c r="HB266" s="1804"/>
      <c r="HC266" s="1804"/>
      <c r="HD266" s="1804"/>
      <c r="HE266" s="1804"/>
      <c r="HF266" s="1804"/>
      <c r="HG266" s="1804"/>
      <c r="HH266" s="1804"/>
      <c r="HI266" s="1804"/>
      <c r="HJ266" s="1804"/>
      <c r="HK266" s="1804"/>
      <c r="HL266" s="1804"/>
      <c r="HM266" s="1804"/>
      <c r="HN266" s="1804"/>
      <c r="HO266" s="1804"/>
      <c r="HP266" s="1804"/>
      <c r="HQ266" s="1804"/>
      <c r="HR266" s="1804"/>
      <c r="HS266" s="1804"/>
      <c r="HT266" s="1804"/>
      <c r="HU266" s="1804"/>
      <c r="HV266" s="1804"/>
      <c r="HW266" s="1804"/>
      <c r="HX266" s="1804"/>
      <c r="HY266" s="1804"/>
      <c r="HZ266" s="1804"/>
      <c r="IA266" s="1804"/>
      <c r="IB266" s="1804"/>
      <c r="IC266" s="1804"/>
      <c r="ID266" s="1804"/>
      <c r="IE266" s="1804"/>
      <c r="IF266" s="1804"/>
      <c r="IG266" s="1804"/>
      <c r="IH266" s="1804"/>
      <c r="II266" s="1804"/>
      <c r="IJ266" s="1804"/>
      <c r="IK266" s="1804"/>
      <c r="IL266" s="1804"/>
      <c r="IM266" s="1804"/>
      <c r="IN266" s="1804"/>
      <c r="IO266" s="1804"/>
      <c r="IP266" s="1804"/>
      <c r="IQ266" s="1804"/>
      <c r="IR266" s="1804"/>
      <c r="IS266" s="1804"/>
      <c r="IT266" s="1804"/>
      <c r="IU266" s="1804"/>
      <c r="IV266" s="1804"/>
      <c r="IW266" s="1804"/>
    </row>
    <row r="267" spans="3:257" s="888" customFormat="1" x14ac:dyDescent="0.45">
      <c r="C267" s="67" t="s">
        <v>528</v>
      </c>
      <c r="D267" s="68" t="s">
        <v>630</v>
      </c>
      <c r="E267" s="69"/>
      <c r="F267" s="110">
        <f t="shared" ref="F267:G286" si="18">F223*EF_GHG_AFT*ConFact_0.001</f>
        <v>0</v>
      </c>
      <c r="G267" s="110">
        <f t="shared" si="18"/>
        <v>0</v>
      </c>
      <c r="H267" s="110">
        <f t="shared" ref="H267:I286" si="19">H223*EF_GHG_DieselAvBio_Transport*ConFact_0.001</f>
        <v>0</v>
      </c>
      <c r="I267" s="110">
        <f t="shared" si="19"/>
        <v>0</v>
      </c>
      <c r="J267" s="110">
        <f t="shared" ref="J267:J299" si="20">J223*EF_GHG_LPG_Transport*ConFact_0.001</f>
        <v>0</v>
      </c>
      <c r="K267" s="110">
        <f t="shared" ref="K267:K299" si="21">K223*EF_GHG_PetrolAvBio_Transport*ConFact_0.001</f>
        <v>0</v>
      </c>
      <c r="L267" s="111">
        <f t="shared" ref="L267:L299" si="22">L223*EF_GHG_DieselAvBio_Trans_kg_l*ConFact_0.001</f>
        <v>0</v>
      </c>
      <c r="M267" s="110">
        <f t="shared" ref="M267:M299" si="23">M223*EF_GHG_PetrolAvBio_Trans_kg_l*ConFact_0.001</f>
        <v>0</v>
      </c>
      <c r="N267" s="93"/>
      <c r="O267" s="110">
        <f t="shared" ref="O267:O299" si="24">R223*EF_GHG_AFT*ConFact_0.001</f>
        <v>0</v>
      </c>
      <c r="P267" s="110">
        <f t="shared" ref="P267:P299" si="25">S223*EF_GHG_AFT*ConFact_0.001</f>
        <v>0</v>
      </c>
      <c r="Q267" s="110">
        <f t="shared" ref="Q267:Q299" si="26">T223*EF_GHG_DieselAvBio_Transport*ConFact_0.001</f>
        <v>0</v>
      </c>
      <c r="R267" s="110">
        <f t="shared" ref="R267:R299" si="27">U223*EF_GHG_DieselAvBio_Transport*ConFact_0.001</f>
        <v>0</v>
      </c>
      <c r="S267" s="110">
        <f t="shared" ref="S267:S299" si="28">V223*EF_GHG_LPG_Transport*ConFact_0.001</f>
        <v>0</v>
      </c>
      <c r="T267" s="110">
        <f t="shared" ref="T267:T299" si="29">W223*EF_GHG_PetrolAvBio_Transport*ConFact_0.001</f>
        <v>0</v>
      </c>
      <c r="U267" s="111">
        <f t="shared" ref="U267:U299" si="30">X223*EF_GHG_DieselAvBio_Trans_kg_l*ConFact_0.001</f>
        <v>0</v>
      </c>
      <c r="V267" s="110">
        <f t="shared" ref="V267:V299" si="31">Y223*EF_GHG_PetrolAvBio_Trans_kg_l*ConFact_0.001</f>
        <v>0</v>
      </c>
      <c r="W267" s="93"/>
      <c r="X267" s="110">
        <f t="shared" ref="X267:X299" si="32">AC223*EF_GHG_AFT*ConFact_0.001</f>
        <v>0</v>
      </c>
      <c r="Y267" s="110">
        <f t="shared" ref="Y267:Y299" si="33">AD223*EF_GHG_AFT*ConFact_0.001</f>
        <v>0</v>
      </c>
      <c r="Z267" s="110">
        <f t="shared" ref="Z267:Z299" si="34">AE223*EF_GHG_AFT*ConFact_0.001</f>
        <v>0</v>
      </c>
      <c r="AA267" s="110">
        <f t="shared" ref="AA267:AA299" si="35">AF223*EF_GHG_AFT*ConFact_0.001</f>
        <v>0</v>
      </c>
      <c r="AB267" s="110">
        <f t="shared" ref="AB267:AB299" si="36">AG223*EF_GHG_AFT*ConFact_0.001</f>
        <v>0</v>
      </c>
      <c r="AC267" s="110">
        <f t="shared" ref="AC267:AC299" si="37">AH223*EF_GHG_AFT*ConFact_0.001</f>
        <v>0</v>
      </c>
      <c r="AD267" s="110">
        <f t="shared" ref="AD267:AD299" si="38">AI223*EF_GHG_AFT*ConFact_0.001</f>
        <v>0</v>
      </c>
      <c r="AE267" s="110">
        <f t="shared" ref="AE267:AE299" si="39">AJ223*EF_GHG_AFT*ConFact_0.001</f>
        <v>0</v>
      </c>
      <c r="AF267" s="110">
        <f t="shared" ref="AF267:AF299" si="40">AK223*EF_GHG_AFT*ConFact_0.001</f>
        <v>0</v>
      </c>
      <c r="AG267" s="110">
        <f t="shared" ref="AG267:AG299" si="41">AL223*EF_GHG_AFT*ConFact_0.001</f>
        <v>0</v>
      </c>
      <c r="AH267" s="110">
        <f t="shared" ref="AH267:AH299" si="42">AM223*EF_GHG_AFT*ConFact_0.001</f>
        <v>0</v>
      </c>
      <c r="AI267" s="110">
        <f t="shared" ref="AI267:AI299" si="43">AN223*EF_GHG_AFT*ConFact_0.001</f>
        <v>0</v>
      </c>
      <c r="AJ267" s="110">
        <f t="shared" ref="AJ267:AJ299" si="44">F267+O267+X267+Z267+AB267+AD267+AF267+AH267</f>
        <v>0</v>
      </c>
      <c r="AK267" s="110">
        <f t="shared" ref="AK267:AK299" si="45">G267+P267+Y267+AA267+AC267+AE267+AG267+AI267</f>
        <v>0</v>
      </c>
      <c r="AL267" s="110">
        <f t="shared" ref="AL267:AL299" si="46">H267+I267+J267+K267+Q267+R267+S267+T267</f>
        <v>0</v>
      </c>
      <c r="AM267" s="110">
        <f t="shared" ref="AM267:AM299" si="47">L267+M267+U267+V267</f>
        <v>0</v>
      </c>
      <c r="AN267" s="111">
        <f>SUM(AJ267:AM267)</f>
        <v>0</v>
      </c>
      <c r="AO267" s="1804"/>
      <c r="AP267" s="1804"/>
      <c r="AQ267" s="1804"/>
      <c r="AR267" s="1804"/>
      <c r="AS267" s="1804"/>
      <c r="AT267" s="1804"/>
      <c r="AU267" s="1804"/>
      <c r="AV267" s="1804"/>
      <c r="AW267" s="1804"/>
      <c r="AX267" s="1804"/>
      <c r="AY267" s="1804"/>
      <c r="AZ267" s="1804"/>
      <c r="BA267" s="1804"/>
      <c r="BB267" s="1804"/>
      <c r="BC267" s="1804"/>
      <c r="BD267" s="1804"/>
      <c r="BE267" s="1804"/>
      <c r="BF267" s="1804"/>
      <c r="BG267" s="1804"/>
      <c r="BH267" s="1804"/>
      <c r="BI267" s="1804"/>
      <c r="BJ267" s="1804"/>
      <c r="BK267" s="1804"/>
      <c r="BL267" s="1804"/>
      <c r="BM267" s="1804"/>
      <c r="BN267" s="1804"/>
      <c r="BO267" s="1804"/>
      <c r="BP267" s="1804"/>
      <c r="BQ267" s="1804"/>
      <c r="BR267" s="1804"/>
      <c r="BS267" s="1804"/>
      <c r="BT267" s="1804"/>
      <c r="BU267" s="1804"/>
      <c r="BV267" s="1804"/>
      <c r="BW267" s="1804"/>
      <c r="BX267" s="1804"/>
      <c r="BY267" s="1804"/>
      <c r="BZ267" s="1804"/>
      <c r="CA267" s="1804"/>
      <c r="CB267" s="1804"/>
      <c r="CC267" s="1804"/>
      <c r="CD267" s="1804"/>
      <c r="CE267" s="1804"/>
      <c r="CF267" s="1804"/>
      <c r="CG267" s="1804"/>
      <c r="CH267" s="1804"/>
      <c r="CI267" s="1804"/>
      <c r="CJ267" s="1804"/>
      <c r="CK267" s="1804"/>
      <c r="CL267" s="1804"/>
      <c r="CM267" s="1804"/>
      <c r="CN267" s="1804"/>
      <c r="CO267" s="1804"/>
      <c r="CP267" s="1804"/>
      <c r="CQ267" s="1804"/>
      <c r="CR267" s="1804"/>
      <c r="CS267" s="1804"/>
      <c r="CT267" s="1804"/>
      <c r="CU267" s="1804"/>
      <c r="CV267" s="1804"/>
      <c r="CW267" s="1804"/>
      <c r="CX267" s="1804"/>
      <c r="CY267" s="1804"/>
      <c r="CZ267" s="1804"/>
      <c r="DA267" s="1804"/>
      <c r="DB267" s="1804"/>
      <c r="DC267" s="1804"/>
      <c r="DD267" s="1804"/>
      <c r="DE267" s="1804"/>
      <c r="DF267" s="1804"/>
      <c r="DG267" s="1804"/>
      <c r="DH267" s="1804"/>
      <c r="DI267" s="1804"/>
      <c r="DJ267" s="1804"/>
      <c r="DK267" s="1804"/>
      <c r="DL267" s="1804"/>
      <c r="DM267" s="1804"/>
      <c r="DN267" s="1804"/>
      <c r="DO267" s="1804"/>
      <c r="DP267" s="1804"/>
      <c r="DQ267" s="1804"/>
      <c r="DR267" s="1804"/>
      <c r="DS267" s="1804"/>
      <c r="DT267" s="1804"/>
      <c r="DU267" s="1804"/>
      <c r="DV267" s="1804"/>
      <c r="DW267" s="1804"/>
      <c r="DX267" s="1804"/>
      <c r="DY267" s="1804"/>
      <c r="DZ267" s="1804"/>
      <c r="EA267" s="1804"/>
      <c r="EB267" s="1804"/>
      <c r="EC267" s="1804"/>
      <c r="ED267" s="1804"/>
      <c r="EE267" s="1804"/>
      <c r="EF267" s="1804"/>
      <c r="EG267" s="1804"/>
      <c r="EH267" s="1804"/>
      <c r="EI267" s="1804"/>
      <c r="EJ267" s="1804"/>
      <c r="EK267" s="1804"/>
      <c r="EL267" s="1804"/>
      <c r="EM267" s="1804"/>
      <c r="EN267" s="1804"/>
      <c r="EO267" s="1804"/>
      <c r="EP267" s="1804"/>
      <c r="EQ267" s="1804"/>
      <c r="ER267" s="1804"/>
      <c r="ES267" s="1804"/>
      <c r="ET267" s="1804"/>
      <c r="EU267" s="1804"/>
      <c r="EV267" s="1804"/>
      <c r="EW267" s="1804"/>
      <c r="EX267" s="1804"/>
      <c r="EY267" s="1804"/>
      <c r="EZ267" s="1804"/>
      <c r="FA267" s="1804"/>
      <c r="FB267" s="1804"/>
      <c r="FC267" s="1804"/>
      <c r="FD267" s="1804"/>
      <c r="FE267" s="1804"/>
      <c r="FF267" s="1804"/>
      <c r="FG267" s="1804"/>
      <c r="FH267" s="1804"/>
      <c r="FI267" s="1804"/>
      <c r="FJ267" s="1804"/>
      <c r="FK267" s="1804"/>
      <c r="FL267" s="1804"/>
      <c r="FM267" s="1804"/>
      <c r="FN267" s="1804"/>
      <c r="FO267" s="1804"/>
      <c r="FP267" s="1804"/>
      <c r="FQ267" s="1804"/>
      <c r="FR267" s="1804"/>
      <c r="FS267" s="1804"/>
      <c r="FT267" s="1804"/>
      <c r="FU267" s="1804"/>
      <c r="FV267" s="1804"/>
      <c r="FW267" s="1804"/>
      <c r="FX267" s="1804"/>
      <c r="FY267" s="1804"/>
      <c r="FZ267" s="1804"/>
      <c r="GA267" s="1804"/>
      <c r="GB267" s="1804"/>
      <c r="GC267" s="1804"/>
      <c r="GD267" s="1804"/>
      <c r="GE267" s="1804"/>
      <c r="GF267" s="1804"/>
      <c r="GG267" s="1804"/>
      <c r="GH267" s="1804"/>
      <c r="GI267" s="1804"/>
      <c r="GJ267" s="1804"/>
      <c r="GK267" s="1804"/>
      <c r="GL267" s="1804"/>
      <c r="GM267" s="1804"/>
      <c r="GN267" s="1804"/>
      <c r="GO267" s="1804"/>
      <c r="GP267" s="1804"/>
      <c r="GQ267" s="1804"/>
      <c r="GR267" s="1804"/>
      <c r="GS267" s="1804"/>
      <c r="GT267" s="1804"/>
      <c r="GU267" s="1804"/>
      <c r="GV267" s="1804"/>
      <c r="GW267" s="1804"/>
      <c r="GX267" s="1804"/>
      <c r="GY267" s="1804"/>
      <c r="GZ267" s="1804"/>
      <c r="HA267" s="1804"/>
      <c r="HB267" s="1804"/>
      <c r="HC267" s="1804"/>
      <c r="HD267" s="1804"/>
      <c r="HE267" s="1804"/>
      <c r="HF267" s="1804"/>
      <c r="HG267" s="1804"/>
      <c r="HH267" s="1804"/>
      <c r="HI267" s="1804"/>
      <c r="HJ267" s="1804"/>
      <c r="HK267" s="1804"/>
      <c r="HL267" s="1804"/>
      <c r="HM267" s="1804"/>
      <c r="HN267" s="1804"/>
      <c r="HO267" s="1804"/>
      <c r="HP267" s="1804"/>
      <c r="HQ267" s="1804"/>
      <c r="HR267" s="1804"/>
      <c r="HS267" s="1804"/>
      <c r="HT267" s="1804"/>
      <c r="HU267" s="1804"/>
      <c r="HV267" s="1804"/>
      <c r="HW267" s="1804"/>
      <c r="HX267" s="1804"/>
      <c r="HY267" s="1804"/>
      <c r="HZ267" s="1804"/>
      <c r="IA267" s="1804"/>
      <c r="IB267" s="1804"/>
      <c r="IC267" s="1804"/>
      <c r="ID267" s="1804"/>
      <c r="IE267" s="1804"/>
      <c r="IF267" s="1804"/>
      <c r="IG267" s="1804"/>
      <c r="IH267" s="1804"/>
      <c r="II267" s="1804"/>
      <c r="IJ267" s="1804"/>
      <c r="IK267" s="1804"/>
      <c r="IL267" s="1804"/>
      <c r="IM267" s="1804"/>
      <c r="IN267" s="1804"/>
      <c r="IO267" s="1804"/>
      <c r="IP267" s="1804"/>
      <c r="IQ267" s="1804"/>
      <c r="IR267" s="1804"/>
      <c r="IS267" s="1804"/>
      <c r="IT267" s="1804"/>
      <c r="IU267" s="1804"/>
      <c r="IV267" s="1804"/>
      <c r="IW267" s="1804"/>
    </row>
    <row r="268" spans="3:257" s="888" customFormat="1" x14ac:dyDescent="0.45">
      <c r="C268" s="67" t="s">
        <v>529</v>
      </c>
      <c r="D268" s="68" t="s">
        <v>631</v>
      </c>
      <c r="E268" s="69"/>
      <c r="F268" s="110">
        <f t="shared" si="18"/>
        <v>0</v>
      </c>
      <c r="G268" s="110">
        <f t="shared" si="18"/>
        <v>18.261403826900374</v>
      </c>
      <c r="H268" s="110">
        <f t="shared" si="19"/>
        <v>0</v>
      </c>
      <c r="I268" s="110">
        <f t="shared" si="19"/>
        <v>0</v>
      </c>
      <c r="J268" s="110">
        <f t="shared" si="20"/>
        <v>0</v>
      </c>
      <c r="K268" s="110">
        <f t="shared" si="21"/>
        <v>0</v>
      </c>
      <c r="L268" s="111">
        <f t="shared" si="22"/>
        <v>0</v>
      </c>
      <c r="M268" s="110">
        <f t="shared" si="23"/>
        <v>0</v>
      </c>
      <c r="N268" s="93"/>
      <c r="O268" s="110">
        <f t="shared" si="24"/>
        <v>0</v>
      </c>
      <c r="P268" s="110">
        <f t="shared" si="25"/>
        <v>0</v>
      </c>
      <c r="Q268" s="110">
        <f t="shared" si="26"/>
        <v>0</v>
      </c>
      <c r="R268" s="110">
        <f t="shared" si="27"/>
        <v>0</v>
      </c>
      <c r="S268" s="110">
        <f t="shared" si="28"/>
        <v>0</v>
      </c>
      <c r="T268" s="110">
        <f t="shared" si="29"/>
        <v>0</v>
      </c>
      <c r="U268" s="111">
        <f t="shared" si="30"/>
        <v>0</v>
      </c>
      <c r="V268" s="110">
        <f t="shared" si="31"/>
        <v>0</v>
      </c>
      <c r="W268" s="93"/>
      <c r="X268" s="110">
        <f t="shared" si="32"/>
        <v>0</v>
      </c>
      <c r="Y268" s="110">
        <f t="shared" si="33"/>
        <v>0</v>
      </c>
      <c r="Z268" s="110">
        <f t="shared" si="34"/>
        <v>0</v>
      </c>
      <c r="AA268" s="110">
        <f t="shared" si="35"/>
        <v>0</v>
      </c>
      <c r="AB268" s="110">
        <f t="shared" si="36"/>
        <v>0</v>
      </c>
      <c r="AC268" s="110">
        <f t="shared" si="37"/>
        <v>204.62407322430161</v>
      </c>
      <c r="AD268" s="110">
        <f t="shared" si="38"/>
        <v>0</v>
      </c>
      <c r="AE268" s="110">
        <f t="shared" si="39"/>
        <v>0</v>
      </c>
      <c r="AF268" s="110">
        <f t="shared" si="40"/>
        <v>0</v>
      </c>
      <c r="AG268" s="110">
        <f t="shared" si="41"/>
        <v>0</v>
      </c>
      <c r="AH268" s="110">
        <f t="shared" si="42"/>
        <v>0</v>
      </c>
      <c r="AI268" s="110">
        <f t="shared" si="43"/>
        <v>0</v>
      </c>
      <c r="AJ268" s="110">
        <f t="shared" si="44"/>
        <v>0</v>
      </c>
      <c r="AK268" s="110">
        <f t="shared" si="45"/>
        <v>222.88547705120197</v>
      </c>
      <c r="AL268" s="110">
        <f t="shared" si="46"/>
        <v>0</v>
      </c>
      <c r="AM268" s="110">
        <f t="shared" si="47"/>
        <v>0</v>
      </c>
      <c r="AN268" s="111">
        <f t="shared" ref="AN268:AN299" si="48">SUM(AJ268:AM268)</f>
        <v>222.88547705120197</v>
      </c>
      <c r="AO268" s="1804"/>
      <c r="AP268" s="1804"/>
      <c r="AQ268" s="1804"/>
      <c r="AR268" s="1804"/>
      <c r="AS268" s="1804"/>
      <c r="AT268" s="1804"/>
      <c r="AU268" s="1804"/>
      <c r="AV268" s="1804"/>
      <c r="AW268" s="1804"/>
      <c r="AX268" s="1804"/>
      <c r="AY268" s="1804"/>
      <c r="AZ268" s="1804"/>
      <c r="BA268" s="1804"/>
      <c r="BB268" s="1804"/>
      <c r="BC268" s="1804"/>
      <c r="BD268" s="1804"/>
      <c r="BE268" s="1804"/>
      <c r="BF268" s="1804"/>
      <c r="BG268" s="1804"/>
      <c r="BH268" s="1804"/>
      <c r="BI268" s="1804"/>
      <c r="BJ268" s="1804"/>
      <c r="BK268" s="1804"/>
      <c r="BL268" s="1804"/>
      <c r="BM268" s="1804"/>
      <c r="BN268" s="1804"/>
      <c r="BO268" s="1804"/>
      <c r="BP268" s="1804"/>
      <c r="BQ268" s="1804"/>
      <c r="BR268" s="1804"/>
      <c r="BS268" s="1804"/>
      <c r="BT268" s="1804"/>
      <c r="BU268" s="1804"/>
      <c r="BV268" s="1804"/>
      <c r="BW268" s="1804"/>
      <c r="BX268" s="1804"/>
      <c r="BY268" s="1804"/>
      <c r="BZ268" s="1804"/>
      <c r="CA268" s="1804"/>
      <c r="CB268" s="1804"/>
      <c r="CC268" s="1804"/>
      <c r="CD268" s="1804"/>
      <c r="CE268" s="1804"/>
      <c r="CF268" s="1804"/>
      <c r="CG268" s="1804"/>
      <c r="CH268" s="1804"/>
      <c r="CI268" s="1804"/>
      <c r="CJ268" s="1804"/>
      <c r="CK268" s="1804"/>
      <c r="CL268" s="1804"/>
      <c r="CM268" s="1804"/>
      <c r="CN268" s="1804"/>
      <c r="CO268" s="1804"/>
      <c r="CP268" s="1804"/>
      <c r="CQ268" s="1804"/>
      <c r="CR268" s="1804"/>
      <c r="CS268" s="1804"/>
      <c r="CT268" s="1804"/>
      <c r="CU268" s="1804"/>
      <c r="CV268" s="1804"/>
      <c r="CW268" s="1804"/>
      <c r="CX268" s="1804"/>
      <c r="CY268" s="1804"/>
      <c r="CZ268" s="1804"/>
      <c r="DA268" s="1804"/>
      <c r="DB268" s="1804"/>
      <c r="DC268" s="1804"/>
      <c r="DD268" s="1804"/>
      <c r="DE268" s="1804"/>
      <c r="DF268" s="1804"/>
      <c r="DG268" s="1804"/>
      <c r="DH268" s="1804"/>
      <c r="DI268" s="1804"/>
      <c r="DJ268" s="1804"/>
      <c r="DK268" s="1804"/>
      <c r="DL268" s="1804"/>
      <c r="DM268" s="1804"/>
      <c r="DN268" s="1804"/>
      <c r="DO268" s="1804"/>
      <c r="DP268" s="1804"/>
      <c r="DQ268" s="1804"/>
      <c r="DR268" s="1804"/>
      <c r="DS268" s="1804"/>
      <c r="DT268" s="1804"/>
      <c r="DU268" s="1804"/>
      <c r="DV268" s="1804"/>
      <c r="DW268" s="1804"/>
      <c r="DX268" s="1804"/>
      <c r="DY268" s="1804"/>
      <c r="DZ268" s="1804"/>
      <c r="EA268" s="1804"/>
      <c r="EB268" s="1804"/>
      <c r="EC268" s="1804"/>
      <c r="ED268" s="1804"/>
      <c r="EE268" s="1804"/>
      <c r="EF268" s="1804"/>
      <c r="EG268" s="1804"/>
      <c r="EH268" s="1804"/>
      <c r="EI268" s="1804"/>
      <c r="EJ268" s="1804"/>
      <c r="EK268" s="1804"/>
      <c r="EL268" s="1804"/>
      <c r="EM268" s="1804"/>
      <c r="EN268" s="1804"/>
      <c r="EO268" s="1804"/>
      <c r="EP268" s="1804"/>
      <c r="EQ268" s="1804"/>
      <c r="ER268" s="1804"/>
      <c r="ES268" s="1804"/>
      <c r="ET268" s="1804"/>
      <c r="EU268" s="1804"/>
      <c r="EV268" s="1804"/>
      <c r="EW268" s="1804"/>
      <c r="EX268" s="1804"/>
      <c r="EY268" s="1804"/>
      <c r="EZ268" s="1804"/>
      <c r="FA268" s="1804"/>
      <c r="FB268" s="1804"/>
      <c r="FC268" s="1804"/>
      <c r="FD268" s="1804"/>
      <c r="FE268" s="1804"/>
      <c r="FF268" s="1804"/>
      <c r="FG268" s="1804"/>
      <c r="FH268" s="1804"/>
      <c r="FI268" s="1804"/>
      <c r="FJ268" s="1804"/>
      <c r="FK268" s="1804"/>
      <c r="FL268" s="1804"/>
      <c r="FM268" s="1804"/>
      <c r="FN268" s="1804"/>
      <c r="FO268" s="1804"/>
      <c r="FP268" s="1804"/>
      <c r="FQ268" s="1804"/>
      <c r="FR268" s="1804"/>
      <c r="FS268" s="1804"/>
      <c r="FT268" s="1804"/>
      <c r="FU268" s="1804"/>
      <c r="FV268" s="1804"/>
      <c r="FW268" s="1804"/>
      <c r="FX268" s="1804"/>
      <c r="FY268" s="1804"/>
      <c r="FZ268" s="1804"/>
      <c r="GA268" s="1804"/>
      <c r="GB268" s="1804"/>
      <c r="GC268" s="1804"/>
      <c r="GD268" s="1804"/>
      <c r="GE268" s="1804"/>
      <c r="GF268" s="1804"/>
      <c r="GG268" s="1804"/>
      <c r="GH268" s="1804"/>
      <c r="GI268" s="1804"/>
      <c r="GJ268" s="1804"/>
      <c r="GK268" s="1804"/>
      <c r="GL268" s="1804"/>
      <c r="GM268" s="1804"/>
      <c r="GN268" s="1804"/>
      <c r="GO268" s="1804"/>
      <c r="GP268" s="1804"/>
      <c r="GQ268" s="1804"/>
      <c r="GR268" s="1804"/>
      <c r="GS268" s="1804"/>
      <c r="GT268" s="1804"/>
      <c r="GU268" s="1804"/>
      <c r="GV268" s="1804"/>
      <c r="GW268" s="1804"/>
      <c r="GX268" s="1804"/>
      <c r="GY268" s="1804"/>
      <c r="GZ268" s="1804"/>
      <c r="HA268" s="1804"/>
      <c r="HB268" s="1804"/>
      <c r="HC268" s="1804"/>
      <c r="HD268" s="1804"/>
      <c r="HE268" s="1804"/>
      <c r="HF268" s="1804"/>
      <c r="HG268" s="1804"/>
      <c r="HH268" s="1804"/>
      <c r="HI268" s="1804"/>
      <c r="HJ268" s="1804"/>
      <c r="HK268" s="1804"/>
      <c r="HL268" s="1804"/>
      <c r="HM268" s="1804"/>
      <c r="HN268" s="1804"/>
      <c r="HO268" s="1804"/>
      <c r="HP268" s="1804"/>
      <c r="HQ268" s="1804"/>
      <c r="HR268" s="1804"/>
      <c r="HS268" s="1804"/>
      <c r="HT268" s="1804"/>
      <c r="HU268" s="1804"/>
      <c r="HV268" s="1804"/>
      <c r="HW268" s="1804"/>
      <c r="HX268" s="1804"/>
      <c r="HY268" s="1804"/>
      <c r="HZ268" s="1804"/>
      <c r="IA268" s="1804"/>
      <c r="IB268" s="1804"/>
      <c r="IC268" s="1804"/>
      <c r="ID268" s="1804"/>
      <c r="IE268" s="1804"/>
      <c r="IF268" s="1804"/>
      <c r="IG268" s="1804"/>
      <c r="IH268" s="1804"/>
      <c r="II268" s="1804"/>
      <c r="IJ268" s="1804"/>
      <c r="IK268" s="1804"/>
      <c r="IL268" s="1804"/>
      <c r="IM268" s="1804"/>
      <c r="IN268" s="1804"/>
      <c r="IO268" s="1804"/>
      <c r="IP268" s="1804"/>
      <c r="IQ268" s="1804"/>
      <c r="IR268" s="1804"/>
      <c r="IS268" s="1804"/>
      <c r="IT268" s="1804"/>
      <c r="IU268" s="1804"/>
      <c r="IV268" s="1804"/>
      <c r="IW268" s="1804"/>
    </row>
    <row r="269" spans="3:257" s="888" customFormat="1" x14ac:dyDescent="0.45">
      <c r="C269" s="67" t="s">
        <v>530</v>
      </c>
      <c r="D269" s="68" t="s">
        <v>632</v>
      </c>
      <c r="E269" s="69"/>
      <c r="F269" s="110">
        <f t="shared" si="18"/>
        <v>0</v>
      </c>
      <c r="G269" s="110">
        <f t="shared" si="18"/>
        <v>0</v>
      </c>
      <c r="H269" s="110">
        <f t="shared" si="19"/>
        <v>0</v>
      </c>
      <c r="I269" s="110">
        <f t="shared" si="19"/>
        <v>0</v>
      </c>
      <c r="J269" s="110">
        <f t="shared" si="20"/>
        <v>0</v>
      </c>
      <c r="K269" s="110">
        <f t="shared" si="21"/>
        <v>0</v>
      </c>
      <c r="L269" s="111">
        <f t="shared" si="22"/>
        <v>0</v>
      </c>
      <c r="M269" s="110">
        <f t="shared" si="23"/>
        <v>0</v>
      </c>
      <c r="N269" s="93"/>
      <c r="O269" s="110">
        <f t="shared" si="24"/>
        <v>0</v>
      </c>
      <c r="P269" s="110">
        <f t="shared" si="25"/>
        <v>8347.1496969966174</v>
      </c>
      <c r="Q269" s="110">
        <f t="shared" si="26"/>
        <v>0</v>
      </c>
      <c r="R269" s="110">
        <f t="shared" si="27"/>
        <v>0</v>
      </c>
      <c r="S269" s="110">
        <f t="shared" si="28"/>
        <v>0</v>
      </c>
      <c r="T269" s="110">
        <f t="shared" si="29"/>
        <v>0</v>
      </c>
      <c r="U269" s="111">
        <f t="shared" si="30"/>
        <v>0</v>
      </c>
      <c r="V269" s="110">
        <f t="shared" si="31"/>
        <v>0</v>
      </c>
      <c r="W269" s="93"/>
      <c r="X269" s="110">
        <f t="shared" si="32"/>
        <v>0</v>
      </c>
      <c r="Y269" s="110">
        <f t="shared" si="33"/>
        <v>0</v>
      </c>
      <c r="Z269" s="110">
        <f t="shared" si="34"/>
        <v>0</v>
      </c>
      <c r="AA269" s="110">
        <f t="shared" si="35"/>
        <v>132.74014649101088</v>
      </c>
      <c r="AB269" s="110">
        <f t="shared" si="36"/>
        <v>0</v>
      </c>
      <c r="AC269" s="110">
        <f t="shared" si="37"/>
        <v>0</v>
      </c>
      <c r="AD269" s="110">
        <f t="shared" si="38"/>
        <v>0</v>
      </c>
      <c r="AE269" s="110">
        <f t="shared" si="39"/>
        <v>0</v>
      </c>
      <c r="AF269" s="110">
        <f t="shared" si="40"/>
        <v>0</v>
      </c>
      <c r="AG269" s="110">
        <f t="shared" si="41"/>
        <v>0</v>
      </c>
      <c r="AH269" s="110">
        <f t="shared" si="42"/>
        <v>0</v>
      </c>
      <c r="AI269" s="110">
        <f t="shared" si="43"/>
        <v>0</v>
      </c>
      <c r="AJ269" s="110">
        <f t="shared" si="44"/>
        <v>0</v>
      </c>
      <c r="AK269" s="110">
        <f t="shared" si="45"/>
        <v>8479.8898434876282</v>
      </c>
      <c r="AL269" s="110">
        <f t="shared" si="46"/>
        <v>0</v>
      </c>
      <c r="AM269" s="110">
        <f t="shared" si="47"/>
        <v>0</v>
      </c>
      <c r="AN269" s="111">
        <f t="shared" si="48"/>
        <v>8479.8898434876282</v>
      </c>
      <c r="AO269" s="1804"/>
      <c r="AP269" s="1804"/>
      <c r="AQ269" s="1804"/>
      <c r="AR269" s="1804"/>
      <c r="AS269" s="1804"/>
      <c r="AT269" s="1804"/>
      <c r="AU269" s="1804"/>
      <c r="AV269" s="1804"/>
      <c r="AW269" s="1804"/>
      <c r="AX269" s="1804"/>
      <c r="AY269" s="1804"/>
      <c r="AZ269" s="1804"/>
      <c r="BA269" s="1804"/>
      <c r="BB269" s="1804"/>
      <c r="BC269" s="1804"/>
      <c r="BD269" s="1804"/>
      <c r="BE269" s="1804"/>
      <c r="BF269" s="1804"/>
      <c r="BG269" s="1804"/>
      <c r="BH269" s="1804"/>
      <c r="BI269" s="1804"/>
      <c r="BJ269" s="1804"/>
      <c r="BK269" s="1804"/>
      <c r="BL269" s="1804"/>
      <c r="BM269" s="1804"/>
      <c r="BN269" s="1804"/>
      <c r="BO269" s="1804"/>
      <c r="BP269" s="1804"/>
      <c r="BQ269" s="1804"/>
      <c r="BR269" s="1804"/>
      <c r="BS269" s="1804"/>
      <c r="BT269" s="1804"/>
      <c r="BU269" s="1804"/>
      <c r="BV269" s="1804"/>
      <c r="BW269" s="1804"/>
      <c r="BX269" s="1804"/>
      <c r="BY269" s="1804"/>
      <c r="BZ269" s="1804"/>
      <c r="CA269" s="1804"/>
      <c r="CB269" s="1804"/>
      <c r="CC269" s="1804"/>
      <c r="CD269" s="1804"/>
      <c r="CE269" s="1804"/>
      <c r="CF269" s="1804"/>
      <c r="CG269" s="1804"/>
      <c r="CH269" s="1804"/>
      <c r="CI269" s="1804"/>
      <c r="CJ269" s="1804"/>
      <c r="CK269" s="1804"/>
      <c r="CL269" s="1804"/>
      <c r="CM269" s="1804"/>
      <c r="CN269" s="1804"/>
      <c r="CO269" s="1804"/>
      <c r="CP269" s="1804"/>
      <c r="CQ269" s="1804"/>
      <c r="CR269" s="1804"/>
      <c r="CS269" s="1804"/>
      <c r="CT269" s="1804"/>
      <c r="CU269" s="1804"/>
      <c r="CV269" s="1804"/>
      <c r="CW269" s="1804"/>
      <c r="CX269" s="1804"/>
      <c r="CY269" s="1804"/>
      <c r="CZ269" s="1804"/>
      <c r="DA269" s="1804"/>
      <c r="DB269" s="1804"/>
      <c r="DC269" s="1804"/>
      <c r="DD269" s="1804"/>
      <c r="DE269" s="1804"/>
      <c r="DF269" s="1804"/>
      <c r="DG269" s="1804"/>
      <c r="DH269" s="1804"/>
      <c r="DI269" s="1804"/>
      <c r="DJ269" s="1804"/>
      <c r="DK269" s="1804"/>
      <c r="DL269" s="1804"/>
      <c r="DM269" s="1804"/>
      <c r="DN269" s="1804"/>
      <c r="DO269" s="1804"/>
      <c r="DP269" s="1804"/>
      <c r="DQ269" s="1804"/>
      <c r="DR269" s="1804"/>
      <c r="DS269" s="1804"/>
      <c r="DT269" s="1804"/>
      <c r="DU269" s="1804"/>
      <c r="DV269" s="1804"/>
      <c r="DW269" s="1804"/>
      <c r="DX269" s="1804"/>
      <c r="DY269" s="1804"/>
      <c r="DZ269" s="1804"/>
      <c r="EA269" s="1804"/>
      <c r="EB269" s="1804"/>
      <c r="EC269" s="1804"/>
      <c r="ED269" s="1804"/>
      <c r="EE269" s="1804"/>
      <c r="EF269" s="1804"/>
      <c r="EG269" s="1804"/>
      <c r="EH269" s="1804"/>
      <c r="EI269" s="1804"/>
      <c r="EJ269" s="1804"/>
      <c r="EK269" s="1804"/>
      <c r="EL269" s="1804"/>
      <c r="EM269" s="1804"/>
      <c r="EN269" s="1804"/>
      <c r="EO269" s="1804"/>
      <c r="EP269" s="1804"/>
      <c r="EQ269" s="1804"/>
      <c r="ER269" s="1804"/>
      <c r="ES269" s="1804"/>
      <c r="ET269" s="1804"/>
      <c r="EU269" s="1804"/>
      <c r="EV269" s="1804"/>
      <c r="EW269" s="1804"/>
      <c r="EX269" s="1804"/>
      <c r="EY269" s="1804"/>
      <c r="EZ269" s="1804"/>
      <c r="FA269" s="1804"/>
      <c r="FB269" s="1804"/>
      <c r="FC269" s="1804"/>
      <c r="FD269" s="1804"/>
      <c r="FE269" s="1804"/>
      <c r="FF269" s="1804"/>
      <c r="FG269" s="1804"/>
      <c r="FH269" s="1804"/>
      <c r="FI269" s="1804"/>
      <c r="FJ269" s="1804"/>
      <c r="FK269" s="1804"/>
      <c r="FL269" s="1804"/>
      <c r="FM269" s="1804"/>
      <c r="FN269" s="1804"/>
      <c r="FO269" s="1804"/>
      <c r="FP269" s="1804"/>
      <c r="FQ269" s="1804"/>
      <c r="FR269" s="1804"/>
      <c r="FS269" s="1804"/>
      <c r="FT269" s="1804"/>
      <c r="FU269" s="1804"/>
      <c r="FV269" s="1804"/>
      <c r="FW269" s="1804"/>
      <c r="FX269" s="1804"/>
      <c r="FY269" s="1804"/>
      <c r="FZ269" s="1804"/>
      <c r="GA269" s="1804"/>
      <c r="GB269" s="1804"/>
      <c r="GC269" s="1804"/>
      <c r="GD269" s="1804"/>
      <c r="GE269" s="1804"/>
      <c r="GF269" s="1804"/>
      <c r="GG269" s="1804"/>
      <c r="GH269" s="1804"/>
      <c r="GI269" s="1804"/>
      <c r="GJ269" s="1804"/>
      <c r="GK269" s="1804"/>
      <c r="GL269" s="1804"/>
      <c r="GM269" s="1804"/>
      <c r="GN269" s="1804"/>
      <c r="GO269" s="1804"/>
      <c r="GP269" s="1804"/>
      <c r="GQ269" s="1804"/>
      <c r="GR269" s="1804"/>
      <c r="GS269" s="1804"/>
      <c r="GT269" s="1804"/>
      <c r="GU269" s="1804"/>
      <c r="GV269" s="1804"/>
      <c r="GW269" s="1804"/>
      <c r="GX269" s="1804"/>
      <c r="GY269" s="1804"/>
      <c r="GZ269" s="1804"/>
      <c r="HA269" s="1804"/>
      <c r="HB269" s="1804"/>
      <c r="HC269" s="1804"/>
      <c r="HD269" s="1804"/>
      <c r="HE269" s="1804"/>
      <c r="HF269" s="1804"/>
      <c r="HG269" s="1804"/>
      <c r="HH269" s="1804"/>
      <c r="HI269" s="1804"/>
      <c r="HJ269" s="1804"/>
      <c r="HK269" s="1804"/>
      <c r="HL269" s="1804"/>
      <c r="HM269" s="1804"/>
      <c r="HN269" s="1804"/>
      <c r="HO269" s="1804"/>
      <c r="HP269" s="1804"/>
      <c r="HQ269" s="1804"/>
      <c r="HR269" s="1804"/>
      <c r="HS269" s="1804"/>
      <c r="HT269" s="1804"/>
      <c r="HU269" s="1804"/>
      <c r="HV269" s="1804"/>
      <c r="HW269" s="1804"/>
      <c r="HX269" s="1804"/>
      <c r="HY269" s="1804"/>
      <c r="HZ269" s="1804"/>
      <c r="IA269" s="1804"/>
      <c r="IB269" s="1804"/>
      <c r="IC269" s="1804"/>
      <c r="ID269" s="1804"/>
      <c r="IE269" s="1804"/>
      <c r="IF269" s="1804"/>
      <c r="IG269" s="1804"/>
      <c r="IH269" s="1804"/>
      <c r="II269" s="1804"/>
      <c r="IJ269" s="1804"/>
      <c r="IK269" s="1804"/>
      <c r="IL269" s="1804"/>
      <c r="IM269" s="1804"/>
      <c r="IN269" s="1804"/>
      <c r="IO269" s="1804"/>
      <c r="IP269" s="1804"/>
      <c r="IQ269" s="1804"/>
      <c r="IR269" s="1804"/>
      <c r="IS269" s="1804"/>
      <c r="IT269" s="1804"/>
      <c r="IU269" s="1804"/>
      <c r="IV269" s="1804"/>
      <c r="IW269" s="1804"/>
    </row>
    <row r="270" spans="3:257" s="888" customFormat="1" x14ac:dyDescent="0.45">
      <c r="C270" s="67" t="s">
        <v>531</v>
      </c>
      <c r="D270" s="68" t="s">
        <v>633</v>
      </c>
      <c r="E270" s="69"/>
      <c r="F270" s="110">
        <f t="shared" si="18"/>
        <v>0</v>
      </c>
      <c r="G270" s="110">
        <f t="shared" si="18"/>
        <v>114.46173393704402</v>
      </c>
      <c r="H270" s="110">
        <f t="shared" si="19"/>
        <v>0</v>
      </c>
      <c r="I270" s="110">
        <f t="shared" si="19"/>
        <v>0</v>
      </c>
      <c r="J270" s="110">
        <f t="shared" si="20"/>
        <v>0</v>
      </c>
      <c r="K270" s="110">
        <f t="shared" si="21"/>
        <v>0</v>
      </c>
      <c r="L270" s="111">
        <f t="shared" si="22"/>
        <v>0</v>
      </c>
      <c r="M270" s="110">
        <f t="shared" si="23"/>
        <v>0</v>
      </c>
      <c r="N270" s="93"/>
      <c r="O270" s="110">
        <f t="shared" si="24"/>
        <v>0</v>
      </c>
      <c r="P270" s="110">
        <f t="shared" si="25"/>
        <v>0</v>
      </c>
      <c r="Q270" s="110">
        <f t="shared" si="26"/>
        <v>0</v>
      </c>
      <c r="R270" s="110">
        <f t="shared" si="27"/>
        <v>0</v>
      </c>
      <c r="S270" s="110">
        <f t="shared" si="28"/>
        <v>0</v>
      </c>
      <c r="T270" s="110">
        <f t="shared" si="29"/>
        <v>0</v>
      </c>
      <c r="U270" s="111">
        <f t="shared" si="30"/>
        <v>0</v>
      </c>
      <c r="V270" s="110">
        <f t="shared" si="31"/>
        <v>0</v>
      </c>
      <c r="W270" s="93"/>
      <c r="X270" s="110">
        <f t="shared" si="32"/>
        <v>0</v>
      </c>
      <c r="Y270" s="110">
        <f t="shared" si="33"/>
        <v>0</v>
      </c>
      <c r="Z270" s="110">
        <f t="shared" si="34"/>
        <v>0</v>
      </c>
      <c r="AA270" s="110">
        <f t="shared" si="35"/>
        <v>0</v>
      </c>
      <c r="AB270" s="110">
        <f t="shared" si="36"/>
        <v>0</v>
      </c>
      <c r="AC270" s="110">
        <f t="shared" si="37"/>
        <v>195.20549120610647</v>
      </c>
      <c r="AD270" s="110">
        <f t="shared" si="38"/>
        <v>0</v>
      </c>
      <c r="AE270" s="110">
        <f t="shared" si="39"/>
        <v>0</v>
      </c>
      <c r="AF270" s="110">
        <f t="shared" si="40"/>
        <v>0</v>
      </c>
      <c r="AG270" s="110">
        <f t="shared" si="41"/>
        <v>0</v>
      </c>
      <c r="AH270" s="110">
        <f t="shared" si="42"/>
        <v>0</v>
      </c>
      <c r="AI270" s="110">
        <f t="shared" si="43"/>
        <v>0</v>
      </c>
      <c r="AJ270" s="110">
        <f t="shared" si="44"/>
        <v>0</v>
      </c>
      <c r="AK270" s="110">
        <f t="shared" si="45"/>
        <v>309.66722514315052</v>
      </c>
      <c r="AL270" s="110">
        <f t="shared" si="46"/>
        <v>0</v>
      </c>
      <c r="AM270" s="110">
        <f t="shared" si="47"/>
        <v>0</v>
      </c>
      <c r="AN270" s="111">
        <f t="shared" si="48"/>
        <v>309.66722514315052</v>
      </c>
      <c r="AO270" s="1804"/>
      <c r="AP270" s="1804"/>
      <c r="AQ270" s="1804"/>
      <c r="AR270" s="1804"/>
      <c r="AS270" s="1804"/>
      <c r="AT270" s="1804"/>
      <c r="AU270" s="1804"/>
      <c r="AV270" s="1804"/>
      <c r="AW270" s="1804"/>
      <c r="AX270" s="1804"/>
      <c r="AY270" s="1804"/>
      <c r="AZ270" s="1804"/>
      <c r="BA270" s="1804"/>
      <c r="BB270" s="1804"/>
      <c r="BC270" s="1804"/>
      <c r="BD270" s="1804"/>
      <c r="BE270" s="1804"/>
      <c r="BF270" s="1804"/>
      <c r="BG270" s="1804"/>
      <c r="BH270" s="1804"/>
      <c r="BI270" s="1804"/>
      <c r="BJ270" s="1804"/>
      <c r="BK270" s="1804"/>
      <c r="BL270" s="1804"/>
      <c r="BM270" s="1804"/>
      <c r="BN270" s="1804"/>
      <c r="BO270" s="1804"/>
      <c r="BP270" s="1804"/>
      <c r="BQ270" s="1804"/>
      <c r="BR270" s="1804"/>
      <c r="BS270" s="1804"/>
      <c r="BT270" s="1804"/>
      <c r="BU270" s="1804"/>
      <c r="BV270" s="1804"/>
      <c r="BW270" s="1804"/>
      <c r="BX270" s="1804"/>
      <c r="BY270" s="1804"/>
      <c r="BZ270" s="1804"/>
      <c r="CA270" s="1804"/>
      <c r="CB270" s="1804"/>
      <c r="CC270" s="1804"/>
      <c r="CD270" s="1804"/>
      <c r="CE270" s="1804"/>
      <c r="CF270" s="1804"/>
      <c r="CG270" s="1804"/>
      <c r="CH270" s="1804"/>
      <c r="CI270" s="1804"/>
      <c r="CJ270" s="1804"/>
      <c r="CK270" s="1804"/>
      <c r="CL270" s="1804"/>
      <c r="CM270" s="1804"/>
      <c r="CN270" s="1804"/>
      <c r="CO270" s="1804"/>
      <c r="CP270" s="1804"/>
      <c r="CQ270" s="1804"/>
      <c r="CR270" s="1804"/>
      <c r="CS270" s="1804"/>
      <c r="CT270" s="1804"/>
      <c r="CU270" s="1804"/>
      <c r="CV270" s="1804"/>
      <c r="CW270" s="1804"/>
      <c r="CX270" s="1804"/>
      <c r="CY270" s="1804"/>
      <c r="CZ270" s="1804"/>
      <c r="DA270" s="1804"/>
      <c r="DB270" s="1804"/>
      <c r="DC270" s="1804"/>
      <c r="DD270" s="1804"/>
      <c r="DE270" s="1804"/>
      <c r="DF270" s="1804"/>
      <c r="DG270" s="1804"/>
      <c r="DH270" s="1804"/>
      <c r="DI270" s="1804"/>
      <c r="DJ270" s="1804"/>
      <c r="DK270" s="1804"/>
      <c r="DL270" s="1804"/>
      <c r="DM270" s="1804"/>
      <c r="DN270" s="1804"/>
      <c r="DO270" s="1804"/>
      <c r="DP270" s="1804"/>
      <c r="DQ270" s="1804"/>
      <c r="DR270" s="1804"/>
      <c r="DS270" s="1804"/>
      <c r="DT270" s="1804"/>
      <c r="DU270" s="1804"/>
      <c r="DV270" s="1804"/>
      <c r="DW270" s="1804"/>
      <c r="DX270" s="1804"/>
      <c r="DY270" s="1804"/>
      <c r="DZ270" s="1804"/>
      <c r="EA270" s="1804"/>
      <c r="EB270" s="1804"/>
      <c r="EC270" s="1804"/>
      <c r="ED270" s="1804"/>
      <c r="EE270" s="1804"/>
      <c r="EF270" s="1804"/>
      <c r="EG270" s="1804"/>
      <c r="EH270" s="1804"/>
      <c r="EI270" s="1804"/>
      <c r="EJ270" s="1804"/>
      <c r="EK270" s="1804"/>
      <c r="EL270" s="1804"/>
      <c r="EM270" s="1804"/>
      <c r="EN270" s="1804"/>
      <c r="EO270" s="1804"/>
      <c r="EP270" s="1804"/>
      <c r="EQ270" s="1804"/>
      <c r="ER270" s="1804"/>
      <c r="ES270" s="1804"/>
      <c r="ET270" s="1804"/>
      <c r="EU270" s="1804"/>
      <c r="EV270" s="1804"/>
      <c r="EW270" s="1804"/>
      <c r="EX270" s="1804"/>
      <c r="EY270" s="1804"/>
      <c r="EZ270" s="1804"/>
      <c r="FA270" s="1804"/>
      <c r="FB270" s="1804"/>
      <c r="FC270" s="1804"/>
      <c r="FD270" s="1804"/>
      <c r="FE270" s="1804"/>
      <c r="FF270" s="1804"/>
      <c r="FG270" s="1804"/>
      <c r="FH270" s="1804"/>
      <c r="FI270" s="1804"/>
      <c r="FJ270" s="1804"/>
      <c r="FK270" s="1804"/>
      <c r="FL270" s="1804"/>
      <c r="FM270" s="1804"/>
      <c r="FN270" s="1804"/>
      <c r="FO270" s="1804"/>
      <c r="FP270" s="1804"/>
      <c r="FQ270" s="1804"/>
      <c r="FR270" s="1804"/>
      <c r="FS270" s="1804"/>
      <c r="FT270" s="1804"/>
      <c r="FU270" s="1804"/>
      <c r="FV270" s="1804"/>
      <c r="FW270" s="1804"/>
      <c r="FX270" s="1804"/>
      <c r="FY270" s="1804"/>
      <c r="FZ270" s="1804"/>
      <c r="GA270" s="1804"/>
      <c r="GB270" s="1804"/>
      <c r="GC270" s="1804"/>
      <c r="GD270" s="1804"/>
      <c r="GE270" s="1804"/>
      <c r="GF270" s="1804"/>
      <c r="GG270" s="1804"/>
      <c r="GH270" s="1804"/>
      <c r="GI270" s="1804"/>
      <c r="GJ270" s="1804"/>
      <c r="GK270" s="1804"/>
      <c r="GL270" s="1804"/>
      <c r="GM270" s="1804"/>
      <c r="GN270" s="1804"/>
      <c r="GO270" s="1804"/>
      <c r="GP270" s="1804"/>
      <c r="GQ270" s="1804"/>
      <c r="GR270" s="1804"/>
      <c r="GS270" s="1804"/>
      <c r="GT270" s="1804"/>
      <c r="GU270" s="1804"/>
      <c r="GV270" s="1804"/>
      <c r="GW270" s="1804"/>
      <c r="GX270" s="1804"/>
      <c r="GY270" s="1804"/>
      <c r="GZ270" s="1804"/>
      <c r="HA270" s="1804"/>
      <c r="HB270" s="1804"/>
      <c r="HC270" s="1804"/>
      <c r="HD270" s="1804"/>
      <c r="HE270" s="1804"/>
      <c r="HF270" s="1804"/>
      <c r="HG270" s="1804"/>
      <c r="HH270" s="1804"/>
      <c r="HI270" s="1804"/>
      <c r="HJ270" s="1804"/>
      <c r="HK270" s="1804"/>
      <c r="HL270" s="1804"/>
      <c r="HM270" s="1804"/>
      <c r="HN270" s="1804"/>
      <c r="HO270" s="1804"/>
      <c r="HP270" s="1804"/>
      <c r="HQ270" s="1804"/>
      <c r="HR270" s="1804"/>
      <c r="HS270" s="1804"/>
      <c r="HT270" s="1804"/>
      <c r="HU270" s="1804"/>
      <c r="HV270" s="1804"/>
      <c r="HW270" s="1804"/>
      <c r="HX270" s="1804"/>
      <c r="HY270" s="1804"/>
      <c r="HZ270" s="1804"/>
      <c r="IA270" s="1804"/>
      <c r="IB270" s="1804"/>
      <c r="IC270" s="1804"/>
      <c r="ID270" s="1804"/>
      <c r="IE270" s="1804"/>
      <c r="IF270" s="1804"/>
      <c r="IG270" s="1804"/>
      <c r="IH270" s="1804"/>
      <c r="II270" s="1804"/>
      <c r="IJ270" s="1804"/>
      <c r="IK270" s="1804"/>
      <c r="IL270" s="1804"/>
      <c r="IM270" s="1804"/>
      <c r="IN270" s="1804"/>
      <c r="IO270" s="1804"/>
      <c r="IP270" s="1804"/>
      <c r="IQ270" s="1804"/>
      <c r="IR270" s="1804"/>
      <c r="IS270" s="1804"/>
      <c r="IT270" s="1804"/>
      <c r="IU270" s="1804"/>
      <c r="IV270" s="1804"/>
      <c r="IW270" s="1804"/>
    </row>
    <row r="271" spans="3:257" s="888" customFormat="1" x14ac:dyDescent="0.45">
      <c r="C271" s="67" t="s">
        <v>532</v>
      </c>
      <c r="D271" s="68" t="s">
        <v>634</v>
      </c>
      <c r="E271" s="69"/>
      <c r="F271" s="110">
        <f t="shared" si="18"/>
        <v>0</v>
      </c>
      <c r="G271" s="110">
        <f t="shared" si="18"/>
        <v>0</v>
      </c>
      <c r="H271" s="110">
        <f t="shared" si="19"/>
        <v>0</v>
      </c>
      <c r="I271" s="110">
        <f t="shared" si="19"/>
        <v>0</v>
      </c>
      <c r="J271" s="110">
        <f t="shared" si="20"/>
        <v>0</v>
      </c>
      <c r="K271" s="110">
        <f t="shared" si="21"/>
        <v>0</v>
      </c>
      <c r="L271" s="111">
        <f t="shared" si="22"/>
        <v>0</v>
      </c>
      <c r="M271" s="110">
        <f t="shared" si="23"/>
        <v>0</v>
      </c>
      <c r="N271" s="93"/>
      <c r="O271" s="110">
        <f t="shared" si="24"/>
        <v>0</v>
      </c>
      <c r="P271" s="110">
        <f t="shared" si="25"/>
        <v>0</v>
      </c>
      <c r="Q271" s="110">
        <f t="shared" si="26"/>
        <v>0</v>
      </c>
      <c r="R271" s="110">
        <f t="shared" si="27"/>
        <v>0</v>
      </c>
      <c r="S271" s="110">
        <f t="shared" si="28"/>
        <v>0</v>
      </c>
      <c r="T271" s="110">
        <f t="shared" si="29"/>
        <v>0</v>
      </c>
      <c r="U271" s="111">
        <f t="shared" si="30"/>
        <v>0</v>
      </c>
      <c r="V271" s="110">
        <f t="shared" si="31"/>
        <v>0</v>
      </c>
      <c r="W271" s="93"/>
      <c r="X271" s="110">
        <f t="shared" si="32"/>
        <v>0</v>
      </c>
      <c r="Y271" s="110">
        <f t="shared" si="33"/>
        <v>0</v>
      </c>
      <c r="Z271" s="110">
        <f t="shared" si="34"/>
        <v>787.56188810070125</v>
      </c>
      <c r="AA271" s="110">
        <f t="shared" si="35"/>
        <v>623.23907980267813</v>
      </c>
      <c r="AB271" s="110">
        <f t="shared" si="36"/>
        <v>0</v>
      </c>
      <c r="AC271" s="110">
        <f t="shared" si="37"/>
        <v>0</v>
      </c>
      <c r="AD271" s="110">
        <f t="shared" si="38"/>
        <v>0</v>
      </c>
      <c r="AE271" s="110">
        <f t="shared" si="39"/>
        <v>0</v>
      </c>
      <c r="AF271" s="110">
        <f t="shared" si="40"/>
        <v>0</v>
      </c>
      <c r="AG271" s="110">
        <f t="shared" si="41"/>
        <v>0</v>
      </c>
      <c r="AH271" s="110">
        <f t="shared" si="42"/>
        <v>0</v>
      </c>
      <c r="AI271" s="110">
        <f t="shared" si="43"/>
        <v>0</v>
      </c>
      <c r="AJ271" s="110">
        <f t="shared" si="44"/>
        <v>787.56188810070125</v>
      </c>
      <c r="AK271" s="110">
        <f t="shared" si="45"/>
        <v>623.23907980267813</v>
      </c>
      <c r="AL271" s="110">
        <f t="shared" si="46"/>
        <v>0</v>
      </c>
      <c r="AM271" s="110">
        <f t="shared" si="47"/>
        <v>0</v>
      </c>
      <c r="AN271" s="111">
        <f t="shared" si="48"/>
        <v>1410.8009679033794</v>
      </c>
      <c r="AO271" s="1804"/>
      <c r="AP271" s="1804"/>
      <c r="AQ271" s="1804"/>
      <c r="AR271" s="1804"/>
      <c r="AS271" s="1804"/>
      <c r="AT271" s="1804"/>
      <c r="AU271" s="1804"/>
      <c r="AV271" s="1804"/>
      <c r="AW271" s="1804"/>
      <c r="AX271" s="1804"/>
      <c r="AY271" s="1804"/>
      <c r="AZ271" s="1804"/>
      <c r="BA271" s="1804"/>
      <c r="BB271" s="1804"/>
      <c r="BC271" s="1804"/>
      <c r="BD271" s="1804"/>
      <c r="BE271" s="1804"/>
      <c r="BF271" s="1804"/>
      <c r="BG271" s="1804"/>
      <c r="BH271" s="1804"/>
      <c r="BI271" s="1804"/>
      <c r="BJ271" s="1804"/>
      <c r="BK271" s="1804"/>
      <c r="BL271" s="1804"/>
      <c r="BM271" s="1804"/>
      <c r="BN271" s="1804"/>
      <c r="BO271" s="1804"/>
      <c r="BP271" s="1804"/>
      <c r="BQ271" s="1804"/>
      <c r="BR271" s="1804"/>
      <c r="BS271" s="1804"/>
      <c r="BT271" s="1804"/>
      <c r="BU271" s="1804"/>
      <c r="BV271" s="1804"/>
      <c r="BW271" s="1804"/>
      <c r="BX271" s="1804"/>
      <c r="BY271" s="1804"/>
      <c r="BZ271" s="1804"/>
      <c r="CA271" s="1804"/>
      <c r="CB271" s="1804"/>
      <c r="CC271" s="1804"/>
      <c r="CD271" s="1804"/>
      <c r="CE271" s="1804"/>
      <c r="CF271" s="1804"/>
      <c r="CG271" s="1804"/>
      <c r="CH271" s="1804"/>
      <c r="CI271" s="1804"/>
      <c r="CJ271" s="1804"/>
      <c r="CK271" s="1804"/>
      <c r="CL271" s="1804"/>
      <c r="CM271" s="1804"/>
      <c r="CN271" s="1804"/>
      <c r="CO271" s="1804"/>
      <c r="CP271" s="1804"/>
      <c r="CQ271" s="1804"/>
      <c r="CR271" s="1804"/>
      <c r="CS271" s="1804"/>
      <c r="CT271" s="1804"/>
      <c r="CU271" s="1804"/>
      <c r="CV271" s="1804"/>
      <c r="CW271" s="1804"/>
      <c r="CX271" s="1804"/>
      <c r="CY271" s="1804"/>
      <c r="CZ271" s="1804"/>
      <c r="DA271" s="1804"/>
      <c r="DB271" s="1804"/>
      <c r="DC271" s="1804"/>
      <c r="DD271" s="1804"/>
      <c r="DE271" s="1804"/>
      <c r="DF271" s="1804"/>
      <c r="DG271" s="1804"/>
      <c r="DH271" s="1804"/>
      <c r="DI271" s="1804"/>
      <c r="DJ271" s="1804"/>
      <c r="DK271" s="1804"/>
      <c r="DL271" s="1804"/>
      <c r="DM271" s="1804"/>
      <c r="DN271" s="1804"/>
      <c r="DO271" s="1804"/>
      <c r="DP271" s="1804"/>
      <c r="DQ271" s="1804"/>
      <c r="DR271" s="1804"/>
      <c r="DS271" s="1804"/>
      <c r="DT271" s="1804"/>
      <c r="DU271" s="1804"/>
      <c r="DV271" s="1804"/>
      <c r="DW271" s="1804"/>
      <c r="DX271" s="1804"/>
      <c r="DY271" s="1804"/>
      <c r="DZ271" s="1804"/>
      <c r="EA271" s="1804"/>
      <c r="EB271" s="1804"/>
      <c r="EC271" s="1804"/>
      <c r="ED271" s="1804"/>
      <c r="EE271" s="1804"/>
      <c r="EF271" s="1804"/>
      <c r="EG271" s="1804"/>
      <c r="EH271" s="1804"/>
      <c r="EI271" s="1804"/>
      <c r="EJ271" s="1804"/>
      <c r="EK271" s="1804"/>
      <c r="EL271" s="1804"/>
      <c r="EM271" s="1804"/>
      <c r="EN271" s="1804"/>
      <c r="EO271" s="1804"/>
      <c r="EP271" s="1804"/>
      <c r="EQ271" s="1804"/>
      <c r="ER271" s="1804"/>
      <c r="ES271" s="1804"/>
      <c r="ET271" s="1804"/>
      <c r="EU271" s="1804"/>
      <c r="EV271" s="1804"/>
      <c r="EW271" s="1804"/>
      <c r="EX271" s="1804"/>
      <c r="EY271" s="1804"/>
      <c r="EZ271" s="1804"/>
      <c r="FA271" s="1804"/>
      <c r="FB271" s="1804"/>
      <c r="FC271" s="1804"/>
      <c r="FD271" s="1804"/>
      <c r="FE271" s="1804"/>
      <c r="FF271" s="1804"/>
      <c r="FG271" s="1804"/>
      <c r="FH271" s="1804"/>
      <c r="FI271" s="1804"/>
      <c r="FJ271" s="1804"/>
      <c r="FK271" s="1804"/>
      <c r="FL271" s="1804"/>
      <c r="FM271" s="1804"/>
      <c r="FN271" s="1804"/>
      <c r="FO271" s="1804"/>
      <c r="FP271" s="1804"/>
      <c r="FQ271" s="1804"/>
      <c r="FR271" s="1804"/>
      <c r="FS271" s="1804"/>
      <c r="FT271" s="1804"/>
      <c r="FU271" s="1804"/>
      <c r="FV271" s="1804"/>
      <c r="FW271" s="1804"/>
      <c r="FX271" s="1804"/>
      <c r="FY271" s="1804"/>
      <c r="FZ271" s="1804"/>
      <c r="GA271" s="1804"/>
      <c r="GB271" s="1804"/>
      <c r="GC271" s="1804"/>
      <c r="GD271" s="1804"/>
      <c r="GE271" s="1804"/>
      <c r="GF271" s="1804"/>
      <c r="GG271" s="1804"/>
      <c r="GH271" s="1804"/>
      <c r="GI271" s="1804"/>
      <c r="GJ271" s="1804"/>
      <c r="GK271" s="1804"/>
      <c r="GL271" s="1804"/>
      <c r="GM271" s="1804"/>
      <c r="GN271" s="1804"/>
      <c r="GO271" s="1804"/>
      <c r="GP271" s="1804"/>
      <c r="GQ271" s="1804"/>
      <c r="GR271" s="1804"/>
      <c r="GS271" s="1804"/>
      <c r="GT271" s="1804"/>
      <c r="GU271" s="1804"/>
      <c r="GV271" s="1804"/>
      <c r="GW271" s="1804"/>
      <c r="GX271" s="1804"/>
      <c r="GY271" s="1804"/>
      <c r="GZ271" s="1804"/>
      <c r="HA271" s="1804"/>
      <c r="HB271" s="1804"/>
      <c r="HC271" s="1804"/>
      <c r="HD271" s="1804"/>
      <c r="HE271" s="1804"/>
      <c r="HF271" s="1804"/>
      <c r="HG271" s="1804"/>
      <c r="HH271" s="1804"/>
      <c r="HI271" s="1804"/>
      <c r="HJ271" s="1804"/>
      <c r="HK271" s="1804"/>
      <c r="HL271" s="1804"/>
      <c r="HM271" s="1804"/>
      <c r="HN271" s="1804"/>
      <c r="HO271" s="1804"/>
      <c r="HP271" s="1804"/>
      <c r="HQ271" s="1804"/>
      <c r="HR271" s="1804"/>
      <c r="HS271" s="1804"/>
      <c r="HT271" s="1804"/>
      <c r="HU271" s="1804"/>
      <c r="HV271" s="1804"/>
      <c r="HW271" s="1804"/>
      <c r="HX271" s="1804"/>
      <c r="HY271" s="1804"/>
      <c r="HZ271" s="1804"/>
      <c r="IA271" s="1804"/>
      <c r="IB271" s="1804"/>
      <c r="IC271" s="1804"/>
      <c r="ID271" s="1804"/>
      <c r="IE271" s="1804"/>
      <c r="IF271" s="1804"/>
      <c r="IG271" s="1804"/>
      <c r="IH271" s="1804"/>
      <c r="II271" s="1804"/>
      <c r="IJ271" s="1804"/>
      <c r="IK271" s="1804"/>
      <c r="IL271" s="1804"/>
      <c r="IM271" s="1804"/>
      <c r="IN271" s="1804"/>
      <c r="IO271" s="1804"/>
      <c r="IP271" s="1804"/>
      <c r="IQ271" s="1804"/>
      <c r="IR271" s="1804"/>
      <c r="IS271" s="1804"/>
      <c r="IT271" s="1804"/>
      <c r="IU271" s="1804"/>
      <c r="IV271" s="1804"/>
      <c r="IW271" s="1804"/>
    </row>
    <row r="272" spans="3:257" s="888" customFormat="1" x14ac:dyDescent="0.45">
      <c r="C272" s="67" t="s">
        <v>533</v>
      </c>
      <c r="D272" s="68" t="s">
        <v>635</v>
      </c>
      <c r="E272" s="69"/>
      <c r="F272" s="110">
        <f t="shared" si="18"/>
        <v>0</v>
      </c>
      <c r="G272" s="110">
        <f t="shared" si="18"/>
        <v>0</v>
      </c>
      <c r="H272" s="110">
        <f t="shared" si="19"/>
        <v>0</v>
      </c>
      <c r="I272" s="110">
        <f t="shared" si="19"/>
        <v>0</v>
      </c>
      <c r="J272" s="110">
        <f t="shared" si="20"/>
        <v>0</v>
      </c>
      <c r="K272" s="110">
        <f t="shared" si="21"/>
        <v>0</v>
      </c>
      <c r="L272" s="111">
        <f t="shared" si="22"/>
        <v>0</v>
      </c>
      <c r="M272" s="110">
        <f t="shared" si="23"/>
        <v>0</v>
      </c>
      <c r="N272" s="93"/>
      <c r="O272" s="110">
        <f t="shared" si="24"/>
        <v>0</v>
      </c>
      <c r="P272" s="110">
        <f t="shared" si="25"/>
        <v>0</v>
      </c>
      <c r="Q272" s="110">
        <f t="shared" si="26"/>
        <v>0</v>
      </c>
      <c r="R272" s="110">
        <f t="shared" si="27"/>
        <v>0</v>
      </c>
      <c r="S272" s="110">
        <f t="shared" si="28"/>
        <v>0</v>
      </c>
      <c r="T272" s="110">
        <f t="shared" si="29"/>
        <v>0</v>
      </c>
      <c r="U272" s="111">
        <f t="shared" si="30"/>
        <v>0</v>
      </c>
      <c r="V272" s="110">
        <f t="shared" si="31"/>
        <v>0</v>
      </c>
      <c r="W272" s="93"/>
      <c r="X272" s="110">
        <f t="shared" si="32"/>
        <v>0</v>
      </c>
      <c r="Y272" s="110">
        <f t="shared" si="33"/>
        <v>0</v>
      </c>
      <c r="Z272" s="110">
        <f t="shared" si="34"/>
        <v>0</v>
      </c>
      <c r="AA272" s="110">
        <f t="shared" si="35"/>
        <v>0</v>
      </c>
      <c r="AB272" s="110">
        <f t="shared" si="36"/>
        <v>0</v>
      </c>
      <c r="AC272" s="110">
        <f t="shared" si="37"/>
        <v>0</v>
      </c>
      <c r="AD272" s="110">
        <f t="shared" si="38"/>
        <v>0</v>
      </c>
      <c r="AE272" s="110">
        <f t="shared" si="39"/>
        <v>0</v>
      </c>
      <c r="AF272" s="110">
        <f t="shared" si="40"/>
        <v>0</v>
      </c>
      <c r="AG272" s="110">
        <f t="shared" si="41"/>
        <v>0</v>
      </c>
      <c r="AH272" s="110">
        <f t="shared" si="42"/>
        <v>0</v>
      </c>
      <c r="AI272" s="110">
        <f t="shared" si="43"/>
        <v>0</v>
      </c>
      <c r="AJ272" s="110">
        <f t="shared" si="44"/>
        <v>0</v>
      </c>
      <c r="AK272" s="110">
        <f t="shared" si="45"/>
        <v>0</v>
      </c>
      <c r="AL272" s="110">
        <f t="shared" si="46"/>
        <v>0</v>
      </c>
      <c r="AM272" s="110">
        <f t="shared" si="47"/>
        <v>0</v>
      </c>
      <c r="AN272" s="111">
        <f t="shared" si="48"/>
        <v>0</v>
      </c>
      <c r="AO272" s="1804"/>
      <c r="AP272" s="1804"/>
      <c r="AQ272" s="1804"/>
      <c r="AR272" s="1804"/>
      <c r="AS272" s="1804"/>
      <c r="AT272" s="1804"/>
      <c r="AU272" s="1804"/>
      <c r="AV272" s="1804"/>
      <c r="AW272" s="1804"/>
      <c r="AX272" s="1804"/>
      <c r="AY272" s="1804"/>
      <c r="AZ272" s="1804"/>
      <c r="BA272" s="1804"/>
      <c r="BB272" s="1804"/>
      <c r="BC272" s="1804"/>
      <c r="BD272" s="1804"/>
      <c r="BE272" s="1804"/>
      <c r="BF272" s="1804"/>
      <c r="BG272" s="1804"/>
      <c r="BH272" s="1804"/>
      <c r="BI272" s="1804"/>
      <c r="BJ272" s="1804"/>
      <c r="BK272" s="1804"/>
      <c r="BL272" s="1804"/>
      <c r="BM272" s="1804"/>
      <c r="BN272" s="1804"/>
      <c r="BO272" s="1804"/>
      <c r="BP272" s="1804"/>
      <c r="BQ272" s="1804"/>
      <c r="BR272" s="1804"/>
      <c r="BS272" s="1804"/>
      <c r="BT272" s="1804"/>
      <c r="BU272" s="1804"/>
      <c r="BV272" s="1804"/>
      <c r="BW272" s="1804"/>
      <c r="BX272" s="1804"/>
      <c r="BY272" s="1804"/>
      <c r="BZ272" s="1804"/>
      <c r="CA272" s="1804"/>
      <c r="CB272" s="1804"/>
      <c r="CC272" s="1804"/>
      <c r="CD272" s="1804"/>
      <c r="CE272" s="1804"/>
      <c r="CF272" s="1804"/>
      <c r="CG272" s="1804"/>
      <c r="CH272" s="1804"/>
      <c r="CI272" s="1804"/>
      <c r="CJ272" s="1804"/>
      <c r="CK272" s="1804"/>
      <c r="CL272" s="1804"/>
      <c r="CM272" s="1804"/>
      <c r="CN272" s="1804"/>
      <c r="CO272" s="1804"/>
      <c r="CP272" s="1804"/>
      <c r="CQ272" s="1804"/>
      <c r="CR272" s="1804"/>
      <c r="CS272" s="1804"/>
      <c r="CT272" s="1804"/>
      <c r="CU272" s="1804"/>
      <c r="CV272" s="1804"/>
      <c r="CW272" s="1804"/>
      <c r="CX272" s="1804"/>
      <c r="CY272" s="1804"/>
      <c r="CZ272" s="1804"/>
      <c r="DA272" s="1804"/>
      <c r="DB272" s="1804"/>
      <c r="DC272" s="1804"/>
      <c r="DD272" s="1804"/>
      <c r="DE272" s="1804"/>
      <c r="DF272" s="1804"/>
      <c r="DG272" s="1804"/>
      <c r="DH272" s="1804"/>
      <c r="DI272" s="1804"/>
      <c r="DJ272" s="1804"/>
      <c r="DK272" s="1804"/>
      <c r="DL272" s="1804"/>
      <c r="DM272" s="1804"/>
      <c r="DN272" s="1804"/>
      <c r="DO272" s="1804"/>
      <c r="DP272" s="1804"/>
      <c r="DQ272" s="1804"/>
      <c r="DR272" s="1804"/>
      <c r="DS272" s="1804"/>
      <c r="DT272" s="1804"/>
      <c r="DU272" s="1804"/>
      <c r="DV272" s="1804"/>
      <c r="DW272" s="1804"/>
      <c r="DX272" s="1804"/>
      <c r="DY272" s="1804"/>
      <c r="DZ272" s="1804"/>
      <c r="EA272" s="1804"/>
      <c r="EB272" s="1804"/>
      <c r="EC272" s="1804"/>
      <c r="ED272" s="1804"/>
      <c r="EE272" s="1804"/>
      <c r="EF272" s="1804"/>
      <c r="EG272" s="1804"/>
      <c r="EH272" s="1804"/>
      <c r="EI272" s="1804"/>
      <c r="EJ272" s="1804"/>
      <c r="EK272" s="1804"/>
      <c r="EL272" s="1804"/>
      <c r="EM272" s="1804"/>
      <c r="EN272" s="1804"/>
      <c r="EO272" s="1804"/>
      <c r="EP272" s="1804"/>
      <c r="EQ272" s="1804"/>
      <c r="ER272" s="1804"/>
      <c r="ES272" s="1804"/>
      <c r="ET272" s="1804"/>
      <c r="EU272" s="1804"/>
      <c r="EV272" s="1804"/>
      <c r="EW272" s="1804"/>
      <c r="EX272" s="1804"/>
      <c r="EY272" s="1804"/>
      <c r="EZ272" s="1804"/>
      <c r="FA272" s="1804"/>
      <c r="FB272" s="1804"/>
      <c r="FC272" s="1804"/>
      <c r="FD272" s="1804"/>
      <c r="FE272" s="1804"/>
      <c r="FF272" s="1804"/>
      <c r="FG272" s="1804"/>
      <c r="FH272" s="1804"/>
      <c r="FI272" s="1804"/>
      <c r="FJ272" s="1804"/>
      <c r="FK272" s="1804"/>
      <c r="FL272" s="1804"/>
      <c r="FM272" s="1804"/>
      <c r="FN272" s="1804"/>
      <c r="FO272" s="1804"/>
      <c r="FP272" s="1804"/>
      <c r="FQ272" s="1804"/>
      <c r="FR272" s="1804"/>
      <c r="FS272" s="1804"/>
      <c r="FT272" s="1804"/>
      <c r="FU272" s="1804"/>
      <c r="FV272" s="1804"/>
      <c r="FW272" s="1804"/>
      <c r="FX272" s="1804"/>
      <c r="FY272" s="1804"/>
      <c r="FZ272" s="1804"/>
      <c r="GA272" s="1804"/>
      <c r="GB272" s="1804"/>
      <c r="GC272" s="1804"/>
      <c r="GD272" s="1804"/>
      <c r="GE272" s="1804"/>
      <c r="GF272" s="1804"/>
      <c r="GG272" s="1804"/>
      <c r="GH272" s="1804"/>
      <c r="GI272" s="1804"/>
      <c r="GJ272" s="1804"/>
      <c r="GK272" s="1804"/>
      <c r="GL272" s="1804"/>
      <c r="GM272" s="1804"/>
      <c r="GN272" s="1804"/>
      <c r="GO272" s="1804"/>
      <c r="GP272" s="1804"/>
      <c r="GQ272" s="1804"/>
      <c r="GR272" s="1804"/>
      <c r="GS272" s="1804"/>
      <c r="GT272" s="1804"/>
      <c r="GU272" s="1804"/>
      <c r="GV272" s="1804"/>
      <c r="GW272" s="1804"/>
      <c r="GX272" s="1804"/>
      <c r="GY272" s="1804"/>
      <c r="GZ272" s="1804"/>
      <c r="HA272" s="1804"/>
      <c r="HB272" s="1804"/>
      <c r="HC272" s="1804"/>
      <c r="HD272" s="1804"/>
      <c r="HE272" s="1804"/>
      <c r="HF272" s="1804"/>
      <c r="HG272" s="1804"/>
      <c r="HH272" s="1804"/>
      <c r="HI272" s="1804"/>
      <c r="HJ272" s="1804"/>
      <c r="HK272" s="1804"/>
      <c r="HL272" s="1804"/>
      <c r="HM272" s="1804"/>
      <c r="HN272" s="1804"/>
      <c r="HO272" s="1804"/>
      <c r="HP272" s="1804"/>
      <c r="HQ272" s="1804"/>
      <c r="HR272" s="1804"/>
      <c r="HS272" s="1804"/>
      <c r="HT272" s="1804"/>
      <c r="HU272" s="1804"/>
      <c r="HV272" s="1804"/>
      <c r="HW272" s="1804"/>
      <c r="HX272" s="1804"/>
      <c r="HY272" s="1804"/>
      <c r="HZ272" s="1804"/>
      <c r="IA272" s="1804"/>
      <c r="IB272" s="1804"/>
      <c r="IC272" s="1804"/>
      <c r="ID272" s="1804"/>
      <c r="IE272" s="1804"/>
      <c r="IF272" s="1804"/>
      <c r="IG272" s="1804"/>
      <c r="IH272" s="1804"/>
      <c r="II272" s="1804"/>
      <c r="IJ272" s="1804"/>
      <c r="IK272" s="1804"/>
      <c r="IL272" s="1804"/>
      <c r="IM272" s="1804"/>
      <c r="IN272" s="1804"/>
      <c r="IO272" s="1804"/>
      <c r="IP272" s="1804"/>
      <c r="IQ272" s="1804"/>
      <c r="IR272" s="1804"/>
      <c r="IS272" s="1804"/>
      <c r="IT272" s="1804"/>
      <c r="IU272" s="1804"/>
      <c r="IV272" s="1804"/>
      <c r="IW272" s="1804"/>
    </row>
    <row r="273" spans="3:257" s="888" customFormat="1" x14ac:dyDescent="0.45">
      <c r="C273" s="67" t="s">
        <v>534</v>
      </c>
      <c r="D273" s="68" t="s">
        <v>636</v>
      </c>
      <c r="E273" s="69"/>
      <c r="F273" s="110">
        <f t="shared" si="18"/>
        <v>0</v>
      </c>
      <c r="G273" s="110">
        <f t="shared" si="18"/>
        <v>0</v>
      </c>
      <c r="H273" s="110">
        <f t="shared" si="19"/>
        <v>0</v>
      </c>
      <c r="I273" s="110">
        <f t="shared" si="19"/>
        <v>0</v>
      </c>
      <c r="J273" s="110">
        <f t="shared" si="20"/>
        <v>0</v>
      </c>
      <c r="K273" s="110">
        <f t="shared" si="21"/>
        <v>0</v>
      </c>
      <c r="L273" s="111">
        <f t="shared" si="22"/>
        <v>0</v>
      </c>
      <c r="M273" s="110">
        <f t="shared" si="23"/>
        <v>0</v>
      </c>
      <c r="N273" s="93"/>
      <c r="O273" s="110">
        <f t="shared" si="24"/>
        <v>0</v>
      </c>
      <c r="P273" s="110">
        <f t="shared" si="25"/>
        <v>1316.4390608809924</v>
      </c>
      <c r="Q273" s="110">
        <f t="shared" si="26"/>
        <v>0</v>
      </c>
      <c r="R273" s="110">
        <f t="shared" si="27"/>
        <v>0</v>
      </c>
      <c r="S273" s="110">
        <f t="shared" si="28"/>
        <v>0</v>
      </c>
      <c r="T273" s="110">
        <f t="shared" si="29"/>
        <v>0</v>
      </c>
      <c r="U273" s="111">
        <f t="shared" si="30"/>
        <v>0</v>
      </c>
      <c r="V273" s="110">
        <f t="shared" si="31"/>
        <v>0</v>
      </c>
      <c r="W273" s="93"/>
      <c r="X273" s="110">
        <f t="shared" si="32"/>
        <v>0</v>
      </c>
      <c r="Y273" s="110">
        <f t="shared" si="33"/>
        <v>0</v>
      </c>
      <c r="Z273" s="110">
        <f t="shared" si="34"/>
        <v>0</v>
      </c>
      <c r="AA273" s="110">
        <f t="shared" si="35"/>
        <v>0</v>
      </c>
      <c r="AB273" s="110">
        <f t="shared" si="36"/>
        <v>0</v>
      </c>
      <c r="AC273" s="110">
        <f t="shared" si="37"/>
        <v>0</v>
      </c>
      <c r="AD273" s="110">
        <f t="shared" si="38"/>
        <v>0</v>
      </c>
      <c r="AE273" s="110">
        <f t="shared" si="39"/>
        <v>0</v>
      </c>
      <c r="AF273" s="110">
        <f t="shared" si="40"/>
        <v>0</v>
      </c>
      <c r="AG273" s="110">
        <f t="shared" si="41"/>
        <v>0</v>
      </c>
      <c r="AH273" s="110">
        <f t="shared" si="42"/>
        <v>0</v>
      </c>
      <c r="AI273" s="110">
        <f t="shared" si="43"/>
        <v>0</v>
      </c>
      <c r="AJ273" s="110">
        <f t="shared" si="44"/>
        <v>0</v>
      </c>
      <c r="AK273" s="110">
        <f t="shared" si="45"/>
        <v>1316.4390608809924</v>
      </c>
      <c r="AL273" s="110">
        <f t="shared" si="46"/>
        <v>0</v>
      </c>
      <c r="AM273" s="110">
        <f t="shared" si="47"/>
        <v>0</v>
      </c>
      <c r="AN273" s="111">
        <f t="shared" si="48"/>
        <v>1316.4390608809924</v>
      </c>
      <c r="AO273" s="1804"/>
      <c r="AP273" s="1804"/>
      <c r="AQ273" s="1804"/>
      <c r="AR273" s="1804"/>
      <c r="AS273" s="1804"/>
      <c r="AT273" s="1804"/>
      <c r="AU273" s="1804"/>
      <c r="AV273" s="1804"/>
      <c r="AW273" s="1804"/>
      <c r="AX273" s="1804"/>
      <c r="AY273" s="1804"/>
      <c r="AZ273" s="1804"/>
      <c r="BA273" s="1804"/>
      <c r="BB273" s="1804"/>
      <c r="BC273" s="1804"/>
      <c r="BD273" s="1804"/>
      <c r="BE273" s="1804"/>
      <c r="BF273" s="1804"/>
      <c r="BG273" s="1804"/>
      <c r="BH273" s="1804"/>
      <c r="BI273" s="1804"/>
      <c r="BJ273" s="1804"/>
      <c r="BK273" s="1804"/>
      <c r="BL273" s="1804"/>
      <c r="BM273" s="1804"/>
      <c r="BN273" s="1804"/>
      <c r="BO273" s="1804"/>
      <c r="BP273" s="1804"/>
      <c r="BQ273" s="1804"/>
      <c r="BR273" s="1804"/>
      <c r="BS273" s="1804"/>
      <c r="BT273" s="1804"/>
      <c r="BU273" s="1804"/>
      <c r="BV273" s="1804"/>
      <c r="BW273" s="1804"/>
      <c r="BX273" s="1804"/>
      <c r="BY273" s="1804"/>
      <c r="BZ273" s="1804"/>
      <c r="CA273" s="1804"/>
      <c r="CB273" s="1804"/>
      <c r="CC273" s="1804"/>
      <c r="CD273" s="1804"/>
      <c r="CE273" s="1804"/>
      <c r="CF273" s="1804"/>
      <c r="CG273" s="1804"/>
      <c r="CH273" s="1804"/>
      <c r="CI273" s="1804"/>
      <c r="CJ273" s="1804"/>
      <c r="CK273" s="1804"/>
      <c r="CL273" s="1804"/>
      <c r="CM273" s="1804"/>
      <c r="CN273" s="1804"/>
      <c r="CO273" s="1804"/>
      <c r="CP273" s="1804"/>
      <c r="CQ273" s="1804"/>
      <c r="CR273" s="1804"/>
      <c r="CS273" s="1804"/>
      <c r="CT273" s="1804"/>
      <c r="CU273" s="1804"/>
      <c r="CV273" s="1804"/>
      <c r="CW273" s="1804"/>
      <c r="CX273" s="1804"/>
      <c r="CY273" s="1804"/>
      <c r="CZ273" s="1804"/>
      <c r="DA273" s="1804"/>
      <c r="DB273" s="1804"/>
      <c r="DC273" s="1804"/>
      <c r="DD273" s="1804"/>
      <c r="DE273" s="1804"/>
      <c r="DF273" s="1804"/>
      <c r="DG273" s="1804"/>
      <c r="DH273" s="1804"/>
      <c r="DI273" s="1804"/>
      <c r="DJ273" s="1804"/>
      <c r="DK273" s="1804"/>
      <c r="DL273" s="1804"/>
      <c r="DM273" s="1804"/>
      <c r="DN273" s="1804"/>
      <c r="DO273" s="1804"/>
      <c r="DP273" s="1804"/>
      <c r="DQ273" s="1804"/>
      <c r="DR273" s="1804"/>
      <c r="DS273" s="1804"/>
      <c r="DT273" s="1804"/>
      <c r="DU273" s="1804"/>
      <c r="DV273" s="1804"/>
      <c r="DW273" s="1804"/>
      <c r="DX273" s="1804"/>
      <c r="DY273" s="1804"/>
      <c r="DZ273" s="1804"/>
      <c r="EA273" s="1804"/>
      <c r="EB273" s="1804"/>
      <c r="EC273" s="1804"/>
      <c r="ED273" s="1804"/>
      <c r="EE273" s="1804"/>
      <c r="EF273" s="1804"/>
      <c r="EG273" s="1804"/>
      <c r="EH273" s="1804"/>
      <c r="EI273" s="1804"/>
      <c r="EJ273" s="1804"/>
      <c r="EK273" s="1804"/>
      <c r="EL273" s="1804"/>
      <c r="EM273" s="1804"/>
      <c r="EN273" s="1804"/>
      <c r="EO273" s="1804"/>
      <c r="EP273" s="1804"/>
      <c r="EQ273" s="1804"/>
      <c r="ER273" s="1804"/>
      <c r="ES273" s="1804"/>
      <c r="ET273" s="1804"/>
      <c r="EU273" s="1804"/>
      <c r="EV273" s="1804"/>
      <c r="EW273" s="1804"/>
      <c r="EX273" s="1804"/>
      <c r="EY273" s="1804"/>
      <c r="EZ273" s="1804"/>
      <c r="FA273" s="1804"/>
      <c r="FB273" s="1804"/>
      <c r="FC273" s="1804"/>
      <c r="FD273" s="1804"/>
      <c r="FE273" s="1804"/>
      <c r="FF273" s="1804"/>
      <c r="FG273" s="1804"/>
      <c r="FH273" s="1804"/>
      <c r="FI273" s="1804"/>
      <c r="FJ273" s="1804"/>
      <c r="FK273" s="1804"/>
      <c r="FL273" s="1804"/>
      <c r="FM273" s="1804"/>
      <c r="FN273" s="1804"/>
      <c r="FO273" s="1804"/>
      <c r="FP273" s="1804"/>
      <c r="FQ273" s="1804"/>
      <c r="FR273" s="1804"/>
      <c r="FS273" s="1804"/>
      <c r="FT273" s="1804"/>
      <c r="FU273" s="1804"/>
      <c r="FV273" s="1804"/>
      <c r="FW273" s="1804"/>
      <c r="FX273" s="1804"/>
      <c r="FY273" s="1804"/>
      <c r="FZ273" s="1804"/>
      <c r="GA273" s="1804"/>
      <c r="GB273" s="1804"/>
      <c r="GC273" s="1804"/>
      <c r="GD273" s="1804"/>
      <c r="GE273" s="1804"/>
      <c r="GF273" s="1804"/>
      <c r="GG273" s="1804"/>
      <c r="GH273" s="1804"/>
      <c r="GI273" s="1804"/>
      <c r="GJ273" s="1804"/>
      <c r="GK273" s="1804"/>
      <c r="GL273" s="1804"/>
      <c r="GM273" s="1804"/>
      <c r="GN273" s="1804"/>
      <c r="GO273" s="1804"/>
      <c r="GP273" s="1804"/>
      <c r="GQ273" s="1804"/>
      <c r="GR273" s="1804"/>
      <c r="GS273" s="1804"/>
      <c r="GT273" s="1804"/>
      <c r="GU273" s="1804"/>
      <c r="GV273" s="1804"/>
      <c r="GW273" s="1804"/>
      <c r="GX273" s="1804"/>
      <c r="GY273" s="1804"/>
      <c r="GZ273" s="1804"/>
      <c r="HA273" s="1804"/>
      <c r="HB273" s="1804"/>
      <c r="HC273" s="1804"/>
      <c r="HD273" s="1804"/>
      <c r="HE273" s="1804"/>
      <c r="HF273" s="1804"/>
      <c r="HG273" s="1804"/>
      <c r="HH273" s="1804"/>
      <c r="HI273" s="1804"/>
      <c r="HJ273" s="1804"/>
      <c r="HK273" s="1804"/>
      <c r="HL273" s="1804"/>
      <c r="HM273" s="1804"/>
      <c r="HN273" s="1804"/>
      <c r="HO273" s="1804"/>
      <c r="HP273" s="1804"/>
      <c r="HQ273" s="1804"/>
      <c r="HR273" s="1804"/>
      <c r="HS273" s="1804"/>
      <c r="HT273" s="1804"/>
      <c r="HU273" s="1804"/>
      <c r="HV273" s="1804"/>
      <c r="HW273" s="1804"/>
      <c r="HX273" s="1804"/>
      <c r="HY273" s="1804"/>
      <c r="HZ273" s="1804"/>
      <c r="IA273" s="1804"/>
      <c r="IB273" s="1804"/>
      <c r="IC273" s="1804"/>
      <c r="ID273" s="1804"/>
      <c r="IE273" s="1804"/>
      <c r="IF273" s="1804"/>
      <c r="IG273" s="1804"/>
      <c r="IH273" s="1804"/>
      <c r="II273" s="1804"/>
      <c r="IJ273" s="1804"/>
      <c r="IK273" s="1804"/>
      <c r="IL273" s="1804"/>
      <c r="IM273" s="1804"/>
      <c r="IN273" s="1804"/>
      <c r="IO273" s="1804"/>
      <c r="IP273" s="1804"/>
      <c r="IQ273" s="1804"/>
      <c r="IR273" s="1804"/>
      <c r="IS273" s="1804"/>
      <c r="IT273" s="1804"/>
      <c r="IU273" s="1804"/>
      <c r="IV273" s="1804"/>
      <c r="IW273" s="1804"/>
    </row>
    <row r="274" spans="3:257" s="888" customFormat="1" x14ac:dyDescent="0.45">
      <c r="C274" s="67" t="s">
        <v>535</v>
      </c>
      <c r="D274" s="68" t="s">
        <v>637</v>
      </c>
      <c r="E274" s="69"/>
      <c r="F274" s="110">
        <f t="shared" si="18"/>
        <v>0</v>
      </c>
      <c r="G274" s="110">
        <f t="shared" si="18"/>
        <v>0</v>
      </c>
      <c r="H274" s="110">
        <f t="shared" si="19"/>
        <v>0</v>
      </c>
      <c r="I274" s="110">
        <f t="shared" si="19"/>
        <v>0</v>
      </c>
      <c r="J274" s="110">
        <f t="shared" si="20"/>
        <v>0</v>
      </c>
      <c r="K274" s="110">
        <f t="shared" si="21"/>
        <v>0</v>
      </c>
      <c r="L274" s="111">
        <f t="shared" si="22"/>
        <v>0</v>
      </c>
      <c r="M274" s="110">
        <f t="shared" si="23"/>
        <v>0</v>
      </c>
      <c r="N274" s="93"/>
      <c r="O274" s="110">
        <f t="shared" si="24"/>
        <v>0</v>
      </c>
      <c r="P274" s="110">
        <f t="shared" si="25"/>
        <v>0</v>
      </c>
      <c r="Q274" s="110">
        <f t="shared" si="26"/>
        <v>0</v>
      </c>
      <c r="R274" s="110">
        <f t="shared" si="27"/>
        <v>0</v>
      </c>
      <c r="S274" s="110">
        <f t="shared" si="28"/>
        <v>0</v>
      </c>
      <c r="T274" s="110">
        <f t="shared" si="29"/>
        <v>0</v>
      </c>
      <c r="U274" s="111">
        <f t="shared" si="30"/>
        <v>0</v>
      </c>
      <c r="V274" s="110">
        <f t="shared" si="31"/>
        <v>0</v>
      </c>
      <c r="W274" s="93"/>
      <c r="X274" s="110">
        <f t="shared" si="32"/>
        <v>0</v>
      </c>
      <c r="Y274" s="110">
        <f t="shared" si="33"/>
        <v>0</v>
      </c>
      <c r="Z274" s="110">
        <f t="shared" si="34"/>
        <v>2.1891013174750618</v>
      </c>
      <c r="AA274" s="110">
        <f t="shared" si="35"/>
        <v>280.79584893408497</v>
      </c>
      <c r="AB274" s="110">
        <f t="shared" si="36"/>
        <v>0</v>
      </c>
      <c r="AC274" s="110">
        <f t="shared" si="37"/>
        <v>0</v>
      </c>
      <c r="AD274" s="110">
        <f t="shared" si="38"/>
        <v>0</v>
      </c>
      <c r="AE274" s="110">
        <f t="shared" si="39"/>
        <v>0</v>
      </c>
      <c r="AF274" s="110">
        <f t="shared" si="40"/>
        <v>0</v>
      </c>
      <c r="AG274" s="110">
        <f t="shared" si="41"/>
        <v>0</v>
      </c>
      <c r="AH274" s="110">
        <f t="shared" si="42"/>
        <v>0</v>
      </c>
      <c r="AI274" s="110">
        <f t="shared" si="43"/>
        <v>0</v>
      </c>
      <c r="AJ274" s="110">
        <f t="shared" si="44"/>
        <v>2.1891013174750618</v>
      </c>
      <c r="AK274" s="110">
        <f t="shared" si="45"/>
        <v>280.79584893408497</v>
      </c>
      <c r="AL274" s="110">
        <f t="shared" si="46"/>
        <v>0</v>
      </c>
      <c r="AM274" s="110">
        <f t="shared" si="47"/>
        <v>0</v>
      </c>
      <c r="AN274" s="111">
        <f t="shared" si="48"/>
        <v>282.98495025156001</v>
      </c>
      <c r="AO274" s="1804"/>
      <c r="AP274" s="1804"/>
      <c r="AQ274" s="1804"/>
      <c r="AR274" s="1804"/>
      <c r="AS274" s="1804"/>
      <c r="AT274" s="1804"/>
      <c r="AU274" s="1804"/>
      <c r="AV274" s="1804"/>
      <c r="AW274" s="1804"/>
      <c r="AX274" s="1804"/>
      <c r="AY274" s="1804"/>
      <c r="AZ274" s="1804"/>
      <c r="BA274" s="1804"/>
      <c r="BB274" s="1804"/>
      <c r="BC274" s="1804"/>
      <c r="BD274" s="1804"/>
      <c r="BE274" s="1804"/>
      <c r="BF274" s="1804"/>
      <c r="BG274" s="1804"/>
      <c r="BH274" s="1804"/>
      <c r="BI274" s="1804"/>
      <c r="BJ274" s="1804"/>
      <c r="BK274" s="1804"/>
      <c r="BL274" s="1804"/>
      <c r="BM274" s="1804"/>
      <c r="BN274" s="1804"/>
      <c r="BO274" s="1804"/>
      <c r="BP274" s="1804"/>
      <c r="BQ274" s="1804"/>
      <c r="BR274" s="1804"/>
      <c r="BS274" s="1804"/>
      <c r="BT274" s="1804"/>
      <c r="BU274" s="1804"/>
      <c r="BV274" s="1804"/>
      <c r="BW274" s="1804"/>
      <c r="BX274" s="1804"/>
      <c r="BY274" s="1804"/>
      <c r="BZ274" s="1804"/>
      <c r="CA274" s="1804"/>
      <c r="CB274" s="1804"/>
      <c r="CC274" s="1804"/>
      <c r="CD274" s="1804"/>
      <c r="CE274" s="1804"/>
      <c r="CF274" s="1804"/>
      <c r="CG274" s="1804"/>
      <c r="CH274" s="1804"/>
      <c r="CI274" s="1804"/>
      <c r="CJ274" s="1804"/>
      <c r="CK274" s="1804"/>
      <c r="CL274" s="1804"/>
      <c r="CM274" s="1804"/>
      <c r="CN274" s="1804"/>
      <c r="CO274" s="1804"/>
      <c r="CP274" s="1804"/>
      <c r="CQ274" s="1804"/>
      <c r="CR274" s="1804"/>
      <c r="CS274" s="1804"/>
      <c r="CT274" s="1804"/>
      <c r="CU274" s="1804"/>
      <c r="CV274" s="1804"/>
      <c r="CW274" s="1804"/>
      <c r="CX274" s="1804"/>
      <c r="CY274" s="1804"/>
      <c r="CZ274" s="1804"/>
      <c r="DA274" s="1804"/>
      <c r="DB274" s="1804"/>
      <c r="DC274" s="1804"/>
      <c r="DD274" s="1804"/>
      <c r="DE274" s="1804"/>
      <c r="DF274" s="1804"/>
      <c r="DG274" s="1804"/>
      <c r="DH274" s="1804"/>
      <c r="DI274" s="1804"/>
      <c r="DJ274" s="1804"/>
      <c r="DK274" s="1804"/>
      <c r="DL274" s="1804"/>
      <c r="DM274" s="1804"/>
      <c r="DN274" s="1804"/>
      <c r="DO274" s="1804"/>
      <c r="DP274" s="1804"/>
      <c r="DQ274" s="1804"/>
      <c r="DR274" s="1804"/>
      <c r="DS274" s="1804"/>
      <c r="DT274" s="1804"/>
      <c r="DU274" s="1804"/>
      <c r="DV274" s="1804"/>
      <c r="DW274" s="1804"/>
      <c r="DX274" s="1804"/>
      <c r="DY274" s="1804"/>
      <c r="DZ274" s="1804"/>
      <c r="EA274" s="1804"/>
      <c r="EB274" s="1804"/>
      <c r="EC274" s="1804"/>
      <c r="ED274" s="1804"/>
      <c r="EE274" s="1804"/>
      <c r="EF274" s="1804"/>
      <c r="EG274" s="1804"/>
      <c r="EH274" s="1804"/>
      <c r="EI274" s="1804"/>
      <c r="EJ274" s="1804"/>
      <c r="EK274" s="1804"/>
      <c r="EL274" s="1804"/>
      <c r="EM274" s="1804"/>
      <c r="EN274" s="1804"/>
      <c r="EO274" s="1804"/>
      <c r="EP274" s="1804"/>
      <c r="EQ274" s="1804"/>
      <c r="ER274" s="1804"/>
      <c r="ES274" s="1804"/>
      <c r="ET274" s="1804"/>
      <c r="EU274" s="1804"/>
      <c r="EV274" s="1804"/>
      <c r="EW274" s="1804"/>
      <c r="EX274" s="1804"/>
      <c r="EY274" s="1804"/>
      <c r="EZ274" s="1804"/>
      <c r="FA274" s="1804"/>
      <c r="FB274" s="1804"/>
      <c r="FC274" s="1804"/>
      <c r="FD274" s="1804"/>
      <c r="FE274" s="1804"/>
      <c r="FF274" s="1804"/>
      <c r="FG274" s="1804"/>
      <c r="FH274" s="1804"/>
      <c r="FI274" s="1804"/>
      <c r="FJ274" s="1804"/>
      <c r="FK274" s="1804"/>
      <c r="FL274" s="1804"/>
      <c r="FM274" s="1804"/>
      <c r="FN274" s="1804"/>
      <c r="FO274" s="1804"/>
      <c r="FP274" s="1804"/>
      <c r="FQ274" s="1804"/>
      <c r="FR274" s="1804"/>
      <c r="FS274" s="1804"/>
      <c r="FT274" s="1804"/>
      <c r="FU274" s="1804"/>
      <c r="FV274" s="1804"/>
      <c r="FW274" s="1804"/>
      <c r="FX274" s="1804"/>
      <c r="FY274" s="1804"/>
      <c r="FZ274" s="1804"/>
      <c r="GA274" s="1804"/>
      <c r="GB274" s="1804"/>
      <c r="GC274" s="1804"/>
      <c r="GD274" s="1804"/>
      <c r="GE274" s="1804"/>
      <c r="GF274" s="1804"/>
      <c r="GG274" s="1804"/>
      <c r="GH274" s="1804"/>
      <c r="GI274" s="1804"/>
      <c r="GJ274" s="1804"/>
      <c r="GK274" s="1804"/>
      <c r="GL274" s="1804"/>
      <c r="GM274" s="1804"/>
      <c r="GN274" s="1804"/>
      <c r="GO274" s="1804"/>
      <c r="GP274" s="1804"/>
      <c r="GQ274" s="1804"/>
      <c r="GR274" s="1804"/>
      <c r="GS274" s="1804"/>
      <c r="GT274" s="1804"/>
      <c r="GU274" s="1804"/>
      <c r="GV274" s="1804"/>
      <c r="GW274" s="1804"/>
      <c r="GX274" s="1804"/>
      <c r="GY274" s="1804"/>
      <c r="GZ274" s="1804"/>
      <c r="HA274" s="1804"/>
      <c r="HB274" s="1804"/>
      <c r="HC274" s="1804"/>
      <c r="HD274" s="1804"/>
      <c r="HE274" s="1804"/>
      <c r="HF274" s="1804"/>
      <c r="HG274" s="1804"/>
      <c r="HH274" s="1804"/>
      <c r="HI274" s="1804"/>
      <c r="HJ274" s="1804"/>
      <c r="HK274" s="1804"/>
      <c r="HL274" s="1804"/>
      <c r="HM274" s="1804"/>
      <c r="HN274" s="1804"/>
      <c r="HO274" s="1804"/>
      <c r="HP274" s="1804"/>
      <c r="HQ274" s="1804"/>
      <c r="HR274" s="1804"/>
      <c r="HS274" s="1804"/>
      <c r="HT274" s="1804"/>
      <c r="HU274" s="1804"/>
      <c r="HV274" s="1804"/>
      <c r="HW274" s="1804"/>
      <c r="HX274" s="1804"/>
      <c r="HY274" s="1804"/>
      <c r="HZ274" s="1804"/>
      <c r="IA274" s="1804"/>
      <c r="IB274" s="1804"/>
      <c r="IC274" s="1804"/>
      <c r="ID274" s="1804"/>
      <c r="IE274" s="1804"/>
      <c r="IF274" s="1804"/>
      <c r="IG274" s="1804"/>
      <c r="IH274" s="1804"/>
      <c r="II274" s="1804"/>
      <c r="IJ274" s="1804"/>
      <c r="IK274" s="1804"/>
      <c r="IL274" s="1804"/>
      <c r="IM274" s="1804"/>
      <c r="IN274" s="1804"/>
      <c r="IO274" s="1804"/>
      <c r="IP274" s="1804"/>
      <c r="IQ274" s="1804"/>
      <c r="IR274" s="1804"/>
      <c r="IS274" s="1804"/>
      <c r="IT274" s="1804"/>
      <c r="IU274" s="1804"/>
      <c r="IV274" s="1804"/>
      <c r="IW274" s="1804"/>
    </row>
    <row r="275" spans="3:257" s="888" customFormat="1" x14ac:dyDescent="0.45">
      <c r="C275" s="67" t="s">
        <v>536</v>
      </c>
      <c r="D275" s="68" t="s">
        <v>638</v>
      </c>
      <c r="E275" s="69"/>
      <c r="F275" s="110">
        <f t="shared" si="18"/>
        <v>0</v>
      </c>
      <c r="G275" s="110">
        <f t="shared" si="18"/>
        <v>149.23179478034234</v>
      </c>
      <c r="H275" s="110">
        <f t="shared" si="19"/>
        <v>0</v>
      </c>
      <c r="I275" s="110">
        <f t="shared" si="19"/>
        <v>0</v>
      </c>
      <c r="J275" s="110">
        <f t="shared" si="20"/>
        <v>0</v>
      </c>
      <c r="K275" s="110">
        <f t="shared" si="21"/>
        <v>0</v>
      </c>
      <c r="L275" s="111">
        <f t="shared" si="22"/>
        <v>0</v>
      </c>
      <c r="M275" s="110">
        <f t="shared" si="23"/>
        <v>0</v>
      </c>
      <c r="N275" s="93"/>
      <c r="O275" s="110">
        <f t="shared" si="24"/>
        <v>0</v>
      </c>
      <c r="P275" s="110">
        <f t="shared" si="25"/>
        <v>0</v>
      </c>
      <c r="Q275" s="110">
        <f t="shared" si="26"/>
        <v>0</v>
      </c>
      <c r="R275" s="110">
        <f t="shared" si="27"/>
        <v>0</v>
      </c>
      <c r="S275" s="110">
        <f t="shared" si="28"/>
        <v>0</v>
      </c>
      <c r="T275" s="110">
        <f t="shared" si="29"/>
        <v>0</v>
      </c>
      <c r="U275" s="111">
        <f t="shared" si="30"/>
        <v>0</v>
      </c>
      <c r="V275" s="110">
        <f t="shared" si="31"/>
        <v>0</v>
      </c>
      <c r="W275" s="93"/>
      <c r="X275" s="110">
        <f t="shared" si="32"/>
        <v>0</v>
      </c>
      <c r="Y275" s="110">
        <f t="shared" si="33"/>
        <v>0</v>
      </c>
      <c r="Z275" s="110">
        <f t="shared" si="34"/>
        <v>0</v>
      </c>
      <c r="AA275" s="110">
        <f t="shared" si="35"/>
        <v>0</v>
      </c>
      <c r="AB275" s="110">
        <f t="shared" si="36"/>
        <v>0</v>
      </c>
      <c r="AC275" s="110">
        <f t="shared" si="37"/>
        <v>0</v>
      </c>
      <c r="AD275" s="110">
        <f t="shared" si="38"/>
        <v>0</v>
      </c>
      <c r="AE275" s="110">
        <f t="shared" si="39"/>
        <v>0</v>
      </c>
      <c r="AF275" s="110">
        <f t="shared" si="40"/>
        <v>0</v>
      </c>
      <c r="AG275" s="110">
        <f t="shared" si="41"/>
        <v>0</v>
      </c>
      <c r="AH275" s="110">
        <f t="shared" si="42"/>
        <v>0</v>
      </c>
      <c r="AI275" s="110">
        <f t="shared" si="43"/>
        <v>0</v>
      </c>
      <c r="AJ275" s="110">
        <f t="shared" si="44"/>
        <v>0</v>
      </c>
      <c r="AK275" s="110">
        <f t="shared" si="45"/>
        <v>149.23179478034234</v>
      </c>
      <c r="AL275" s="110">
        <f t="shared" si="46"/>
        <v>0</v>
      </c>
      <c r="AM275" s="110">
        <f t="shared" si="47"/>
        <v>0</v>
      </c>
      <c r="AN275" s="111">
        <f t="shared" si="48"/>
        <v>149.23179478034234</v>
      </c>
      <c r="AO275" s="1804"/>
      <c r="AP275" s="1804"/>
      <c r="AQ275" s="1804"/>
      <c r="AR275" s="1804"/>
      <c r="AS275" s="1804"/>
      <c r="AT275" s="1804"/>
      <c r="AU275" s="1804"/>
      <c r="AV275" s="1804"/>
      <c r="AW275" s="1804"/>
      <c r="AX275" s="1804"/>
      <c r="AY275" s="1804"/>
      <c r="AZ275" s="1804"/>
      <c r="BA275" s="1804"/>
      <c r="BB275" s="1804"/>
      <c r="BC275" s="1804"/>
      <c r="BD275" s="1804"/>
      <c r="BE275" s="1804"/>
      <c r="BF275" s="1804"/>
      <c r="BG275" s="1804"/>
      <c r="BH275" s="1804"/>
      <c r="BI275" s="1804"/>
      <c r="BJ275" s="1804"/>
      <c r="BK275" s="1804"/>
      <c r="BL275" s="1804"/>
      <c r="BM275" s="1804"/>
      <c r="BN275" s="1804"/>
      <c r="BO275" s="1804"/>
      <c r="BP275" s="1804"/>
      <c r="BQ275" s="1804"/>
      <c r="BR275" s="1804"/>
      <c r="BS275" s="1804"/>
      <c r="BT275" s="1804"/>
      <c r="BU275" s="1804"/>
      <c r="BV275" s="1804"/>
      <c r="BW275" s="1804"/>
      <c r="BX275" s="1804"/>
      <c r="BY275" s="1804"/>
      <c r="BZ275" s="1804"/>
      <c r="CA275" s="1804"/>
      <c r="CB275" s="1804"/>
      <c r="CC275" s="1804"/>
      <c r="CD275" s="1804"/>
      <c r="CE275" s="1804"/>
      <c r="CF275" s="1804"/>
      <c r="CG275" s="1804"/>
      <c r="CH275" s="1804"/>
      <c r="CI275" s="1804"/>
      <c r="CJ275" s="1804"/>
      <c r="CK275" s="1804"/>
      <c r="CL275" s="1804"/>
      <c r="CM275" s="1804"/>
      <c r="CN275" s="1804"/>
      <c r="CO275" s="1804"/>
      <c r="CP275" s="1804"/>
      <c r="CQ275" s="1804"/>
      <c r="CR275" s="1804"/>
      <c r="CS275" s="1804"/>
      <c r="CT275" s="1804"/>
      <c r="CU275" s="1804"/>
      <c r="CV275" s="1804"/>
      <c r="CW275" s="1804"/>
      <c r="CX275" s="1804"/>
      <c r="CY275" s="1804"/>
      <c r="CZ275" s="1804"/>
      <c r="DA275" s="1804"/>
      <c r="DB275" s="1804"/>
      <c r="DC275" s="1804"/>
      <c r="DD275" s="1804"/>
      <c r="DE275" s="1804"/>
      <c r="DF275" s="1804"/>
      <c r="DG275" s="1804"/>
      <c r="DH275" s="1804"/>
      <c r="DI275" s="1804"/>
      <c r="DJ275" s="1804"/>
      <c r="DK275" s="1804"/>
      <c r="DL275" s="1804"/>
      <c r="DM275" s="1804"/>
      <c r="DN275" s="1804"/>
      <c r="DO275" s="1804"/>
      <c r="DP275" s="1804"/>
      <c r="DQ275" s="1804"/>
      <c r="DR275" s="1804"/>
      <c r="DS275" s="1804"/>
      <c r="DT275" s="1804"/>
      <c r="DU275" s="1804"/>
      <c r="DV275" s="1804"/>
      <c r="DW275" s="1804"/>
      <c r="DX275" s="1804"/>
      <c r="DY275" s="1804"/>
      <c r="DZ275" s="1804"/>
      <c r="EA275" s="1804"/>
      <c r="EB275" s="1804"/>
      <c r="EC275" s="1804"/>
      <c r="ED275" s="1804"/>
      <c r="EE275" s="1804"/>
      <c r="EF275" s="1804"/>
      <c r="EG275" s="1804"/>
      <c r="EH275" s="1804"/>
      <c r="EI275" s="1804"/>
      <c r="EJ275" s="1804"/>
      <c r="EK275" s="1804"/>
      <c r="EL275" s="1804"/>
      <c r="EM275" s="1804"/>
      <c r="EN275" s="1804"/>
      <c r="EO275" s="1804"/>
      <c r="EP275" s="1804"/>
      <c r="EQ275" s="1804"/>
      <c r="ER275" s="1804"/>
      <c r="ES275" s="1804"/>
      <c r="ET275" s="1804"/>
      <c r="EU275" s="1804"/>
      <c r="EV275" s="1804"/>
      <c r="EW275" s="1804"/>
      <c r="EX275" s="1804"/>
      <c r="EY275" s="1804"/>
      <c r="EZ275" s="1804"/>
      <c r="FA275" s="1804"/>
      <c r="FB275" s="1804"/>
      <c r="FC275" s="1804"/>
      <c r="FD275" s="1804"/>
      <c r="FE275" s="1804"/>
      <c r="FF275" s="1804"/>
      <c r="FG275" s="1804"/>
      <c r="FH275" s="1804"/>
      <c r="FI275" s="1804"/>
      <c r="FJ275" s="1804"/>
      <c r="FK275" s="1804"/>
      <c r="FL275" s="1804"/>
      <c r="FM275" s="1804"/>
      <c r="FN275" s="1804"/>
      <c r="FO275" s="1804"/>
      <c r="FP275" s="1804"/>
      <c r="FQ275" s="1804"/>
      <c r="FR275" s="1804"/>
      <c r="FS275" s="1804"/>
      <c r="FT275" s="1804"/>
      <c r="FU275" s="1804"/>
      <c r="FV275" s="1804"/>
      <c r="FW275" s="1804"/>
      <c r="FX275" s="1804"/>
      <c r="FY275" s="1804"/>
      <c r="FZ275" s="1804"/>
      <c r="GA275" s="1804"/>
      <c r="GB275" s="1804"/>
      <c r="GC275" s="1804"/>
      <c r="GD275" s="1804"/>
      <c r="GE275" s="1804"/>
      <c r="GF275" s="1804"/>
      <c r="GG275" s="1804"/>
      <c r="GH275" s="1804"/>
      <c r="GI275" s="1804"/>
      <c r="GJ275" s="1804"/>
      <c r="GK275" s="1804"/>
      <c r="GL275" s="1804"/>
      <c r="GM275" s="1804"/>
      <c r="GN275" s="1804"/>
      <c r="GO275" s="1804"/>
      <c r="GP275" s="1804"/>
      <c r="GQ275" s="1804"/>
      <c r="GR275" s="1804"/>
      <c r="GS275" s="1804"/>
      <c r="GT275" s="1804"/>
      <c r="GU275" s="1804"/>
      <c r="GV275" s="1804"/>
      <c r="GW275" s="1804"/>
      <c r="GX275" s="1804"/>
      <c r="GY275" s="1804"/>
      <c r="GZ275" s="1804"/>
      <c r="HA275" s="1804"/>
      <c r="HB275" s="1804"/>
      <c r="HC275" s="1804"/>
      <c r="HD275" s="1804"/>
      <c r="HE275" s="1804"/>
      <c r="HF275" s="1804"/>
      <c r="HG275" s="1804"/>
      <c r="HH275" s="1804"/>
      <c r="HI275" s="1804"/>
      <c r="HJ275" s="1804"/>
      <c r="HK275" s="1804"/>
      <c r="HL275" s="1804"/>
      <c r="HM275" s="1804"/>
      <c r="HN275" s="1804"/>
      <c r="HO275" s="1804"/>
      <c r="HP275" s="1804"/>
      <c r="HQ275" s="1804"/>
      <c r="HR275" s="1804"/>
      <c r="HS275" s="1804"/>
      <c r="HT275" s="1804"/>
      <c r="HU275" s="1804"/>
      <c r="HV275" s="1804"/>
      <c r="HW275" s="1804"/>
      <c r="HX275" s="1804"/>
      <c r="HY275" s="1804"/>
      <c r="HZ275" s="1804"/>
      <c r="IA275" s="1804"/>
      <c r="IB275" s="1804"/>
      <c r="IC275" s="1804"/>
      <c r="ID275" s="1804"/>
      <c r="IE275" s="1804"/>
      <c r="IF275" s="1804"/>
      <c r="IG275" s="1804"/>
      <c r="IH275" s="1804"/>
      <c r="II275" s="1804"/>
      <c r="IJ275" s="1804"/>
      <c r="IK275" s="1804"/>
      <c r="IL275" s="1804"/>
      <c r="IM275" s="1804"/>
      <c r="IN275" s="1804"/>
      <c r="IO275" s="1804"/>
      <c r="IP275" s="1804"/>
      <c r="IQ275" s="1804"/>
      <c r="IR275" s="1804"/>
      <c r="IS275" s="1804"/>
      <c r="IT275" s="1804"/>
      <c r="IU275" s="1804"/>
      <c r="IV275" s="1804"/>
      <c r="IW275" s="1804"/>
    </row>
    <row r="276" spans="3:257" s="888" customFormat="1" x14ac:dyDescent="0.45">
      <c r="C276" s="67" t="s">
        <v>537</v>
      </c>
      <c r="D276" s="68" t="s">
        <v>639</v>
      </c>
      <c r="E276" s="69"/>
      <c r="F276" s="110">
        <f t="shared" si="18"/>
        <v>0</v>
      </c>
      <c r="G276" s="110">
        <f t="shared" si="18"/>
        <v>0</v>
      </c>
      <c r="H276" s="110">
        <f t="shared" si="19"/>
        <v>0</v>
      </c>
      <c r="I276" s="110">
        <f t="shared" si="19"/>
        <v>0</v>
      </c>
      <c r="J276" s="110">
        <f t="shared" si="20"/>
        <v>0</v>
      </c>
      <c r="K276" s="110">
        <f t="shared" si="21"/>
        <v>0</v>
      </c>
      <c r="L276" s="111">
        <f t="shared" si="22"/>
        <v>0</v>
      </c>
      <c r="M276" s="110">
        <f t="shared" si="23"/>
        <v>0</v>
      </c>
      <c r="N276" s="93"/>
      <c r="O276" s="110">
        <f t="shared" si="24"/>
        <v>0</v>
      </c>
      <c r="P276" s="110">
        <f t="shared" si="25"/>
        <v>297.8928341811</v>
      </c>
      <c r="Q276" s="110">
        <f t="shared" si="26"/>
        <v>0</v>
      </c>
      <c r="R276" s="110">
        <f t="shared" si="27"/>
        <v>0</v>
      </c>
      <c r="S276" s="110">
        <f t="shared" si="28"/>
        <v>0</v>
      </c>
      <c r="T276" s="110">
        <f t="shared" si="29"/>
        <v>0</v>
      </c>
      <c r="U276" s="111">
        <f t="shared" si="30"/>
        <v>0</v>
      </c>
      <c r="V276" s="110">
        <f t="shared" si="31"/>
        <v>0</v>
      </c>
      <c r="W276" s="93"/>
      <c r="X276" s="110">
        <f t="shared" si="32"/>
        <v>0</v>
      </c>
      <c r="Y276" s="110">
        <f t="shared" si="33"/>
        <v>0</v>
      </c>
      <c r="Z276" s="110">
        <f t="shared" si="34"/>
        <v>0</v>
      </c>
      <c r="AA276" s="110">
        <f t="shared" si="35"/>
        <v>0</v>
      </c>
      <c r="AB276" s="110">
        <f t="shared" si="36"/>
        <v>0</v>
      </c>
      <c r="AC276" s="110">
        <f t="shared" si="37"/>
        <v>0</v>
      </c>
      <c r="AD276" s="110">
        <f t="shared" si="38"/>
        <v>0</v>
      </c>
      <c r="AE276" s="110">
        <f t="shared" si="39"/>
        <v>0</v>
      </c>
      <c r="AF276" s="110">
        <f t="shared" si="40"/>
        <v>0</v>
      </c>
      <c r="AG276" s="110">
        <f t="shared" si="41"/>
        <v>34.043154557662682</v>
      </c>
      <c r="AH276" s="110">
        <f t="shared" si="42"/>
        <v>0</v>
      </c>
      <c r="AI276" s="110">
        <f t="shared" si="43"/>
        <v>0</v>
      </c>
      <c r="AJ276" s="110">
        <f t="shared" si="44"/>
        <v>0</v>
      </c>
      <c r="AK276" s="110">
        <f t="shared" si="45"/>
        <v>331.93598873876266</v>
      </c>
      <c r="AL276" s="110">
        <f t="shared" si="46"/>
        <v>0</v>
      </c>
      <c r="AM276" s="110">
        <f t="shared" si="47"/>
        <v>0</v>
      </c>
      <c r="AN276" s="111">
        <f t="shared" si="48"/>
        <v>331.93598873876266</v>
      </c>
      <c r="AO276" s="1804"/>
      <c r="AP276" s="1804"/>
      <c r="AQ276" s="1804"/>
      <c r="AR276" s="1804"/>
      <c r="AS276" s="1804"/>
      <c r="AT276" s="1804"/>
      <c r="AU276" s="1804"/>
      <c r="AV276" s="1804"/>
      <c r="AW276" s="1804"/>
      <c r="AX276" s="1804"/>
      <c r="AY276" s="1804"/>
      <c r="AZ276" s="1804"/>
      <c r="BA276" s="1804"/>
      <c r="BB276" s="1804"/>
      <c r="BC276" s="1804"/>
      <c r="BD276" s="1804"/>
      <c r="BE276" s="1804"/>
      <c r="BF276" s="1804"/>
      <c r="BG276" s="1804"/>
      <c r="BH276" s="1804"/>
      <c r="BI276" s="1804"/>
      <c r="BJ276" s="1804"/>
      <c r="BK276" s="1804"/>
      <c r="BL276" s="1804"/>
      <c r="BM276" s="1804"/>
      <c r="BN276" s="1804"/>
      <c r="BO276" s="1804"/>
      <c r="BP276" s="1804"/>
      <c r="BQ276" s="1804"/>
      <c r="BR276" s="1804"/>
      <c r="BS276" s="1804"/>
      <c r="BT276" s="1804"/>
      <c r="BU276" s="1804"/>
      <c r="BV276" s="1804"/>
      <c r="BW276" s="1804"/>
      <c r="BX276" s="1804"/>
      <c r="BY276" s="1804"/>
      <c r="BZ276" s="1804"/>
      <c r="CA276" s="1804"/>
      <c r="CB276" s="1804"/>
      <c r="CC276" s="1804"/>
      <c r="CD276" s="1804"/>
      <c r="CE276" s="1804"/>
      <c r="CF276" s="1804"/>
      <c r="CG276" s="1804"/>
      <c r="CH276" s="1804"/>
      <c r="CI276" s="1804"/>
      <c r="CJ276" s="1804"/>
      <c r="CK276" s="1804"/>
      <c r="CL276" s="1804"/>
      <c r="CM276" s="1804"/>
      <c r="CN276" s="1804"/>
      <c r="CO276" s="1804"/>
      <c r="CP276" s="1804"/>
      <c r="CQ276" s="1804"/>
      <c r="CR276" s="1804"/>
      <c r="CS276" s="1804"/>
      <c r="CT276" s="1804"/>
      <c r="CU276" s="1804"/>
      <c r="CV276" s="1804"/>
      <c r="CW276" s="1804"/>
      <c r="CX276" s="1804"/>
      <c r="CY276" s="1804"/>
      <c r="CZ276" s="1804"/>
      <c r="DA276" s="1804"/>
      <c r="DB276" s="1804"/>
      <c r="DC276" s="1804"/>
      <c r="DD276" s="1804"/>
      <c r="DE276" s="1804"/>
      <c r="DF276" s="1804"/>
      <c r="DG276" s="1804"/>
      <c r="DH276" s="1804"/>
      <c r="DI276" s="1804"/>
      <c r="DJ276" s="1804"/>
      <c r="DK276" s="1804"/>
      <c r="DL276" s="1804"/>
      <c r="DM276" s="1804"/>
      <c r="DN276" s="1804"/>
      <c r="DO276" s="1804"/>
      <c r="DP276" s="1804"/>
      <c r="DQ276" s="1804"/>
      <c r="DR276" s="1804"/>
      <c r="DS276" s="1804"/>
      <c r="DT276" s="1804"/>
      <c r="DU276" s="1804"/>
      <c r="DV276" s="1804"/>
      <c r="DW276" s="1804"/>
      <c r="DX276" s="1804"/>
      <c r="DY276" s="1804"/>
      <c r="DZ276" s="1804"/>
      <c r="EA276" s="1804"/>
      <c r="EB276" s="1804"/>
      <c r="EC276" s="1804"/>
      <c r="ED276" s="1804"/>
      <c r="EE276" s="1804"/>
      <c r="EF276" s="1804"/>
      <c r="EG276" s="1804"/>
      <c r="EH276" s="1804"/>
      <c r="EI276" s="1804"/>
      <c r="EJ276" s="1804"/>
      <c r="EK276" s="1804"/>
      <c r="EL276" s="1804"/>
      <c r="EM276" s="1804"/>
      <c r="EN276" s="1804"/>
      <c r="EO276" s="1804"/>
      <c r="EP276" s="1804"/>
      <c r="EQ276" s="1804"/>
      <c r="ER276" s="1804"/>
      <c r="ES276" s="1804"/>
      <c r="ET276" s="1804"/>
      <c r="EU276" s="1804"/>
      <c r="EV276" s="1804"/>
      <c r="EW276" s="1804"/>
      <c r="EX276" s="1804"/>
      <c r="EY276" s="1804"/>
      <c r="EZ276" s="1804"/>
      <c r="FA276" s="1804"/>
      <c r="FB276" s="1804"/>
      <c r="FC276" s="1804"/>
      <c r="FD276" s="1804"/>
      <c r="FE276" s="1804"/>
      <c r="FF276" s="1804"/>
      <c r="FG276" s="1804"/>
      <c r="FH276" s="1804"/>
      <c r="FI276" s="1804"/>
      <c r="FJ276" s="1804"/>
      <c r="FK276" s="1804"/>
      <c r="FL276" s="1804"/>
      <c r="FM276" s="1804"/>
      <c r="FN276" s="1804"/>
      <c r="FO276" s="1804"/>
      <c r="FP276" s="1804"/>
      <c r="FQ276" s="1804"/>
      <c r="FR276" s="1804"/>
      <c r="FS276" s="1804"/>
      <c r="FT276" s="1804"/>
      <c r="FU276" s="1804"/>
      <c r="FV276" s="1804"/>
      <c r="FW276" s="1804"/>
      <c r="FX276" s="1804"/>
      <c r="FY276" s="1804"/>
      <c r="FZ276" s="1804"/>
      <c r="GA276" s="1804"/>
      <c r="GB276" s="1804"/>
      <c r="GC276" s="1804"/>
      <c r="GD276" s="1804"/>
      <c r="GE276" s="1804"/>
      <c r="GF276" s="1804"/>
      <c r="GG276" s="1804"/>
      <c r="GH276" s="1804"/>
      <c r="GI276" s="1804"/>
      <c r="GJ276" s="1804"/>
      <c r="GK276" s="1804"/>
      <c r="GL276" s="1804"/>
      <c r="GM276" s="1804"/>
      <c r="GN276" s="1804"/>
      <c r="GO276" s="1804"/>
      <c r="GP276" s="1804"/>
      <c r="GQ276" s="1804"/>
      <c r="GR276" s="1804"/>
      <c r="GS276" s="1804"/>
      <c r="GT276" s="1804"/>
      <c r="GU276" s="1804"/>
      <c r="GV276" s="1804"/>
      <c r="GW276" s="1804"/>
      <c r="GX276" s="1804"/>
      <c r="GY276" s="1804"/>
      <c r="GZ276" s="1804"/>
      <c r="HA276" s="1804"/>
      <c r="HB276" s="1804"/>
      <c r="HC276" s="1804"/>
      <c r="HD276" s="1804"/>
      <c r="HE276" s="1804"/>
      <c r="HF276" s="1804"/>
      <c r="HG276" s="1804"/>
      <c r="HH276" s="1804"/>
      <c r="HI276" s="1804"/>
      <c r="HJ276" s="1804"/>
      <c r="HK276" s="1804"/>
      <c r="HL276" s="1804"/>
      <c r="HM276" s="1804"/>
      <c r="HN276" s="1804"/>
      <c r="HO276" s="1804"/>
      <c r="HP276" s="1804"/>
      <c r="HQ276" s="1804"/>
      <c r="HR276" s="1804"/>
      <c r="HS276" s="1804"/>
      <c r="HT276" s="1804"/>
      <c r="HU276" s="1804"/>
      <c r="HV276" s="1804"/>
      <c r="HW276" s="1804"/>
      <c r="HX276" s="1804"/>
      <c r="HY276" s="1804"/>
      <c r="HZ276" s="1804"/>
      <c r="IA276" s="1804"/>
      <c r="IB276" s="1804"/>
      <c r="IC276" s="1804"/>
      <c r="ID276" s="1804"/>
      <c r="IE276" s="1804"/>
      <c r="IF276" s="1804"/>
      <c r="IG276" s="1804"/>
      <c r="IH276" s="1804"/>
      <c r="II276" s="1804"/>
      <c r="IJ276" s="1804"/>
      <c r="IK276" s="1804"/>
      <c r="IL276" s="1804"/>
      <c r="IM276" s="1804"/>
      <c r="IN276" s="1804"/>
      <c r="IO276" s="1804"/>
      <c r="IP276" s="1804"/>
      <c r="IQ276" s="1804"/>
      <c r="IR276" s="1804"/>
      <c r="IS276" s="1804"/>
      <c r="IT276" s="1804"/>
      <c r="IU276" s="1804"/>
      <c r="IV276" s="1804"/>
      <c r="IW276" s="1804"/>
    </row>
    <row r="277" spans="3:257" s="888" customFormat="1" x14ac:dyDescent="0.45">
      <c r="C277" s="67" t="s">
        <v>538</v>
      </c>
      <c r="D277" s="68" t="s">
        <v>640</v>
      </c>
      <c r="E277" s="69"/>
      <c r="F277" s="110">
        <f t="shared" si="18"/>
        <v>0</v>
      </c>
      <c r="G277" s="110">
        <f t="shared" si="18"/>
        <v>0</v>
      </c>
      <c r="H277" s="110">
        <f t="shared" si="19"/>
        <v>0</v>
      </c>
      <c r="I277" s="110">
        <f t="shared" si="19"/>
        <v>0</v>
      </c>
      <c r="J277" s="110">
        <f t="shared" si="20"/>
        <v>0</v>
      </c>
      <c r="K277" s="110">
        <f t="shared" si="21"/>
        <v>0</v>
      </c>
      <c r="L277" s="111">
        <f t="shared" si="22"/>
        <v>0</v>
      </c>
      <c r="M277" s="110">
        <f t="shared" si="23"/>
        <v>0</v>
      </c>
      <c r="N277" s="93"/>
      <c r="O277" s="110">
        <f t="shared" si="24"/>
        <v>0</v>
      </c>
      <c r="P277" s="110">
        <f t="shared" si="25"/>
        <v>6817.1066362404681</v>
      </c>
      <c r="Q277" s="110">
        <f t="shared" si="26"/>
        <v>0</v>
      </c>
      <c r="R277" s="110">
        <f t="shared" si="27"/>
        <v>0</v>
      </c>
      <c r="S277" s="110">
        <f t="shared" si="28"/>
        <v>0</v>
      </c>
      <c r="T277" s="110">
        <f t="shared" si="29"/>
        <v>0</v>
      </c>
      <c r="U277" s="111">
        <f t="shared" si="30"/>
        <v>0</v>
      </c>
      <c r="V277" s="110">
        <f t="shared" si="31"/>
        <v>0</v>
      </c>
      <c r="W277" s="93"/>
      <c r="X277" s="110">
        <f t="shared" si="32"/>
        <v>0</v>
      </c>
      <c r="Y277" s="110">
        <f t="shared" si="33"/>
        <v>0</v>
      </c>
      <c r="Z277" s="110">
        <f t="shared" si="34"/>
        <v>0</v>
      </c>
      <c r="AA277" s="110">
        <f t="shared" si="35"/>
        <v>0</v>
      </c>
      <c r="AB277" s="110">
        <f t="shared" si="36"/>
        <v>0</v>
      </c>
      <c r="AC277" s="110">
        <f t="shared" si="37"/>
        <v>0</v>
      </c>
      <c r="AD277" s="110">
        <f t="shared" si="38"/>
        <v>0</v>
      </c>
      <c r="AE277" s="110">
        <f t="shared" si="39"/>
        <v>0</v>
      </c>
      <c r="AF277" s="110">
        <f t="shared" si="40"/>
        <v>0</v>
      </c>
      <c r="AG277" s="110">
        <f t="shared" si="41"/>
        <v>0</v>
      </c>
      <c r="AH277" s="110">
        <f t="shared" si="42"/>
        <v>0</v>
      </c>
      <c r="AI277" s="110">
        <f t="shared" si="43"/>
        <v>0</v>
      </c>
      <c r="AJ277" s="110">
        <f t="shared" si="44"/>
        <v>0</v>
      </c>
      <c r="AK277" s="110">
        <f t="shared" si="45"/>
        <v>6817.1066362404681</v>
      </c>
      <c r="AL277" s="110">
        <f t="shared" si="46"/>
        <v>0</v>
      </c>
      <c r="AM277" s="110">
        <f t="shared" si="47"/>
        <v>0</v>
      </c>
      <c r="AN277" s="111">
        <f t="shared" si="48"/>
        <v>6817.1066362404681</v>
      </c>
      <c r="AO277" s="1804"/>
      <c r="AP277" s="1804"/>
      <c r="AQ277" s="1804"/>
      <c r="AR277" s="1804"/>
      <c r="AS277" s="1804"/>
      <c r="AT277" s="1804"/>
      <c r="AU277" s="1804"/>
      <c r="AV277" s="1804"/>
      <c r="AW277" s="1804"/>
      <c r="AX277" s="1804"/>
      <c r="AY277" s="1804"/>
      <c r="AZ277" s="1804"/>
      <c r="BA277" s="1804"/>
      <c r="BB277" s="1804"/>
      <c r="BC277" s="1804"/>
      <c r="BD277" s="1804"/>
      <c r="BE277" s="1804"/>
      <c r="BF277" s="1804"/>
      <c r="BG277" s="1804"/>
      <c r="BH277" s="1804"/>
      <c r="BI277" s="1804"/>
      <c r="BJ277" s="1804"/>
      <c r="BK277" s="1804"/>
      <c r="BL277" s="1804"/>
      <c r="BM277" s="1804"/>
      <c r="BN277" s="1804"/>
      <c r="BO277" s="1804"/>
      <c r="BP277" s="1804"/>
      <c r="BQ277" s="1804"/>
      <c r="BR277" s="1804"/>
      <c r="BS277" s="1804"/>
      <c r="BT277" s="1804"/>
      <c r="BU277" s="1804"/>
      <c r="BV277" s="1804"/>
      <c r="BW277" s="1804"/>
      <c r="BX277" s="1804"/>
      <c r="BY277" s="1804"/>
      <c r="BZ277" s="1804"/>
      <c r="CA277" s="1804"/>
      <c r="CB277" s="1804"/>
      <c r="CC277" s="1804"/>
      <c r="CD277" s="1804"/>
      <c r="CE277" s="1804"/>
      <c r="CF277" s="1804"/>
      <c r="CG277" s="1804"/>
      <c r="CH277" s="1804"/>
      <c r="CI277" s="1804"/>
      <c r="CJ277" s="1804"/>
      <c r="CK277" s="1804"/>
      <c r="CL277" s="1804"/>
      <c r="CM277" s="1804"/>
      <c r="CN277" s="1804"/>
      <c r="CO277" s="1804"/>
      <c r="CP277" s="1804"/>
      <c r="CQ277" s="1804"/>
      <c r="CR277" s="1804"/>
      <c r="CS277" s="1804"/>
      <c r="CT277" s="1804"/>
      <c r="CU277" s="1804"/>
      <c r="CV277" s="1804"/>
      <c r="CW277" s="1804"/>
      <c r="CX277" s="1804"/>
      <c r="CY277" s="1804"/>
      <c r="CZ277" s="1804"/>
      <c r="DA277" s="1804"/>
      <c r="DB277" s="1804"/>
      <c r="DC277" s="1804"/>
      <c r="DD277" s="1804"/>
      <c r="DE277" s="1804"/>
      <c r="DF277" s="1804"/>
      <c r="DG277" s="1804"/>
      <c r="DH277" s="1804"/>
      <c r="DI277" s="1804"/>
      <c r="DJ277" s="1804"/>
      <c r="DK277" s="1804"/>
      <c r="DL277" s="1804"/>
      <c r="DM277" s="1804"/>
      <c r="DN277" s="1804"/>
      <c r="DO277" s="1804"/>
      <c r="DP277" s="1804"/>
      <c r="DQ277" s="1804"/>
      <c r="DR277" s="1804"/>
      <c r="DS277" s="1804"/>
      <c r="DT277" s="1804"/>
      <c r="DU277" s="1804"/>
      <c r="DV277" s="1804"/>
      <c r="DW277" s="1804"/>
      <c r="DX277" s="1804"/>
      <c r="DY277" s="1804"/>
      <c r="DZ277" s="1804"/>
      <c r="EA277" s="1804"/>
      <c r="EB277" s="1804"/>
      <c r="EC277" s="1804"/>
      <c r="ED277" s="1804"/>
      <c r="EE277" s="1804"/>
      <c r="EF277" s="1804"/>
      <c r="EG277" s="1804"/>
      <c r="EH277" s="1804"/>
      <c r="EI277" s="1804"/>
      <c r="EJ277" s="1804"/>
      <c r="EK277" s="1804"/>
      <c r="EL277" s="1804"/>
      <c r="EM277" s="1804"/>
      <c r="EN277" s="1804"/>
      <c r="EO277" s="1804"/>
      <c r="EP277" s="1804"/>
      <c r="EQ277" s="1804"/>
      <c r="ER277" s="1804"/>
      <c r="ES277" s="1804"/>
      <c r="ET277" s="1804"/>
      <c r="EU277" s="1804"/>
      <c r="EV277" s="1804"/>
      <c r="EW277" s="1804"/>
      <c r="EX277" s="1804"/>
      <c r="EY277" s="1804"/>
      <c r="EZ277" s="1804"/>
      <c r="FA277" s="1804"/>
      <c r="FB277" s="1804"/>
      <c r="FC277" s="1804"/>
      <c r="FD277" s="1804"/>
      <c r="FE277" s="1804"/>
      <c r="FF277" s="1804"/>
      <c r="FG277" s="1804"/>
      <c r="FH277" s="1804"/>
      <c r="FI277" s="1804"/>
      <c r="FJ277" s="1804"/>
      <c r="FK277" s="1804"/>
      <c r="FL277" s="1804"/>
      <c r="FM277" s="1804"/>
      <c r="FN277" s="1804"/>
      <c r="FO277" s="1804"/>
      <c r="FP277" s="1804"/>
      <c r="FQ277" s="1804"/>
      <c r="FR277" s="1804"/>
      <c r="FS277" s="1804"/>
      <c r="FT277" s="1804"/>
      <c r="FU277" s="1804"/>
      <c r="FV277" s="1804"/>
      <c r="FW277" s="1804"/>
      <c r="FX277" s="1804"/>
      <c r="FY277" s="1804"/>
      <c r="FZ277" s="1804"/>
      <c r="GA277" s="1804"/>
      <c r="GB277" s="1804"/>
      <c r="GC277" s="1804"/>
      <c r="GD277" s="1804"/>
      <c r="GE277" s="1804"/>
      <c r="GF277" s="1804"/>
      <c r="GG277" s="1804"/>
      <c r="GH277" s="1804"/>
      <c r="GI277" s="1804"/>
      <c r="GJ277" s="1804"/>
      <c r="GK277" s="1804"/>
      <c r="GL277" s="1804"/>
      <c r="GM277" s="1804"/>
      <c r="GN277" s="1804"/>
      <c r="GO277" s="1804"/>
      <c r="GP277" s="1804"/>
      <c r="GQ277" s="1804"/>
      <c r="GR277" s="1804"/>
      <c r="GS277" s="1804"/>
      <c r="GT277" s="1804"/>
      <c r="GU277" s="1804"/>
      <c r="GV277" s="1804"/>
      <c r="GW277" s="1804"/>
      <c r="GX277" s="1804"/>
      <c r="GY277" s="1804"/>
      <c r="GZ277" s="1804"/>
      <c r="HA277" s="1804"/>
      <c r="HB277" s="1804"/>
      <c r="HC277" s="1804"/>
      <c r="HD277" s="1804"/>
      <c r="HE277" s="1804"/>
      <c r="HF277" s="1804"/>
      <c r="HG277" s="1804"/>
      <c r="HH277" s="1804"/>
      <c r="HI277" s="1804"/>
      <c r="HJ277" s="1804"/>
      <c r="HK277" s="1804"/>
      <c r="HL277" s="1804"/>
      <c r="HM277" s="1804"/>
      <c r="HN277" s="1804"/>
      <c r="HO277" s="1804"/>
      <c r="HP277" s="1804"/>
      <c r="HQ277" s="1804"/>
      <c r="HR277" s="1804"/>
      <c r="HS277" s="1804"/>
      <c r="HT277" s="1804"/>
      <c r="HU277" s="1804"/>
      <c r="HV277" s="1804"/>
      <c r="HW277" s="1804"/>
      <c r="HX277" s="1804"/>
      <c r="HY277" s="1804"/>
      <c r="HZ277" s="1804"/>
      <c r="IA277" s="1804"/>
      <c r="IB277" s="1804"/>
      <c r="IC277" s="1804"/>
      <c r="ID277" s="1804"/>
      <c r="IE277" s="1804"/>
      <c r="IF277" s="1804"/>
      <c r="IG277" s="1804"/>
      <c r="IH277" s="1804"/>
      <c r="II277" s="1804"/>
      <c r="IJ277" s="1804"/>
      <c r="IK277" s="1804"/>
      <c r="IL277" s="1804"/>
      <c r="IM277" s="1804"/>
      <c r="IN277" s="1804"/>
      <c r="IO277" s="1804"/>
      <c r="IP277" s="1804"/>
      <c r="IQ277" s="1804"/>
      <c r="IR277" s="1804"/>
      <c r="IS277" s="1804"/>
      <c r="IT277" s="1804"/>
      <c r="IU277" s="1804"/>
      <c r="IV277" s="1804"/>
      <c r="IW277" s="1804"/>
    </row>
    <row r="278" spans="3:257" s="888" customFormat="1" x14ac:dyDescent="0.45">
      <c r="C278" s="67" t="s">
        <v>539</v>
      </c>
      <c r="D278" s="68" t="s">
        <v>641</v>
      </c>
      <c r="E278" s="69"/>
      <c r="F278" s="110">
        <f t="shared" si="18"/>
        <v>0</v>
      </c>
      <c r="G278" s="110">
        <f t="shared" si="18"/>
        <v>0</v>
      </c>
      <c r="H278" s="110">
        <f t="shared" si="19"/>
        <v>0</v>
      </c>
      <c r="I278" s="110">
        <f t="shared" si="19"/>
        <v>0</v>
      </c>
      <c r="J278" s="110">
        <f t="shared" si="20"/>
        <v>0</v>
      </c>
      <c r="K278" s="110">
        <f t="shared" si="21"/>
        <v>0</v>
      </c>
      <c r="L278" s="111">
        <f t="shared" si="22"/>
        <v>0</v>
      </c>
      <c r="M278" s="110">
        <f t="shared" si="23"/>
        <v>0</v>
      </c>
      <c r="N278" s="93"/>
      <c r="O278" s="110">
        <f t="shared" si="24"/>
        <v>0</v>
      </c>
      <c r="P278" s="110">
        <f t="shared" si="25"/>
        <v>120.20237168711041</v>
      </c>
      <c r="Q278" s="110">
        <f t="shared" si="26"/>
        <v>0</v>
      </c>
      <c r="R278" s="110">
        <f t="shared" si="27"/>
        <v>0</v>
      </c>
      <c r="S278" s="110">
        <f t="shared" si="28"/>
        <v>0</v>
      </c>
      <c r="T278" s="110">
        <f t="shared" si="29"/>
        <v>0</v>
      </c>
      <c r="U278" s="111">
        <f t="shared" si="30"/>
        <v>0</v>
      </c>
      <c r="V278" s="110">
        <f t="shared" si="31"/>
        <v>0</v>
      </c>
      <c r="W278" s="93"/>
      <c r="X278" s="110">
        <f t="shared" si="32"/>
        <v>0</v>
      </c>
      <c r="Y278" s="110">
        <f t="shared" si="33"/>
        <v>0</v>
      </c>
      <c r="Z278" s="110">
        <f t="shared" si="34"/>
        <v>0</v>
      </c>
      <c r="AA278" s="110">
        <f t="shared" si="35"/>
        <v>0</v>
      </c>
      <c r="AB278" s="110">
        <f t="shared" si="36"/>
        <v>0</v>
      </c>
      <c r="AC278" s="110">
        <f t="shared" si="37"/>
        <v>0</v>
      </c>
      <c r="AD278" s="110">
        <f t="shared" si="38"/>
        <v>0</v>
      </c>
      <c r="AE278" s="110">
        <f t="shared" si="39"/>
        <v>0</v>
      </c>
      <c r="AF278" s="110">
        <f t="shared" si="40"/>
        <v>0</v>
      </c>
      <c r="AG278" s="110">
        <f t="shared" si="41"/>
        <v>0</v>
      </c>
      <c r="AH278" s="110">
        <f t="shared" si="42"/>
        <v>0</v>
      </c>
      <c r="AI278" s="110">
        <f t="shared" si="43"/>
        <v>0</v>
      </c>
      <c r="AJ278" s="110">
        <f t="shared" si="44"/>
        <v>0</v>
      </c>
      <c r="AK278" s="110">
        <f t="shared" si="45"/>
        <v>120.20237168711041</v>
      </c>
      <c r="AL278" s="110">
        <f t="shared" si="46"/>
        <v>0</v>
      </c>
      <c r="AM278" s="110">
        <f t="shared" si="47"/>
        <v>0</v>
      </c>
      <c r="AN278" s="111">
        <f t="shared" si="48"/>
        <v>120.20237168711041</v>
      </c>
      <c r="AO278" s="1804"/>
      <c r="AP278" s="1804"/>
      <c r="AQ278" s="1804"/>
      <c r="AR278" s="1804"/>
      <c r="AS278" s="1804"/>
      <c r="AT278" s="1804"/>
      <c r="AU278" s="1804"/>
      <c r="AV278" s="1804"/>
      <c r="AW278" s="1804"/>
      <c r="AX278" s="1804"/>
      <c r="AY278" s="1804"/>
      <c r="AZ278" s="1804"/>
      <c r="BA278" s="1804"/>
      <c r="BB278" s="1804"/>
      <c r="BC278" s="1804"/>
      <c r="BD278" s="1804"/>
      <c r="BE278" s="1804"/>
      <c r="BF278" s="1804"/>
      <c r="BG278" s="1804"/>
      <c r="BH278" s="1804"/>
      <c r="BI278" s="1804"/>
      <c r="BJ278" s="1804"/>
      <c r="BK278" s="1804"/>
      <c r="BL278" s="1804"/>
      <c r="BM278" s="1804"/>
      <c r="BN278" s="1804"/>
      <c r="BO278" s="1804"/>
      <c r="BP278" s="1804"/>
      <c r="BQ278" s="1804"/>
      <c r="BR278" s="1804"/>
      <c r="BS278" s="1804"/>
      <c r="BT278" s="1804"/>
      <c r="BU278" s="1804"/>
      <c r="BV278" s="1804"/>
      <c r="BW278" s="1804"/>
      <c r="BX278" s="1804"/>
      <c r="BY278" s="1804"/>
      <c r="BZ278" s="1804"/>
      <c r="CA278" s="1804"/>
      <c r="CB278" s="1804"/>
      <c r="CC278" s="1804"/>
      <c r="CD278" s="1804"/>
      <c r="CE278" s="1804"/>
      <c r="CF278" s="1804"/>
      <c r="CG278" s="1804"/>
      <c r="CH278" s="1804"/>
      <c r="CI278" s="1804"/>
      <c r="CJ278" s="1804"/>
      <c r="CK278" s="1804"/>
      <c r="CL278" s="1804"/>
      <c r="CM278" s="1804"/>
      <c r="CN278" s="1804"/>
      <c r="CO278" s="1804"/>
      <c r="CP278" s="1804"/>
      <c r="CQ278" s="1804"/>
      <c r="CR278" s="1804"/>
      <c r="CS278" s="1804"/>
      <c r="CT278" s="1804"/>
      <c r="CU278" s="1804"/>
      <c r="CV278" s="1804"/>
      <c r="CW278" s="1804"/>
      <c r="CX278" s="1804"/>
      <c r="CY278" s="1804"/>
      <c r="CZ278" s="1804"/>
      <c r="DA278" s="1804"/>
      <c r="DB278" s="1804"/>
      <c r="DC278" s="1804"/>
      <c r="DD278" s="1804"/>
      <c r="DE278" s="1804"/>
      <c r="DF278" s="1804"/>
      <c r="DG278" s="1804"/>
      <c r="DH278" s="1804"/>
      <c r="DI278" s="1804"/>
      <c r="DJ278" s="1804"/>
      <c r="DK278" s="1804"/>
      <c r="DL278" s="1804"/>
      <c r="DM278" s="1804"/>
      <c r="DN278" s="1804"/>
      <c r="DO278" s="1804"/>
      <c r="DP278" s="1804"/>
      <c r="DQ278" s="1804"/>
      <c r="DR278" s="1804"/>
      <c r="DS278" s="1804"/>
      <c r="DT278" s="1804"/>
      <c r="DU278" s="1804"/>
      <c r="DV278" s="1804"/>
      <c r="DW278" s="1804"/>
      <c r="DX278" s="1804"/>
      <c r="DY278" s="1804"/>
      <c r="DZ278" s="1804"/>
      <c r="EA278" s="1804"/>
      <c r="EB278" s="1804"/>
      <c r="EC278" s="1804"/>
      <c r="ED278" s="1804"/>
      <c r="EE278" s="1804"/>
      <c r="EF278" s="1804"/>
      <c r="EG278" s="1804"/>
      <c r="EH278" s="1804"/>
      <c r="EI278" s="1804"/>
      <c r="EJ278" s="1804"/>
      <c r="EK278" s="1804"/>
      <c r="EL278" s="1804"/>
      <c r="EM278" s="1804"/>
      <c r="EN278" s="1804"/>
      <c r="EO278" s="1804"/>
      <c r="EP278" s="1804"/>
      <c r="EQ278" s="1804"/>
      <c r="ER278" s="1804"/>
      <c r="ES278" s="1804"/>
      <c r="ET278" s="1804"/>
      <c r="EU278" s="1804"/>
      <c r="EV278" s="1804"/>
      <c r="EW278" s="1804"/>
      <c r="EX278" s="1804"/>
      <c r="EY278" s="1804"/>
      <c r="EZ278" s="1804"/>
      <c r="FA278" s="1804"/>
      <c r="FB278" s="1804"/>
      <c r="FC278" s="1804"/>
      <c r="FD278" s="1804"/>
      <c r="FE278" s="1804"/>
      <c r="FF278" s="1804"/>
      <c r="FG278" s="1804"/>
      <c r="FH278" s="1804"/>
      <c r="FI278" s="1804"/>
      <c r="FJ278" s="1804"/>
      <c r="FK278" s="1804"/>
      <c r="FL278" s="1804"/>
      <c r="FM278" s="1804"/>
      <c r="FN278" s="1804"/>
      <c r="FO278" s="1804"/>
      <c r="FP278" s="1804"/>
      <c r="FQ278" s="1804"/>
      <c r="FR278" s="1804"/>
      <c r="FS278" s="1804"/>
      <c r="FT278" s="1804"/>
      <c r="FU278" s="1804"/>
      <c r="FV278" s="1804"/>
      <c r="FW278" s="1804"/>
      <c r="FX278" s="1804"/>
      <c r="FY278" s="1804"/>
      <c r="FZ278" s="1804"/>
      <c r="GA278" s="1804"/>
      <c r="GB278" s="1804"/>
      <c r="GC278" s="1804"/>
      <c r="GD278" s="1804"/>
      <c r="GE278" s="1804"/>
      <c r="GF278" s="1804"/>
      <c r="GG278" s="1804"/>
      <c r="GH278" s="1804"/>
      <c r="GI278" s="1804"/>
      <c r="GJ278" s="1804"/>
      <c r="GK278" s="1804"/>
      <c r="GL278" s="1804"/>
      <c r="GM278" s="1804"/>
      <c r="GN278" s="1804"/>
      <c r="GO278" s="1804"/>
      <c r="GP278" s="1804"/>
      <c r="GQ278" s="1804"/>
      <c r="GR278" s="1804"/>
      <c r="GS278" s="1804"/>
      <c r="GT278" s="1804"/>
      <c r="GU278" s="1804"/>
      <c r="GV278" s="1804"/>
      <c r="GW278" s="1804"/>
      <c r="GX278" s="1804"/>
      <c r="GY278" s="1804"/>
      <c r="GZ278" s="1804"/>
      <c r="HA278" s="1804"/>
      <c r="HB278" s="1804"/>
      <c r="HC278" s="1804"/>
      <c r="HD278" s="1804"/>
      <c r="HE278" s="1804"/>
      <c r="HF278" s="1804"/>
      <c r="HG278" s="1804"/>
      <c r="HH278" s="1804"/>
      <c r="HI278" s="1804"/>
      <c r="HJ278" s="1804"/>
      <c r="HK278" s="1804"/>
      <c r="HL278" s="1804"/>
      <c r="HM278" s="1804"/>
      <c r="HN278" s="1804"/>
      <c r="HO278" s="1804"/>
      <c r="HP278" s="1804"/>
      <c r="HQ278" s="1804"/>
      <c r="HR278" s="1804"/>
      <c r="HS278" s="1804"/>
      <c r="HT278" s="1804"/>
      <c r="HU278" s="1804"/>
      <c r="HV278" s="1804"/>
      <c r="HW278" s="1804"/>
      <c r="HX278" s="1804"/>
      <c r="HY278" s="1804"/>
      <c r="HZ278" s="1804"/>
      <c r="IA278" s="1804"/>
      <c r="IB278" s="1804"/>
      <c r="IC278" s="1804"/>
      <c r="ID278" s="1804"/>
      <c r="IE278" s="1804"/>
      <c r="IF278" s="1804"/>
      <c r="IG278" s="1804"/>
      <c r="IH278" s="1804"/>
      <c r="II278" s="1804"/>
      <c r="IJ278" s="1804"/>
      <c r="IK278" s="1804"/>
      <c r="IL278" s="1804"/>
      <c r="IM278" s="1804"/>
      <c r="IN278" s="1804"/>
      <c r="IO278" s="1804"/>
      <c r="IP278" s="1804"/>
      <c r="IQ278" s="1804"/>
      <c r="IR278" s="1804"/>
      <c r="IS278" s="1804"/>
      <c r="IT278" s="1804"/>
      <c r="IU278" s="1804"/>
      <c r="IV278" s="1804"/>
      <c r="IW278" s="1804"/>
    </row>
    <row r="279" spans="3:257" s="888" customFormat="1" x14ac:dyDescent="0.45">
      <c r="C279" s="67" t="s">
        <v>540</v>
      </c>
      <c r="D279" s="68" t="s">
        <v>642</v>
      </c>
      <c r="E279" s="69"/>
      <c r="F279" s="110">
        <f t="shared" si="18"/>
        <v>0</v>
      </c>
      <c r="G279" s="110">
        <f t="shared" si="18"/>
        <v>15717.479895136081</v>
      </c>
      <c r="H279" s="110">
        <f t="shared" si="19"/>
        <v>0</v>
      </c>
      <c r="I279" s="110">
        <f t="shared" si="19"/>
        <v>0</v>
      </c>
      <c r="J279" s="110">
        <f t="shared" si="20"/>
        <v>0</v>
      </c>
      <c r="K279" s="110">
        <f t="shared" si="21"/>
        <v>0</v>
      </c>
      <c r="L279" s="111">
        <f t="shared" si="22"/>
        <v>0</v>
      </c>
      <c r="M279" s="110">
        <f t="shared" si="23"/>
        <v>0</v>
      </c>
      <c r="N279" s="93"/>
      <c r="O279" s="110">
        <f t="shared" si="24"/>
        <v>0</v>
      </c>
      <c r="P279" s="110">
        <f t="shared" si="25"/>
        <v>0</v>
      </c>
      <c r="Q279" s="110">
        <f t="shared" si="26"/>
        <v>0</v>
      </c>
      <c r="R279" s="110">
        <f t="shared" si="27"/>
        <v>0</v>
      </c>
      <c r="S279" s="110">
        <f t="shared" si="28"/>
        <v>0</v>
      </c>
      <c r="T279" s="110">
        <f t="shared" si="29"/>
        <v>0</v>
      </c>
      <c r="U279" s="111">
        <f t="shared" si="30"/>
        <v>0</v>
      </c>
      <c r="V279" s="110">
        <f t="shared" si="31"/>
        <v>0</v>
      </c>
      <c r="W279" s="93"/>
      <c r="X279" s="110">
        <f t="shared" si="32"/>
        <v>0</v>
      </c>
      <c r="Y279" s="110">
        <f t="shared" si="33"/>
        <v>0</v>
      </c>
      <c r="Z279" s="110">
        <f t="shared" si="34"/>
        <v>0</v>
      </c>
      <c r="AA279" s="110">
        <f t="shared" si="35"/>
        <v>0</v>
      </c>
      <c r="AB279" s="110">
        <f t="shared" si="36"/>
        <v>0</v>
      </c>
      <c r="AC279" s="110">
        <f t="shared" si="37"/>
        <v>0</v>
      </c>
      <c r="AD279" s="110">
        <f t="shared" si="38"/>
        <v>0</v>
      </c>
      <c r="AE279" s="110">
        <f t="shared" si="39"/>
        <v>0</v>
      </c>
      <c r="AF279" s="110">
        <f t="shared" si="40"/>
        <v>0</v>
      </c>
      <c r="AG279" s="110">
        <f t="shared" si="41"/>
        <v>0</v>
      </c>
      <c r="AH279" s="110">
        <f t="shared" si="42"/>
        <v>0</v>
      </c>
      <c r="AI279" s="110">
        <f t="shared" si="43"/>
        <v>0</v>
      </c>
      <c r="AJ279" s="110">
        <f t="shared" si="44"/>
        <v>0</v>
      </c>
      <c r="AK279" s="110">
        <f t="shared" si="45"/>
        <v>15717.479895136081</v>
      </c>
      <c r="AL279" s="110">
        <f t="shared" si="46"/>
        <v>0</v>
      </c>
      <c r="AM279" s="110">
        <f t="shared" si="47"/>
        <v>0</v>
      </c>
      <c r="AN279" s="111">
        <f t="shared" si="48"/>
        <v>15717.479895136081</v>
      </c>
      <c r="AO279" s="1804"/>
      <c r="AP279" s="1804"/>
      <c r="AQ279" s="1804"/>
      <c r="AR279" s="1804"/>
      <c r="AS279" s="1804"/>
      <c r="AT279" s="1804"/>
      <c r="AU279" s="1804"/>
      <c r="AV279" s="1804"/>
      <c r="AW279" s="1804"/>
      <c r="AX279" s="1804"/>
      <c r="AY279" s="1804"/>
      <c r="AZ279" s="1804"/>
      <c r="BA279" s="1804"/>
      <c r="BB279" s="1804"/>
      <c r="BC279" s="1804"/>
      <c r="BD279" s="1804"/>
      <c r="BE279" s="1804"/>
      <c r="BF279" s="1804"/>
      <c r="BG279" s="1804"/>
      <c r="BH279" s="1804"/>
      <c r="BI279" s="1804"/>
      <c r="BJ279" s="1804"/>
      <c r="BK279" s="1804"/>
      <c r="BL279" s="1804"/>
      <c r="BM279" s="1804"/>
      <c r="BN279" s="1804"/>
      <c r="BO279" s="1804"/>
      <c r="BP279" s="1804"/>
      <c r="BQ279" s="1804"/>
      <c r="BR279" s="1804"/>
      <c r="BS279" s="1804"/>
      <c r="BT279" s="1804"/>
      <c r="BU279" s="1804"/>
      <c r="BV279" s="1804"/>
      <c r="BW279" s="1804"/>
      <c r="BX279" s="1804"/>
      <c r="BY279" s="1804"/>
      <c r="BZ279" s="1804"/>
      <c r="CA279" s="1804"/>
      <c r="CB279" s="1804"/>
      <c r="CC279" s="1804"/>
      <c r="CD279" s="1804"/>
      <c r="CE279" s="1804"/>
      <c r="CF279" s="1804"/>
      <c r="CG279" s="1804"/>
      <c r="CH279" s="1804"/>
      <c r="CI279" s="1804"/>
      <c r="CJ279" s="1804"/>
      <c r="CK279" s="1804"/>
      <c r="CL279" s="1804"/>
      <c r="CM279" s="1804"/>
      <c r="CN279" s="1804"/>
      <c r="CO279" s="1804"/>
      <c r="CP279" s="1804"/>
      <c r="CQ279" s="1804"/>
      <c r="CR279" s="1804"/>
      <c r="CS279" s="1804"/>
      <c r="CT279" s="1804"/>
      <c r="CU279" s="1804"/>
      <c r="CV279" s="1804"/>
      <c r="CW279" s="1804"/>
      <c r="CX279" s="1804"/>
      <c r="CY279" s="1804"/>
      <c r="CZ279" s="1804"/>
      <c r="DA279" s="1804"/>
      <c r="DB279" s="1804"/>
      <c r="DC279" s="1804"/>
      <c r="DD279" s="1804"/>
      <c r="DE279" s="1804"/>
      <c r="DF279" s="1804"/>
      <c r="DG279" s="1804"/>
      <c r="DH279" s="1804"/>
      <c r="DI279" s="1804"/>
      <c r="DJ279" s="1804"/>
      <c r="DK279" s="1804"/>
      <c r="DL279" s="1804"/>
      <c r="DM279" s="1804"/>
      <c r="DN279" s="1804"/>
      <c r="DO279" s="1804"/>
      <c r="DP279" s="1804"/>
      <c r="DQ279" s="1804"/>
      <c r="DR279" s="1804"/>
      <c r="DS279" s="1804"/>
      <c r="DT279" s="1804"/>
      <c r="DU279" s="1804"/>
      <c r="DV279" s="1804"/>
      <c r="DW279" s="1804"/>
      <c r="DX279" s="1804"/>
      <c r="DY279" s="1804"/>
      <c r="DZ279" s="1804"/>
      <c r="EA279" s="1804"/>
      <c r="EB279" s="1804"/>
      <c r="EC279" s="1804"/>
      <c r="ED279" s="1804"/>
      <c r="EE279" s="1804"/>
      <c r="EF279" s="1804"/>
      <c r="EG279" s="1804"/>
      <c r="EH279" s="1804"/>
      <c r="EI279" s="1804"/>
      <c r="EJ279" s="1804"/>
      <c r="EK279" s="1804"/>
      <c r="EL279" s="1804"/>
      <c r="EM279" s="1804"/>
      <c r="EN279" s="1804"/>
      <c r="EO279" s="1804"/>
      <c r="EP279" s="1804"/>
      <c r="EQ279" s="1804"/>
      <c r="ER279" s="1804"/>
      <c r="ES279" s="1804"/>
      <c r="ET279" s="1804"/>
      <c r="EU279" s="1804"/>
      <c r="EV279" s="1804"/>
      <c r="EW279" s="1804"/>
      <c r="EX279" s="1804"/>
      <c r="EY279" s="1804"/>
      <c r="EZ279" s="1804"/>
      <c r="FA279" s="1804"/>
      <c r="FB279" s="1804"/>
      <c r="FC279" s="1804"/>
      <c r="FD279" s="1804"/>
      <c r="FE279" s="1804"/>
      <c r="FF279" s="1804"/>
      <c r="FG279" s="1804"/>
      <c r="FH279" s="1804"/>
      <c r="FI279" s="1804"/>
      <c r="FJ279" s="1804"/>
      <c r="FK279" s="1804"/>
      <c r="FL279" s="1804"/>
      <c r="FM279" s="1804"/>
      <c r="FN279" s="1804"/>
      <c r="FO279" s="1804"/>
      <c r="FP279" s="1804"/>
      <c r="FQ279" s="1804"/>
      <c r="FR279" s="1804"/>
      <c r="FS279" s="1804"/>
      <c r="FT279" s="1804"/>
      <c r="FU279" s="1804"/>
      <c r="FV279" s="1804"/>
      <c r="FW279" s="1804"/>
      <c r="FX279" s="1804"/>
      <c r="FY279" s="1804"/>
      <c r="FZ279" s="1804"/>
      <c r="GA279" s="1804"/>
      <c r="GB279" s="1804"/>
      <c r="GC279" s="1804"/>
      <c r="GD279" s="1804"/>
      <c r="GE279" s="1804"/>
      <c r="GF279" s="1804"/>
      <c r="GG279" s="1804"/>
      <c r="GH279" s="1804"/>
      <c r="GI279" s="1804"/>
      <c r="GJ279" s="1804"/>
      <c r="GK279" s="1804"/>
      <c r="GL279" s="1804"/>
      <c r="GM279" s="1804"/>
      <c r="GN279" s="1804"/>
      <c r="GO279" s="1804"/>
      <c r="GP279" s="1804"/>
      <c r="GQ279" s="1804"/>
      <c r="GR279" s="1804"/>
      <c r="GS279" s="1804"/>
      <c r="GT279" s="1804"/>
      <c r="GU279" s="1804"/>
      <c r="GV279" s="1804"/>
      <c r="GW279" s="1804"/>
      <c r="GX279" s="1804"/>
      <c r="GY279" s="1804"/>
      <c r="GZ279" s="1804"/>
      <c r="HA279" s="1804"/>
      <c r="HB279" s="1804"/>
      <c r="HC279" s="1804"/>
      <c r="HD279" s="1804"/>
      <c r="HE279" s="1804"/>
      <c r="HF279" s="1804"/>
      <c r="HG279" s="1804"/>
      <c r="HH279" s="1804"/>
      <c r="HI279" s="1804"/>
      <c r="HJ279" s="1804"/>
      <c r="HK279" s="1804"/>
      <c r="HL279" s="1804"/>
      <c r="HM279" s="1804"/>
      <c r="HN279" s="1804"/>
      <c r="HO279" s="1804"/>
      <c r="HP279" s="1804"/>
      <c r="HQ279" s="1804"/>
      <c r="HR279" s="1804"/>
      <c r="HS279" s="1804"/>
      <c r="HT279" s="1804"/>
      <c r="HU279" s="1804"/>
      <c r="HV279" s="1804"/>
      <c r="HW279" s="1804"/>
      <c r="HX279" s="1804"/>
      <c r="HY279" s="1804"/>
      <c r="HZ279" s="1804"/>
      <c r="IA279" s="1804"/>
      <c r="IB279" s="1804"/>
      <c r="IC279" s="1804"/>
      <c r="ID279" s="1804"/>
      <c r="IE279" s="1804"/>
      <c r="IF279" s="1804"/>
      <c r="IG279" s="1804"/>
      <c r="IH279" s="1804"/>
      <c r="II279" s="1804"/>
      <c r="IJ279" s="1804"/>
      <c r="IK279" s="1804"/>
      <c r="IL279" s="1804"/>
      <c r="IM279" s="1804"/>
      <c r="IN279" s="1804"/>
      <c r="IO279" s="1804"/>
      <c r="IP279" s="1804"/>
      <c r="IQ279" s="1804"/>
      <c r="IR279" s="1804"/>
      <c r="IS279" s="1804"/>
      <c r="IT279" s="1804"/>
      <c r="IU279" s="1804"/>
      <c r="IV279" s="1804"/>
      <c r="IW279" s="1804"/>
    </row>
    <row r="280" spans="3:257" s="888" customFormat="1" x14ac:dyDescent="0.45">
      <c r="C280" s="67" t="s">
        <v>541</v>
      </c>
      <c r="D280" s="68" t="s">
        <v>643</v>
      </c>
      <c r="E280" s="69"/>
      <c r="F280" s="110">
        <f t="shared" si="18"/>
        <v>0</v>
      </c>
      <c r="G280" s="110">
        <f t="shared" si="18"/>
        <v>0</v>
      </c>
      <c r="H280" s="110">
        <f t="shared" si="19"/>
        <v>0</v>
      </c>
      <c r="I280" s="110">
        <f t="shared" si="19"/>
        <v>0</v>
      </c>
      <c r="J280" s="110">
        <f t="shared" si="20"/>
        <v>0</v>
      </c>
      <c r="K280" s="110">
        <f t="shared" si="21"/>
        <v>0</v>
      </c>
      <c r="L280" s="111">
        <f t="shared" si="22"/>
        <v>0</v>
      </c>
      <c r="M280" s="110">
        <f t="shared" si="23"/>
        <v>0</v>
      </c>
      <c r="N280" s="93"/>
      <c r="O280" s="110">
        <f t="shared" si="24"/>
        <v>0</v>
      </c>
      <c r="P280" s="110">
        <f t="shared" si="25"/>
        <v>0</v>
      </c>
      <c r="Q280" s="110">
        <f t="shared" si="26"/>
        <v>0</v>
      </c>
      <c r="R280" s="110">
        <f t="shared" si="27"/>
        <v>0</v>
      </c>
      <c r="S280" s="110">
        <f t="shared" si="28"/>
        <v>0</v>
      </c>
      <c r="T280" s="110">
        <f t="shared" si="29"/>
        <v>0</v>
      </c>
      <c r="U280" s="111">
        <f t="shared" si="30"/>
        <v>0</v>
      </c>
      <c r="V280" s="110">
        <f t="shared" si="31"/>
        <v>0</v>
      </c>
      <c r="W280" s="93"/>
      <c r="X280" s="110">
        <f t="shared" si="32"/>
        <v>0</v>
      </c>
      <c r="Y280" s="110">
        <f t="shared" si="33"/>
        <v>0</v>
      </c>
      <c r="Z280" s="110">
        <f t="shared" si="34"/>
        <v>0</v>
      </c>
      <c r="AA280" s="110">
        <f t="shared" si="35"/>
        <v>0</v>
      </c>
      <c r="AB280" s="110">
        <f t="shared" si="36"/>
        <v>0</v>
      </c>
      <c r="AC280" s="110">
        <f t="shared" si="37"/>
        <v>0</v>
      </c>
      <c r="AD280" s="110">
        <f t="shared" si="38"/>
        <v>0</v>
      </c>
      <c r="AE280" s="110">
        <f t="shared" si="39"/>
        <v>0</v>
      </c>
      <c r="AF280" s="110">
        <f t="shared" si="40"/>
        <v>0</v>
      </c>
      <c r="AG280" s="110">
        <f t="shared" si="41"/>
        <v>0</v>
      </c>
      <c r="AH280" s="110">
        <f t="shared" si="42"/>
        <v>0</v>
      </c>
      <c r="AI280" s="110">
        <f t="shared" si="43"/>
        <v>0</v>
      </c>
      <c r="AJ280" s="110">
        <f t="shared" si="44"/>
        <v>0</v>
      </c>
      <c r="AK280" s="110">
        <f t="shared" si="45"/>
        <v>0</v>
      </c>
      <c r="AL280" s="110">
        <f t="shared" si="46"/>
        <v>0</v>
      </c>
      <c r="AM280" s="110">
        <f t="shared" si="47"/>
        <v>0</v>
      </c>
      <c r="AN280" s="111">
        <f t="shared" si="48"/>
        <v>0</v>
      </c>
      <c r="AO280" s="1804"/>
      <c r="AP280" s="1804"/>
      <c r="AQ280" s="1804"/>
      <c r="AR280" s="1804"/>
      <c r="AS280" s="1804"/>
      <c r="AT280" s="1804"/>
      <c r="AU280" s="1804"/>
      <c r="AV280" s="1804"/>
      <c r="AW280" s="1804"/>
      <c r="AX280" s="1804"/>
      <c r="AY280" s="1804"/>
      <c r="AZ280" s="1804"/>
      <c r="BA280" s="1804"/>
      <c r="BB280" s="1804"/>
      <c r="BC280" s="1804"/>
      <c r="BD280" s="1804"/>
      <c r="BE280" s="1804"/>
      <c r="BF280" s="1804"/>
      <c r="BG280" s="1804"/>
      <c r="BH280" s="1804"/>
      <c r="BI280" s="1804"/>
      <c r="BJ280" s="1804"/>
      <c r="BK280" s="1804"/>
      <c r="BL280" s="1804"/>
      <c r="BM280" s="1804"/>
      <c r="BN280" s="1804"/>
      <c r="BO280" s="1804"/>
      <c r="BP280" s="1804"/>
      <c r="BQ280" s="1804"/>
      <c r="BR280" s="1804"/>
      <c r="BS280" s="1804"/>
      <c r="BT280" s="1804"/>
      <c r="BU280" s="1804"/>
      <c r="BV280" s="1804"/>
      <c r="BW280" s="1804"/>
      <c r="BX280" s="1804"/>
      <c r="BY280" s="1804"/>
      <c r="BZ280" s="1804"/>
      <c r="CA280" s="1804"/>
      <c r="CB280" s="1804"/>
      <c r="CC280" s="1804"/>
      <c r="CD280" s="1804"/>
      <c r="CE280" s="1804"/>
      <c r="CF280" s="1804"/>
      <c r="CG280" s="1804"/>
      <c r="CH280" s="1804"/>
      <c r="CI280" s="1804"/>
      <c r="CJ280" s="1804"/>
      <c r="CK280" s="1804"/>
      <c r="CL280" s="1804"/>
      <c r="CM280" s="1804"/>
      <c r="CN280" s="1804"/>
      <c r="CO280" s="1804"/>
      <c r="CP280" s="1804"/>
      <c r="CQ280" s="1804"/>
      <c r="CR280" s="1804"/>
      <c r="CS280" s="1804"/>
      <c r="CT280" s="1804"/>
      <c r="CU280" s="1804"/>
      <c r="CV280" s="1804"/>
      <c r="CW280" s="1804"/>
      <c r="CX280" s="1804"/>
      <c r="CY280" s="1804"/>
      <c r="CZ280" s="1804"/>
      <c r="DA280" s="1804"/>
      <c r="DB280" s="1804"/>
      <c r="DC280" s="1804"/>
      <c r="DD280" s="1804"/>
      <c r="DE280" s="1804"/>
      <c r="DF280" s="1804"/>
      <c r="DG280" s="1804"/>
      <c r="DH280" s="1804"/>
      <c r="DI280" s="1804"/>
      <c r="DJ280" s="1804"/>
      <c r="DK280" s="1804"/>
      <c r="DL280" s="1804"/>
      <c r="DM280" s="1804"/>
      <c r="DN280" s="1804"/>
      <c r="DO280" s="1804"/>
      <c r="DP280" s="1804"/>
      <c r="DQ280" s="1804"/>
      <c r="DR280" s="1804"/>
      <c r="DS280" s="1804"/>
      <c r="DT280" s="1804"/>
      <c r="DU280" s="1804"/>
      <c r="DV280" s="1804"/>
      <c r="DW280" s="1804"/>
      <c r="DX280" s="1804"/>
      <c r="DY280" s="1804"/>
      <c r="DZ280" s="1804"/>
      <c r="EA280" s="1804"/>
      <c r="EB280" s="1804"/>
      <c r="EC280" s="1804"/>
      <c r="ED280" s="1804"/>
      <c r="EE280" s="1804"/>
      <c r="EF280" s="1804"/>
      <c r="EG280" s="1804"/>
      <c r="EH280" s="1804"/>
      <c r="EI280" s="1804"/>
      <c r="EJ280" s="1804"/>
      <c r="EK280" s="1804"/>
      <c r="EL280" s="1804"/>
      <c r="EM280" s="1804"/>
      <c r="EN280" s="1804"/>
      <c r="EO280" s="1804"/>
      <c r="EP280" s="1804"/>
      <c r="EQ280" s="1804"/>
      <c r="ER280" s="1804"/>
      <c r="ES280" s="1804"/>
      <c r="ET280" s="1804"/>
      <c r="EU280" s="1804"/>
      <c r="EV280" s="1804"/>
      <c r="EW280" s="1804"/>
      <c r="EX280" s="1804"/>
      <c r="EY280" s="1804"/>
      <c r="EZ280" s="1804"/>
      <c r="FA280" s="1804"/>
      <c r="FB280" s="1804"/>
      <c r="FC280" s="1804"/>
      <c r="FD280" s="1804"/>
      <c r="FE280" s="1804"/>
      <c r="FF280" s="1804"/>
      <c r="FG280" s="1804"/>
      <c r="FH280" s="1804"/>
      <c r="FI280" s="1804"/>
      <c r="FJ280" s="1804"/>
      <c r="FK280" s="1804"/>
      <c r="FL280" s="1804"/>
      <c r="FM280" s="1804"/>
      <c r="FN280" s="1804"/>
      <c r="FO280" s="1804"/>
      <c r="FP280" s="1804"/>
      <c r="FQ280" s="1804"/>
      <c r="FR280" s="1804"/>
      <c r="FS280" s="1804"/>
      <c r="FT280" s="1804"/>
      <c r="FU280" s="1804"/>
      <c r="FV280" s="1804"/>
      <c r="FW280" s="1804"/>
      <c r="FX280" s="1804"/>
      <c r="FY280" s="1804"/>
      <c r="FZ280" s="1804"/>
      <c r="GA280" s="1804"/>
      <c r="GB280" s="1804"/>
      <c r="GC280" s="1804"/>
      <c r="GD280" s="1804"/>
      <c r="GE280" s="1804"/>
      <c r="GF280" s="1804"/>
      <c r="GG280" s="1804"/>
      <c r="GH280" s="1804"/>
      <c r="GI280" s="1804"/>
      <c r="GJ280" s="1804"/>
      <c r="GK280" s="1804"/>
      <c r="GL280" s="1804"/>
      <c r="GM280" s="1804"/>
      <c r="GN280" s="1804"/>
      <c r="GO280" s="1804"/>
      <c r="GP280" s="1804"/>
      <c r="GQ280" s="1804"/>
      <c r="GR280" s="1804"/>
      <c r="GS280" s="1804"/>
      <c r="GT280" s="1804"/>
      <c r="GU280" s="1804"/>
      <c r="GV280" s="1804"/>
      <c r="GW280" s="1804"/>
      <c r="GX280" s="1804"/>
      <c r="GY280" s="1804"/>
      <c r="GZ280" s="1804"/>
      <c r="HA280" s="1804"/>
      <c r="HB280" s="1804"/>
      <c r="HC280" s="1804"/>
      <c r="HD280" s="1804"/>
      <c r="HE280" s="1804"/>
      <c r="HF280" s="1804"/>
      <c r="HG280" s="1804"/>
      <c r="HH280" s="1804"/>
      <c r="HI280" s="1804"/>
      <c r="HJ280" s="1804"/>
      <c r="HK280" s="1804"/>
      <c r="HL280" s="1804"/>
      <c r="HM280" s="1804"/>
      <c r="HN280" s="1804"/>
      <c r="HO280" s="1804"/>
      <c r="HP280" s="1804"/>
      <c r="HQ280" s="1804"/>
      <c r="HR280" s="1804"/>
      <c r="HS280" s="1804"/>
      <c r="HT280" s="1804"/>
      <c r="HU280" s="1804"/>
      <c r="HV280" s="1804"/>
      <c r="HW280" s="1804"/>
      <c r="HX280" s="1804"/>
      <c r="HY280" s="1804"/>
      <c r="HZ280" s="1804"/>
      <c r="IA280" s="1804"/>
      <c r="IB280" s="1804"/>
      <c r="IC280" s="1804"/>
      <c r="ID280" s="1804"/>
      <c r="IE280" s="1804"/>
      <c r="IF280" s="1804"/>
      <c r="IG280" s="1804"/>
      <c r="IH280" s="1804"/>
      <c r="II280" s="1804"/>
      <c r="IJ280" s="1804"/>
      <c r="IK280" s="1804"/>
      <c r="IL280" s="1804"/>
      <c r="IM280" s="1804"/>
      <c r="IN280" s="1804"/>
      <c r="IO280" s="1804"/>
      <c r="IP280" s="1804"/>
      <c r="IQ280" s="1804"/>
      <c r="IR280" s="1804"/>
      <c r="IS280" s="1804"/>
      <c r="IT280" s="1804"/>
      <c r="IU280" s="1804"/>
      <c r="IV280" s="1804"/>
      <c r="IW280" s="1804"/>
    </row>
    <row r="281" spans="3:257" s="888" customFormat="1" x14ac:dyDescent="0.45">
      <c r="C281" s="67" t="s">
        <v>542</v>
      </c>
      <c r="D281" s="68" t="s">
        <v>644</v>
      </c>
      <c r="E281" s="69"/>
      <c r="F281" s="110">
        <f t="shared" si="18"/>
        <v>0</v>
      </c>
      <c r="G281" s="110">
        <f t="shared" si="18"/>
        <v>0</v>
      </c>
      <c r="H281" s="110">
        <f t="shared" si="19"/>
        <v>0</v>
      </c>
      <c r="I281" s="110">
        <f t="shared" si="19"/>
        <v>0</v>
      </c>
      <c r="J281" s="110">
        <f t="shared" si="20"/>
        <v>0</v>
      </c>
      <c r="K281" s="110">
        <f t="shared" si="21"/>
        <v>0</v>
      </c>
      <c r="L281" s="111">
        <f t="shared" si="22"/>
        <v>0</v>
      </c>
      <c r="M281" s="110">
        <f t="shared" si="23"/>
        <v>0</v>
      </c>
      <c r="N281" s="93"/>
      <c r="O281" s="110">
        <f t="shared" si="24"/>
        <v>0</v>
      </c>
      <c r="P281" s="110">
        <f t="shared" si="25"/>
        <v>0</v>
      </c>
      <c r="Q281" s="110">
        <f t="shared" si="26"/>
        <v>0</v>
      </c>
      <c r="R281" s="110">
        <f t="shared" si="27"/>
        <v>0</v>
      </c>
      <c r="S281" s="110">
        <f t="shared" si="28"/>
        <v>0</v>
      </c>
      <c r="T281" s="110">
        <f t="shared" si="29"/>
        <v>0</v>
      </c>
      <c r="U281" s="111">
        <f t="shared" si="30"/>
        <v>0</v>
      </c>
      <c r="V281" s="110">
        <f t="shared" si="31"/>
        <v>0</v>
      </c>
      <c r="W281" s="93"/>
      <c r="X281" s="110">
        <f t="shared" si="32"/>
        <v>0</v>
      </c>
      <c r="Y281" s="110">
        <f t="shared" si="33"/>
        <v>0</v>
      </c>
      <c r="Z281" s="110">
        <f t="shared" si="34"/>
        <v>0</v>
      </c>
      <c r="AA281" s="110">
        <f t="shared" si="35"/>
        <v>0</v>
      </c>
      <c r="AB281" s="110">
        <f t="shared" si="36"/>
        <v>0</v>
      </c>
      <c r="AC281" s="110">
        <f t="shared" si="37"/>
        <v>239.31699690498422</v>
      </c>
      <c r="AD281" s="110">
        <f t="shared" si="38"/>
        <v>0</v>
      </c>
      <c r="AE281" s="110">
        <f t="shared" si="39"/>
        <v>0</v>
      </c>
      <c r="AF281" s="110">
        <f t="shared" si="40"/>
        <v>0</v>
      </c>
      <c r="AG281" s="110">
        <f t="shared" si="41"/>
        <v>0</v>
      </c>
      <c r="AH281" s="110">
        <f t="shared" si="42"/>
        <v>0</v>
      </c>
      <c r="AI281" s="110">
        <f t="shared" si="43"/>
        <v>0</v>
      </c>
      <c r="AJ281" s="110">
        <f t="shared" si="44"/>
        <v>0</v>
      </c>
      <c r="AK281" s="110">
        <f t="shared" si="45"/>
        <v>239.31699690498422</v>
      </c>
      <c r="AL281" s="110">
        <f t="shared" si="46"/>
        <v>0</v>
      </c>
      <c r="AM281" s="110">
        <f t="shared" si="47"/>
        <v>0</v>
      </c>
      <c r="AN281" s="111">
        <f t="shared" si="48"/>
        <v>239.31699690498422</v>
      </c>
      <c r="AO281" s="1804"/>
      <c r="AP281" s="1804"/>
      <c r="AQ281" s="1804"/>
      <c r="AR281" s="1804"/>
      <c r="AS281" s="1804"/>
      <c r="AT281" s="1804"/>
      <c r="AU281" s="1804"/>
      <c r="AV281" s="1804"/>
      <c r="AW281" s="1804"/>
      <c r="AX281" s="1804"/>
      <c r="AY281" s="1804"/>
      <c r="AZ281" s="1804"/>
      <c r="BA281" s="1804"/>
      <c r="BB281" s="1804"/>
      <c r="BC281" s="1804"/>
      <c r="BD281" s="1804"/>
      <c r="BE281" s="1804"/>
      <c r="BF281" s="1804"/>
      <c r="BG281" s="1804"/>
      <c r="BH281" s="1804"/>
      <c r="BI281" s="1804"/>
      <c r="BJ281" s="1804"/>
      <c r="BK281" s="1804"/>
      <c r="BL281" s="1804"/>
      <c r="BM281" s="1804"/>
      <c r="BN281" s="1804"/>
      <c r="BO281" s="1804"/>
      <c r="BP281" s="1804"/>
      <c r="BQ281" s="1804"/>
      <c r="BR281" s="1804"/>
      <c r="BS281" s="1804"/>
      <c r="BT281" s="1804"/>
      <c r="BU281" s="1804"/>
      <c r="BV281" s="1804"/>
      <c r="BW281" s="1804"/>
      <c r="BX281" s="1804"/>
      <c r="BY281" s="1804"/>
      <c r="BZ281" s="1804"/>
      <c r="CA281" s="1804"/>
      <c r="CB281" s="1804"/>
      <c r="CC281" s="1804"/>
      <c r="CD281" s="1804"/>
      <c r="CE281" s="1804"/>
      <c r="CF281" s="1804"/>
      <c r="CG281" s="1804"/>
      <c r="CH281" s="1804"/>
      <c r="CI281" s="1804"/>
      <c r="CJ281" s="1804"/>
      <c r="CK281" s="1804"/>
      <c r="CL281" s="1804"/>
      <c r="CM281" s="1804"/>
      <c r="CN281" s="1804"/>
      <c r="CO281" s="1804"/>
      <c r="CP281" s="1804"/>
      <c r="CQ281" s="1804"/>
      <c r="CR281" s="1804"/>
      <c r="CS281" s="1804"/>
      <c r="CT281" s="1804"/>
      <c r="CU281" s="1804"/>
      <c r="CV281" s="1804"/>
      <c r="CW281" s="1804"/>
      <c r="CX281" s="1804"/>
      <c r="CY281" s="1804"/>
      <c r="CZ281" s="1804"/>
      <c r="DA281" s="1804"/>
      <c r="DB281" s="1804"/>
      <c r="DC281" s="1804"/>
      <c r="DD281" s="1804"/>
      <c r="DE281" s="1804"/>
      <c r="DF281" s="1804"/>
      <c r="DG281" s="1804"/>
      <c r="DH281" s="1804"/>
      <c r="DI281" s="1804"/>
      <c r="DJ281" s="1804"/>
      <c r="DK281" s="1804"/>
      <c r="DL281" s="1804"/>
      <c r="DM281" s="1804"/>
      <c r="DN281" s="1804"/>
      <c r="DO281" s="1804"/>
      <c r="DP281" s="1804"/>
      <c r="DQ281" s="1804"/>
      <c r="DR281" s="1804"/>
      <c r="DS281" s="1804"/>
      <c r="DT281" s="1804"/>
      <c r="DU281" s="1804"/>
      <c r="DV281" s="1804"/>
      <c r="DW281" s="1804"/>
      <c r="DX281" s="1804"/>
      <c r="DY281" s="1804"/>
      <c r="DZ281" s="1804"/>
      <c r="EA281" s="1804"/>
      <c r="EB281" s="1804"/>
      <c r="EC281" s="1804"/>
      <c r="ED281" s="1804"/>
      <c r="EE281" s="1804"/>
      <c r="EF281" s="1804"/>
      <c r="EG281" s="1804"/>
      <c r="EH281" s="1804"/>
      <c r="EI281" s="1804"/>
      <c r="EJ281" s="1804"/>
      <c r="EK281" s="1804"/>
      <c r="EL281" s="1804"/>
      <c r="EM281" s="1804"/>
      <c r="EN281" s="1804"/>
      <c r="EO281" s="1804"/>
      <c r="EP281" s="1804"/>
      <c r="EQ281" s="1804"/>
      <c r="ER281" s="1804"/>
      <c r="ES281" s="1804"/>
      <c r="ET281" s="1804"/>
      <c r="EU281" s="1804"/>
      <c r="EV281" s="1804"/>
      <c r="EW281" s="1804"/>
      <c r="EX281" s="1804"/>
      <c r="EY281" s="1804"/>
      <c r="EZ281" s="1804"/>
      <c r="FA281" s="1804"/>
      <c r="FB281" s="1804"/>
      <c r="FC281" s="1804"/>
      <c r="FD281" s="1804"/>
      <c r="FE281" s="1804"/>
      <c r="FF281" s="1804"/>
      <c r="FG281" s="1804"/>
      <c r="FH281" s="1804"/>
      <c r="FI281" s="1804"/>
      <c r="FJ281" s="1804"/>
      <c r="FK281" s="1804"/>
      <c r="FL281" s="1804"/>
      <c r="FM281" s="1804"/>
      <c r="FN281" s="1804"/>
      <c r="FO281" s="1804"/>
      <c r="FP281" s="1804"/>
      <c r="FQ281" s="1804"/>
      <c r="FR281" s="1804"/>
      <c r="FS281" s="1804"/>
      <c r="FT281" s="1804"/>
      <c r="FU281" s="1804"/>
      <c r="FV281" s="1804"/>
      <c r="FW281" s="1804"/>
      <c r="FX281" s="1804"/>
      <c r="FY281" s="1804"/>
      <c r="FZ281" s="1804"/>
      <c r="GA281" s="1804"/>
      <c r="GB281" s="1804"/>
      <c r="GC281" s="1804"/>
      <c r="GD281" s="1804"/>
      <c r="GE281" s="1804"/>
      <c r="GF281" s="1804"/>
      <c r="GG281" s="1804"/>
      <c r="GH281" s="1804"/>
      <c r="GI281" s="1804"/>
      <c r="GJ281" s="1804"/>
      <c r="GK281" s="1804"/>
      <c r="GL281" s="1804"/>
      <c r="GM281" s="1804"/>
      <c r="GN281" s="1804"/>
      <c r="GO281" s="1804"/>
      <c r="GP281" s="1804"/>
      <c r="GQ281" s="1804"/>
      <c r="GR281" s="1804"/>
      <c r="GS281" s="1804"/>
      <c r="GT281" s="1804"/>
      <c r="GU281" s="1804"/>
      <c r="GV281" s="1804"/>
      <c r="GW281" s="1804"/>
      <c r="GX281" s="1804"/>
      <c r="GY281" s="1804"/>
      <c r="GZ281" s="1804"/>
      <c r="HA281" s="1804"/>
      <c r="HB281" s="1804"/>
      <c r="HC281" s="1804"/>
      <c r="HD281" s="1804"/>
      <c r="HE281" s="1804"/>
      <c r="HF281" s="1804"/>
      <c r="HG281" s="1804"/>
      <c r="HH281" s="1804"/>
      <c r="HI281" s="1804"/>
      <c r="HJ281" s="1804"/>
      <c r="HK281" s="1804"/>
      <c r="HL281" s="1804"/>
      <c r="HM281" s="1804"/>
      <c r="HN281" s="1804"/>
      <c r="HO281" s="1804"/>
      <c r="HP281" s="1804"/>
      <c r="HQ281" s="1804"/>
      <c r="HR281" s="1804"/>
      <c r="HS281" s="1804"/>
      <c r="HT281" s="1804"/>
      <c r="HU281" s="1804"/>
      <c r="HV281" s="1804"/>
      <c r="HW281" s="1804"/>
      <c r="HX281" s="1804"/>
      <c r="HY281" s="1804"/>
      <c r="HZ281" s="1804"/>
      <c r="IA281" s="1804"/>
      <c r="IB281" s="1804"/>
      <c r="IC281" s="1804"/>
      <c r="ID281" s="1804"/>
      <c r="IE281" s="1804"/>
      <c r="IF281" s="1804"/>
      <c r="IG281" s="1804"/>
      <c r="IH281" s="1804"/>
      <c r="II281" s="1804"/>
      <c r="IJ281" s="1804"/>
      <c r="IK281" s="1804"/>
      <c r="IL281" s="1804"/>
      <c r="IM281" s="1804"/>
      <c r="IN281" s="1804"/>
      <c r="IO281" s="1804"/>
      <c r="IP281" s="1804"/>
      <c r="IQ281" s="1804"/>
      <c r="IR281" s="1804"/>
      <c r="IS281" s="1804"/>
      <c r="IT281" s="1804"/>
      <c r="IU281" s="1804"/>
      <c r="IV281" s="1804"/>
      <c r="IW281" s="1804"/>
    </row>
    <row r="282" spans="3:257" s="888" customFormat="1" x14ac:dyDescent="0.45">
      <c r="C282" s="67" t="s">
        <v>543</v>
      </c>
      <c r="D282" s="68" t="s">
        <v>645</v>
      </c>
      <c r="E282" s="69"/>
      <c r="F282" s="110">
        <f t="shared" si="18"/>
        <v>0</v>
      </c>
      <c r="G282" s="110">
        <f t="shared" si="18"/>
        <v>0</v>
      </c>
      <c r="H282" s="110">
        <f t="shared" si="19"/>
        <v>0</v>
      </c>
      <c r="I282" s="110">
        <f t="shared" si="19"/>
        <v>0</v>
      </c>
      <c r="J282" s="110">
        <f t="shared" si="20"/>
        <v>0</v>
      </c>
      <c r="K282" s="110">
        <f t="shared" si="21"/>
        <v>0</v>
      </c>
      <c r="L282" s="111">
        <f t="shared" si="22"/>
        <v>0</v>
      </c>
      <c r="M282" s="110">
        <f t="shared" si="23"/>
        <v>0</v>
      </c>
      <c r="N282" s="93"/>
      <c r="O282" s="110">
        <f t="shared" si="24"/>
        <v>0</v>
      </c>
      <c r="P282" s="110">
        <f t="shared" si="25"/>
        <v>3015.647570930877</v>
      </c>
      <c r="Q282" s="110">
        <f t="shared" si="26"/>
        <v>0</v>
      </c>
      <c r="R282" s="110">
        <f t="shared" si="27"/>
        <v>0</v>
      </c>
      <c r="S282" s="110">
        <f t="shared" si="28"/>
        <v>0</v>
      </c>
      <c r="T282" s="110">
        <f t="shared" si="29"/>
        <v>0</v>
      </c>
      <c r="U282" s="111">
        <f t="shared" si="30"/>
        <v>0</v>
      </c>
      <c r="V282" s="110">
        <f t="shared" si="31"/>
        <v>0</v>
      </c>
      <c r="W282" s="93"/>
      <c r="X282" s="110">
        <f t="shared" si="32"/>
        <v>0</v>
      </c>
      <c r="Y282" s="110">
        <f t="shared" si="33"/>
        <v>0</v>
      </c>
      <c r="Z282" s="110">
        <f t="shared" si="34"/>
        <v>0</v>
      </c>
      <c r="AA282" s="110">
        <f t="shared" si="35"/>
        <v>0</v>
      </c>
      <c r="AB282" s="110">
        <f t="shared" si="36"/>
        <v>0</v>
      </c>
      <c r="AC282" s="110">
        <f t="shared" si="37"/>
        <v>0</v>
      </c>
      <c r="AD282" s="110">
        <f t="shared" si="38"/>
        <v>0</v>
      </c>
      <c r="AE282" s="110">
        <f t="shared" si="39"/>
        <v>0</v>
      </c>
      <c r="AF282" s="110">
        <f t="shared" si="40"/>
        <v>0</v>
      </c>
      <c r="AG282" s="110">
        <f t="shared" si="41"/>
        <v>0</v>
      </c>
      <c r="AH282" s="110">
        <f t="shared" si="42"/>
        <v>0</v>
      </c>
      <c r="AI282" s="110">
        <f t="shared" si="43"/>
        <v>0</v>
      </c>
      <c r="AJ282" s="110">
        <f t="shared" si="44"/>
        <v>0</v>
      </c>
      <c r="AK282" s="110">
        <f t="shared" si="45"/>
        <v>3015.647570930877</v>
      </c>
      <c r="AL282" s="110">
        <f t="shared" si="46"/>
        <v>0</v>
      </c>
      <c r="AM282" s="110">
        <f t="shared" si="47"/>
        <v>0</v>
      </c>
      <c r="AN282" s="111">
        <f t="shared" si="48"/>
        <v>3015.647570930877</v>
      </c>
      <c r="AO282" s="1804"/>
      <c r="AP282" s="1804"/>
      <c r="AQ282" s="1804"/>
      <c r="AR282" s="1804"/>
      <c r="AS282" s="1804"/>
      <c r="AT282" s="1804"/>
      <c r="AU282" s="1804"/>
      <c r="AV282" s="1804"/>
      <c r="AW282" s="1804"/>
      <c r="AX282" s="1804"/>
      <c r="AY282" s="1804"/>
      <c r="AZ282" s="1804"/>
      <c r="BA282" s="1804"/>
      <c r="BB282" s="1804"/>
      <c r="BC282" s="1804"/>
      <c r="BD282" s="1804"/>
      <c r="BE282" s="1804"/>
      <c r="BF282" s="1804"/>
      <c r="BG282" s="1804"/>
      <c r="BH282" s="1804"/>
      <c r="BI282" s="1804"/>
      <c r="BJ282" s="1804"/>
      <c r="BK282" s="1804"/>
      <c r="BL282" s="1804"/>
      <c r="BM282" s="1804"/>
      <c r="BN282" s="1804"/>
      <c r="BO282" s="1804"/>
      <c r="BP282" s="1804"/>
      <c r="BQ282" s="1804"/>
      <c r="BR282" s="1804"/>
      <c r="BS282" s="1804"/>
      <c r="BT282" s="1804"/>
      <c r="BU282" s="1804"/>
      <c r="BV282" s="1804"/>
      <c r="BW282" s="1804"/>
      <c r="BX282" s="1804"/>
      <c r="BY282" s="1804"/>
      <c r="BZ282" s="1804"/>
      <c r="CA282" s="1804"/>
      <c r="CB282" s="1804"/>
      <c r="CC282" s="1804"/>
      <c r="CD282" s="1804"/>
      <c r="CE282" s="1804"/>
      <c r="CF282" s="1804"/>
      <c r="CG282" s="1804"/>
      <c r="CH282" s="1804"/>
      <c r="CI282" s="1804"/>
      <c r="CJ282" s="1804"/>
      <c r="CK282" s="1804"/>
      <c r="CL282" s="1804"/>
      <c r="CM282" s="1804"/>
      <c r="CN282" s="1804"/>
      <c r="CO282" s="1804"/>
      <c r="CP282" s="1804"/>
      <c r="CQ282" s="1804"/>
      <c r="CR282" s="1804"/>
      <c r="CS282" s="1804"/>
      <c r="CT282" s="1804"/>
      <c r="CU282" s="1804"/>
      <c r="CV282" s="1804"/>
      <c r="CW282" s="1804"/>
      <c r="CX282" s="1804"/>
      <c r="CY282" s="1804"/>
      <c r="CZ282" s="1804"/>
      <c r="DA282" s="1804"/>
      <c r="DB282" s="1804"/>
      <c r="DC282" s="1804"/>
      <c r="DD282" s="1804"/>
      <c r="DE282" s="1804"/>
      <c r="DF282" s="1804"/>
      <c r="DG282" s="1804"/>
      <c r="DH282" s="1804"/>
      <c r="DI282" s="1804"/>
      <c r="DJ282" s="1804"/>
      <c r="DK282" s="1804"/>
      <c r="DL282" s="1804"/>
      <c r="DM282" s="1804"/>
      <c r="DN282" s="1804"/>
      <c r="DO282" s="1804"/>
      <c r="DP282" s="1804"/>
      <c r="DQ282" s="1804"/>
      <c r="DR282" s="1804"/>
      <c r="DS282" s="1804"/>
      <c r="DT282" s="1804"/>
      <c r="DU282" s="1804"/>
      <c r="DV282" s="1804"/>
      <c r="DW282" s="1804"/>
      <c r="DX282" s="1804"/>
      <c r="DY282" s="1804"/>
      <c r="DZ282" s="1804"/>
      <c r="EA282" s="1804"/>
      <c r="EB282" s="1804"/>
      <c r="EC282" s="1804"/>
      <c r="ED282" s="1804"/>
      <c r="EE282" s="1804"/>
      <c r="EF282" s="1804"/>
      <c r="EG282" s="1804"/>
      <c r="EH282" s="1804"/>
      <c r="EI282" s="1804"/>
      <c r="EJ282" s="1804"/>
      <c r="EK282" s="1804"/>
      <c r="EL282" s="1804"/>
      <c r="EM282" s="1804"/>
      <c r="EN282" s="1804"/>
      <c r="EO282" s="1804"/>
      <c r="EP282" s="1804"/>
      <c r="EQ282" s="1804"/>
      <c r="ER282" s="1804"/>
      <c r="ES282" s="1804"/>
      <c r="ET282" s="1804"/>
      <c r="EU282" s="1804"/>
      <c r="EV282" s="1804"/>
      <c r="EW282" s="1804"/>
      <c r="EX282" s="1804"/>
      <c r="EY282" s="1804"/>
      <c r="EZ282" s="1804"/>
      <c r="FA282" s="1804"/>
      <c r="FB282" s="1804"/>
      <c r="FC282" s="1804"/>
      <c r="FD282" s="1804"/>
      <c r="FE282" s="1804"/>
      <c r="FF282" s="1804"/>
      <c r="FG282" s="1804"/>
      <c r="FH282" s="1804"/>
      <c r="FI282" s="1804"/>
      <c r="FJ282" s="1804"/>
      <c r="FK282" s="1804"/>
      <c r="FL282" s="1804"/>
      <c r="FM282" s="1804"/>
      <c r="FN282" s="1804"/>
      <c r="FO282" s="1804"/>
      <c r="FP282" s="1804"/>
      <c r="FQ282" s="1804"/>
      <c r="FR282" s="1804"/>
      <c r="FS282" s="1804"/>
      <c r="FT282" s="1804"/>
      <c r="FU282" s="1804"/>
      <c r="FV282" s="1804"/>
      <c r="FW282" s="1804"/>
      <c r="FX282" s="1804"/>
      <c r="FY282" s="1804"/>
      <c r="FZ282" s="1804"/>
      <c r="GA282" s="1804"/>
      <c r="GB282" s="1804"/>
      <c r="GC282" s="1804"/>
      <c r="GD282" s="1804"/>
      <c r="GE282" s="1804"/>
      <c r="GF282" s="1804"/>
      <c r="GG282" s="1804"/>
      <c r="GH282" s="1804"/>
      <c r="GI282" s="1804"/>
      <c r="GJ282" s="1804"/>
      <c r="GK282" s="1804"/>
      <c r="GL282" s="1804"/>
      <c r="GM282" s="1804"/>
      <c r="GN282" s="1804"/>
      <c r="GO282" s="1804"/>
      <c r="GP282" s="1804"/>
      <c r="GQ282" s="1804"/>
      <c r="GR282" s="1804"/>
      <c r="GS282" s="1804"/>
      <c r="GT282" s="1804"/>
      <c r="GU282" s="1804"/>
      <c r="GV282" s="1804"/>
      <c r="GW282" s="1804"/>
      <c r="GX282" s="1804"/>
      <c r="GY282" s="1804"/>
      <c r="GZ282" s="1804"/>
      <c r="HA282" s="1804"/>
      <c r="HB282" s="1804"/>
      <c r="HC282" s="1804"/>
      <c r="HD282" s="1804"/>
      <c r="HE282" s="1804"/>
      <c r="HF282" s="1804"/>
      <c r="HG282" s="1804"/>
      <c r="HH282" s="1804"/>
      <c r="HI282" s="1804"/>
      <c r="HJ282" s="1804"/>
      <c r="HK282" s="1804"/>
      <c r="HL282" s="1804"/>
      <c r="HM282" s="1804"/>
      <c r="HN282" s="1804"/>
      <c r="HO282" s="1804"/>
      <c r="HP282" s="1804"/>
      <c r="HQ282" s="1804"/>
      <c r="HR282" s="1804"/>
      <c r="HS282" s="1804"/>
      <c r="HT282" s="1804"/>
      <c r="HU282" s="1804"/>
      <c r="HV282" s="1804"/>
      <c r="HW282" s="1804"/>
      <c r="HX282" s="1804"/>
      <c r="HY282" s="1804"/>
      <c r="HZ282" s="1804"/>
      <c r="IA282" s="1804"/>
      <c r="IB282" s="1804"/>
      <c r="IC282" s="1804"/>
      <c r="ID282" s="1804"/>
      <c r="IE282" s="1804"/>
      <c r="IF282" s="1804"/>
      <c r="IG282" s="1804"/>
      <c r="IH282" s="1804"/>
      <c r="II282" s="1804"/>
      <c r="IJ282" s="1804"/>
      <c r="IK282" s="1804"/>
      <c r="IL282" s="1804"/>
      <c r="IM282" s="1804"/>
      <c r="IN282" s="1804"/>
      <c r="IO282" s="1804"/>
      <c r="IP282" s="1804"/>
      <c r="IQ282" s="1804"/>
      <c r="IR282" s="1804"/>
      <c r="IS282" s="1804"/>
      <c r="IT282" s="1804"/>
      <c r="IU282" s="1804"/>
      <c r="IV282" s="1804"/>
      <c r="IW282" s="1804"/>
    </row>
    <row r="283" spans="3:257" s="888" customFormat="1" x14ac:dyDescent="0.45">
      <c r="C283" s="67" t="s">
        <v>544</v>
      </c>
      <c r="D283" s="68" t="s">
        <v>646</v>
      </c>
      <c r="E283" s="69"/>
      <c r="F283" s="110">
        <f t="shared" si="18"/>
        <v>634464.76410497609</v>
      </c>
      <c r="G283" s="110">
        <f t="shared" si="18"/>
        <v>79556.888116237868</v>
      </c>
      <c r="H283" s="110">
        <f t="shared" si="19"/>
        <v>3313.2033453254357</v>
      </c>
      <c r="I283" s="110">
        <f t="shared" si="19"/>
        <v>17251.152289528225</v>
      </c>
      <c r="J283" s="110">
        <f t="shared" si="20"/>
        <v>4.4221222744821125</v>
      </c>
      <c r="K283" s="110">
        <f t="shared" si="21"/>
        <v>244.71159277738465</v>
      </c>
      <c r="L283" s="111">
        <f t="shared" si="22"/>
        <v>3452.7015403216319</v>
      </c>
      <c r="M283" s="110">
        <f t="shared" si="23"/>
        <v>2755.1537891304483</v>
      </c>
      <c r="N283" s="93">
        <v>52359.712709999971</v>
      </c>
      <c r="O283" s="110">
        <f t="shared" si="24"/>
        <v>0</v>
      </c>
      <c r="P283" s="110">
        <f t="shared" si="25"/>
        <v>0</v>
      </c>
      <c r="Q283" s="110">
        <f t="shared" si="26"/>
        <v>0</v>
      </c>
      <c r="R283" s="110">
        <f t="shared" si="27"/>
        <v>0</v>
      </c>
      <c r="S283" s="110">
        <f t="shared" si="28"/>
        <v>0</v>
      </c>
      <c r="T283" s="110">
        <f t="shared" si="29"/>
        <v>0</v>
      </c>
      <c r="U283" s="111">
        <f t="shared" si="30"/>
        <v>0</v>
      </c>
      <c r="V283" s="110">
        <f t="shared" si="31"/>
        <v>0</v>
      </c>
      <c r="W283" s="93"/>
      <c r="X283" s="110">
        <f t="shared" si="32"/>
        <v>0</v>
      </c>
      <c r="Y283" s="110">
        <f t="shared" si="33"/>
        <v>0</v>
      </c>
      <c r="Z283" s="110">
        <f t="shared" si="34"/>
        <v>0</v>
      </c>
      <c r="AA283" s="110">
        <f t="shared" si="35"/>
        <v>0</v>
      </c>
      <c r="AB283" s="110">
        <f t="shared" si="36"/>
        <v>966.27793943376878</v>
      </c>
      <c r="AC283" s="110">
        <f t="shared" si="37"/>
        <v>973.62517032909136</v>
      </c>
      <c r="AD283" s="110">
        <f t="shared" si="38"/>
        <v>0</v>
      </c>
      <c r="AE283" s="110">
        <f t="shared" si="39"/>
        <v>84.753955058954119</v>
      </c>
      <c r="AF283" s="110">
        <f t="shared" si="40"/>
        <v>0</v>
      </c>
      <c r="AG283" s="110">
        <f t="shared" si="41"/>
        <v>0</v>
      </c>
      <c r="AH283" s="110">
        <f t="shared" si="42"/>
        <v>0</v>
      </c>
      <c r="AI283" s="110">
        <f t="shared" si="43"/>
        <v>0</v>
      </c>
      <c r="AJ283" s="110">
        <f t="shared" si="44"/>
        <v>635431.0420444099</v>
      </c>
      <c r="AK283" s="110">
        <f t="shared" si="45"/>
        <v>80615.267241625916</v>
      </c>
      <c r="AL283" s="110">
        <f t="shared" si="46"/>
        <v>20813.489349905529</v>
      </c>
      <c r="AM283" s="110">
        <f t="shared" si="47"/>
        <v>6207.8553294520807</v>
      </c>
      <c r="AN283" s="111">
        <f t="shared" si="48"/>
        <v>743067.65396539343</v>
      </c>
      <c r="AO283" s="1804"/>
      <c r="AP283" s="1804"/>
      <c r="AQ283" s="1804"/>
      <c r="AR283" s="1804"/>
      <c r="AS283" s="1804"/>
      <c r="AT283" s="1804"/>
      <c r="AU283" s="1804"/>
      <c r="AV283" s="1804"/>
      <c r="AW283" s="1804"/>
      <c r="AX283" s="1804"/>
      <c r="AY283" s="1804"/>
      <c r="AZ283" s="1804"/>
      <c r="BA283" s="1804"/>
      <c r="BB283" s="1804"/>
      <c r="BC283" s="1804"/>
      <c r="BD283" s="1804"/>
      <c r="BE283" s="1804"/>
      <c r="BF283" s="1804"/>
      <c r="BG283" s="1804"/>
      <c r="BH283" s="1804"/>
      <c r="BI283" s="1804"/>
      <c r="BJ283" s="1804"/>
      <c r="BK283" s="1804"/>
      <c r="BL283" s="1804"/>
      <c r="BM283" s="1804"/>
      <c r="BN283" s="1804"/>
      <c r="BO283" s="1804"/>
      <c r="BP283" s="1804"/>
      <c r="BQ283" s="1804"/>
      <c r="BR283" s="1804"/>
      <c r="BS283" s="1804"/>
      <c r="BT283" s="1804"/>
      <c r="BU283" s="1804"/>
      <c r="BV283" s="1804"/>
      <c r="BW283" s="1804"/>
      <c r="BX283" s="1804"/>
      <c r="BY283" s="1804"/>
      <c r="BZ283" s="1804"/>
      <c r="CA283" s="1804"/>
      <c r="CB283" s="1804"/>
      <c r="CC283" s="1804"/>
      <c r="CD283" s="1804"/>
      <c r="CE283" s="1804"/>
      <c r="CF283" s="1804"/>
      <c r="CG283" s="1804"/>
      <c r="CH283" s="1804"/>
      <c r="CI283" s="1804"/>
      <c r="CJ283" s="1804"/>
      <c r="CK283" s="1804"/>
      <c r="CL283" s="1804"/>
      <c r="CM283" s="1804"/>
      <c r="CN283" s="1804"/>
      <c r="CO283" s="1804"/>
      <c r="CP283" s="1804"/>
      <c r="CQ283" s="1804"/>
      <c r="CR283" s="1804"/>
      <c r="CS283" s="1804"/>
      <c r="CT283" s="1804"/>
      <c r="CU283" s="1804"/>
      <c r="CV283" s="1804"/>
      <c r="CW283" s="1804"/>
      <c r="CX283" s="1804"/>
      <c r="CY283" s="1804"/>
      <c r="CZ283" s="1804"/>
      <c r="DA283" s="1804"/>
      <c r="DB283" s="1804"/>
      <c r="DC283" s="1804"/>
      <c r="DD283" s="1804"/>
      <c r="DE283" s="1804"/>
      <c r="DF283" s="1804"/>
      <c r="DG283" s="1804"/>
      <c r="DH283" s="1804"/>
      <c r="DI283" s="1804"/>
      <c r="DJ283" s="1804"/>
      <c r="DK283" s="1804"/>
      <c r="DL283" s="1804"/>
      <c r="DM283" s="1804"/>
      <c r="DN283" s="1804"/>
      <c r="DO283" s="1804"/>
      <c r="DP283" s="1804"/>
      <c r="DQ283" s="1804"/>
      <c r="DR283" s="1804"/>
      <c r="DS283" s="1804"/>
      <c r="DT283" s="1804"/>
      <c r="DU283" s="1804"/>
      <c r="DV283" s="1804"/>
      <c r="DW283" s="1804"/>
      <c r="DX283" s="1804"/>
      <c r="DY283" s="1804"/>
      <c r="DZ283" s="1804"/>
      <c r="EA283" s="1804"/>
      <c r="EB283" s="1804"/>
      <c r="EC283" s="1804"/>
      <c r="ED283" s="1804"/>
      <c r="EE283" s="1804"/>
      <c r="EF283" s="1804"/>
      <c r="EG283" s="1804"/>
      <c r="EH283" s="1804"/>
      <c r="EI283" s="1804"/>
      <c r="EJ283" s="1804"/>
      <c r="EK283" s="1804"/>
      <c r="EL283" s="1804"/>
      <c r="EM283" s="1804"/>
      <c r="EN283" s="1804"/>
      <c r="EO283" s="1804"/>
      <c r="EP283" s="1804"/>
      <c r="EQ283" s="1804"/>
      <c r="ER283" s="1804"/>
      <c r="ES283" s="1804"/>
      <c r="ET283" s="1804"/>
      <c r="EU283" s="1804"/>
      <c r="EV283" s="1804"/>
      <c r="EW283" s="1804"/>
      <c r="EX283" s="1804"/>
      <c r="EY283" s="1804"/>
      <c r="EZ283" s="1804"/>
      <c r="FA283" s="1804"/>
      <c r="FB283" s="1804"/>
      <c r="FC283" s="1804"/>
      <c r="FD283" s="1804"/>
      <c r="FE283" s="1804"/>
      <c r="FF283" s="1804"/>
      <c r="FG283" s="1804"/>
      <c r="FH283" s="1804"/>
      <c r="FI283" s="1804"/>
      <c r="FJ283" s="1804"/>
      <c r="FK283" s="1804"/>
      <c r="FL283" s="1804"/>
      <c r="FM283" s="1804"/>
      <c r="FN283" s="1804"/>
      <c r="FO283" s="1804"/>
      <c r="FP283" s="1804"/>
      <c r="FQ283" s="1804"/>
      <c r="FR283" s="1804"/>
      <c r="FS283" s="1804"/>
      <c r="FT283" s="1804"/>
      <c r="FU283" s="1804"/>
      <c r="FV283" s="1804"/>
      <c r="FW283" s="1804"/>
      <c r="FX283" s="1804"/>
      <c r="FY283" s="1804"/>
      <c r="FZ283" s="1804"/>
      <c r="GA283" s="1804"/>
      <c r="GB283" s="1804"/>
      <c r="GC283" s="1804"/>
      <c r="GD283" s="1804"/>
      <c r="GE283" s="1804"/>
      <c r="GF283" s="1804"/>
      <c r="GG283" s="1804"/>
      <c r="GH283" s="1804"/>
      <c r="GI283" s="1804"/>
      <c r="GJ283" s="1804"/>
      <c r="GK283" s="1804"/>
      <c r="GL283" s="1804"/>
      <c r="GM283" s="1804"/>
      <c r="GN283" s="1804"/>
      <c r="GO283" s="1804"/>
      <c r="GP283" s="1804"/>
      <c r="GQ283" s="1804"/>
      <c r="GR283" s="1804"/>
      <c r="GS283" s="1804"/>
      <c r="GT283" s="1804"/>
      <c r="GU283" s="1804"/>
      <c r="GV283" s="1804"/>
      <c r="GW283" s="1804"/>
      <c r="GX283" s="1804"/>
      <c r="GY283" s="1804"/>
      <c r="GZ283" s="1804"/>
      <c r="HA283" s="1804"/>
      <c r="HB283" s="1804"/>
      <c r="HC283" s="1804"/>
      <c r="HD283" s="1804"/>
      <c r="HE283" s="1804"/>
      <c r="HF283" s="1804"/>
      <c r="HG283" s="1804"/>
      <c r="HH283" s="1804"/>
      <c r="HI283" s="1804"/>
      <c r="HJ283" s="1804"/>
      <c r="HK283" s="1804"/>
      <c r="HL283" s="1804"/>
      <c r="HM283" s="1804"/>
      <c r="HN283" s="1804"/>
      <c r="HO283" s="1804"/>
      <c r="HP283" s="1804"/>
      <c r="HQ283" s="1804"/>
      <c r="HR283" s="1804"/>
      <c r="HS283" s="1804"/>
      <c r="HT283" s="1804"/>
      <c r="HU283" s="1804"/>
      <c r="HV283" s="1804"/>
      <c r="HW283" s="1804"/>
      <c r="HX283" s="1804"/>
      <c r="HY283" s="1804"/>
      <c r="HZ283" s="1804"/>
      <c r="IA283" s="1804"/>
      <c r="IB283" s="1804"/>
      <c r="IC283" s="1804"/>
      <c r="ID283" s="1804"/>
      <c r="IE283" s="1804"/>
      <c r="IF283" s="1804"/>
      <c r="IG283" s="1804"/>
      <c r="IH283" s="1804"/>
      <c r="II283" s="1804"/>
      <c r="IJ283" s="1804"/>
      <c r="IK283" s="1804"/>
      <c r="IL283" s="1804"/>
      <c r="IM283" s="1804"/>
      <c r="IN283" s="1804"/>
      <c r="IO283" s="1804"/>
      <c r="IP283" s="1804"/>
      <c r="IQ283" s="1804"/>
      <c r="IR283" s="1804"/>
      <c r="IS283" s="1804"/>
      <c r="IT283" s="1804"/>
      <c r="IU283" s="1804"/>
      <c r="IV283" s="1804"/>
      <c r="IW283" s="1804"/>
    </row>
    <row r="284" spans="3:257" s="888" customFormat="1" x14ac:dyDescent="0.45">
      <c r="C284" s="67" t="s">
        <v>545</v>
      </c>
      <c r="D284" s="68" t="s">
        <v>647</v>
      </c>
      <c r="E284" s="69"/>
      <c r="F284" s="110">
        <f t="shared" si="18"/>
        <v>0</v>
      </c>
      <c r="G284" s="110">
        <f t="shared" si="18"/>
        <v>115625.66537073306</v>
      </c>
      <c r="H284" s="110">
        <f t="shared" si="19"/>
        <v>0</v>
      </c>
      <c r="I284" s="110">
        <f t="shared" si="19"/>
        <v>0</v>
      </c>
      <c r="J284" s="110">
        <f t="shared" si="20"/>
        <v>0</v>
      </c>
      <c r="K284" s="110">
        <f t="shared" si="21"/>
        <v>0</v>
      </c>
      <c r="L284" s="111">
        <f t="shared" si="22"/>
        <v>0</v>
      </c>
      <c r="M284" s="110">
        <f t="shared" si="23"/>
        <v>0</v>
      </c>
      <c r="N284" s="93"/>
      <c r="O284" s="110">
        <f t="shared" si="24"/>
        <v>0</v>
      </c>
      <c r="P284" s="110">
        <f t="shared" si="25"/>
        <v>0</v>
      </c>
      <c r="Q284" s="110">
        <f t="shared" si="26"/>
        <v>0</v>
      </c>
      <c r="R284" s="110">
        <f t="shared" si="27"/>
        <v>0</v>
      </c>
      <c r="S284" s="110">
        <f t="shared" si="28"/>
        <v>0</v>
      </c>
      <c r="T284" s="110">
        <f t="shared" si="29"/>
        <v>0</v>
      </c>
      <c r="U284" s="111">
        <f t="shared" si="30"/>
        <v>0</v>
      </c>
      <c r="V284" s="110">
        <f t="shared" si="31"/>
        <v>0</v>
      </c>
      <c r="W284" s="93"/>
      <c r="X284" s="110">
        <f t="shared" si="32"/>
        <v>0</v>
      </c>
      <c r="Y284" s="110">
        <f t="shared" si="33"/>
        <v>0</v>
      </c>
      <c r="Z284" s="110">
        <f t="shared" si="34"/>
        <v>0</v>
      </c>
      <c r="AA284" s="110">
        <f t="shared" si="35"/>
        <v>0</v>
      </c>
      <c r="AB284" s="110">
        <f t="shared" si="36"/>
        <v>0</v>
      </c>
      <c r="AC284" s="110">
        <f t="shared" si="37"/>
        <v>0</v>
      </c>
      <c r="AD284" s="110">
        <f t="shared" si="38"/>
        <v>0</v>
      </c>
      <c r="AE284" s="110">
        <f t="shared" si="39"/>
        <v>0</v>
      </c>
      <c r="AF284" s="110">
        <f t="shared" si="40"/>
        <v>0</v>
      </c>
      <c r="AG284" s="110">
        <f t="shared" si="41"/>
        <v>0</v>
      </c>
      <c r="AH284" s="110">
        <f t="shared" si="42"/>
        <v>0</v>
      </c>
      <c r="AI284" s="110">
        <f t="shared" si="43"/>
        <v>0</v>
      </c>
      <c r="AJ284" s="110">
        <f t="shared" si="44"/>
        <v>0</v>
      </c>
      <c r="AK284" s="110">
        <f t="shared" si="45"/>
        <v>115625.66537073306</v>
      </c>
      <c r="AL284" s="110">
        <f t="shared" si="46"/>
        <v>0</v>
      </c>
      <c r="AM284" s="110">
        <f t="shared" si="47"/>
        <v>0</v>
      </c>
      <c r="AN284" s="111">
        <f t="shared" si="48"/>
        <v>115625.66537073306</v>
      </c>
      <c r="AO284" s="1804"/>
      <c r="AP284" s="1804"/>
      <c r="AQ284" s="1804"/>
      <c r="AR284" s="1804"/>
      <c r="AS284" s="1804"/>
      <c r="AT284" s="1804"/>
      <c r="AU284" s="1804"/>
      <c r="AV284" s="1804"/>
      <c r="AW284" s="1804"/>
      <c r="AX284" s="1804"/>
      <c r="AY284" s="1804"/>
      <c r="AZ284" s="1804"/>
      <c r="BA284" s="1804"/>
      <c r="BB284" s="1804"/>
      <c r="BC284" s="1804"/>
      <c r="BD284" s="1804"/>
      <c r="BE284" s="1804"/>
      <c r="BF284" s="1804"/>
      <c r="BG284" s="1804"/>
      <c r="BH284" s="1804"/>
      <c r="BI284" s="1804"/>
      <c r="BJ284" s="1804"/>
      <c r="BK284" s="1804"/>
      <c r="BL284" s="1804"/>
      <c r="BM284" s="1804"/>
      <c r="BN284" s="1804"/>
      <c r="BO284" s="1804"/>
      <c r="BP284" s="1804"/>
      <c r="BQ284" s="1804"/>
      <c r="BR284" s="1804"/>
      <c r="BS284" s="1804"/>
      <c r="BT284" s="1804"/>
      <c r="BU284" s="1804"/>
      <c r="BV284" s="1804"/>
      <c r="BW284" s="1804"/>
      <c r="BX284" s="1804"/>
      <c r="BY284" s="1804"/>
      <c r="BZ284" s="1804"/>
      <c r="CA284" s="1804"/>
      <c r="CB284" s="1804"/>
      <c r="CC284" s="1804"/>
      <c r="CD284" s="1804"/>
      <c r="CE284" s="1804"/>
      <c r="CF284" s="1804"/>
      <c r="CG284" s="1804"/>
      <c r="CH284" s="1804"/>
      <c r="CI284" s="1804"/>
      <c r="CJ284" s="1804"/>
      <c r="CK284" s="1804"/>
      <c r="CL284" s="1804"/>
      <c r="CM284" s="1804"/>
      <c r="CN284" s="1804"/>
      <c r="CO284" s="1804"/>
      <c r="CP284" s="1804"/>
      <c r="CQ284" s="1804"/>
      <c r="CR284" s="1804"/>
      <c r="CS284" s="1804"/>
      <c r="CT284" s="1804"/>
      <c r="CU284" s="1804"/>
      <c r="CV284" s="1804"/>
      <c r="CW284" s="1804"/>
      <c r="CX284" s="1804"/>
      <c r="CY284" s="1804"/>
      <c r="CZ284" s="1804"/>
      <c r="DA284" s="1804"/>
      <c r="DB284" s="1804"/>
      <c r="DC284" s="1804"/>
      <c r="DD284" s="1804"/>
      <c r="DE284" s="1804"/>
      <c r="DF284" s="1804"/>
      <c r="DG284" s="1804"/>
      <c r="DH284" s="1804"/>
      <c r="DI284" s="1804"/>
      <c r="DJ284" s="1804"/>
      <c r="DK284" s="1804"/>
      <c r="DL284" s="1804"/>
      <c r="DM284" s="1804"/>
      <c r="DN284" s="1804"/>
      <c r="DO284" s="1804"/>
      <c r="DP284" s="1804"/>
      <c r="DQ284" s="1804"/>
      <c r="DR284" s="1804"/>
      <c r="DS284" s="1804"/>
      <c r="DT284" s="1804"/>
      <c r="DU284" s="1804"/>
      <c r="DV284" s="1804"/>
      <c r="DW284" s="1804"/>
      <c r="DX284" s="1804"/>
      <c r="DY284" s="1804"/>
      <c r="DZ284" s="1804"/>
      <c r="EA284" s="1804"/>
      <c r="EB284" s="1804"/>
      <c r="EC284" s="1804"/>
      <c r="ED284" s="1804"/>
      <c r="EE284" s="1804"/>
      <c r="EF284" s="1804"/>
      <c r="EG284" s="1804"/>
      <c r="EH284" s="1804"/>
      <c r="EI284" s="1804"/>
      <c r="EJ284" s="1804"/>
      <c r="EK284" s="1804"/>
      <c r="EL284" s="1804"/>
      <c r="EM284" s="1804"/>
      <c r="EN284" s="1804"/>
      <c r="EO284" s="1804"/>
      <c r="EP284" s="1804"/>
      <c r="EQ284" s="1804"/>
      <c r="ER284" s="1804"/>
      <c r="ES284" s="1804"/>
      <c r="ET284" s="1804"/>
      <c r="EU284" s="1804"/>
      <c r="EV284" s="1804"/>
      <c r="EW284" s="1804"/>
      <c r="EX284" s="1804"/>
      <c r="EY284" s="1804"/>
      <c r="EZ284" s="1804"/>
      <c r="FA284" s="1804"/>
      <c r="FB284" s="1804"/>
      <c r="FC284" s="1804"/>
      <c r="FD284" s="1804"/>
      <c r="FE284" s="1804"/>
      <c r="FF284" s="1804"/>
      <c r="FG284" s="1804"/>
      <c r="FH284" s="1804"/>
      <c r="FI284" s="1804"/>
      <c r="FJ284" s="1804"/>
      <c r="FK284" s="1804"/>
      <c r="FL284" s="1804"/>
      <c r="FM284" s="1804"/>
      <c r="FN284" s="1804"/>
      <c r="FO284" s="1804"/>
      <c r="FP284" s="1804"/>
      <c r="FQ284" s="1804"/>
      <c r="FR284" s="1804"/>
      <c r="FS284" s="1804"/>
      <c r="FT284" s="1804"/>
      <c r="FU284" s="1804"/>
      <c r="FV284" s="1804"/>
      <c r="FW284" s="1804"/>
      <c r="FX284" s="1804"/>
      <c r="FY284" s="1804"/>
      <c r="FZ284" s="1804"/>
      <c r="GA284" s="1804"/>
      <c r="GB284" s="1804"/>
      <c r="GC284" s="1804"/>
      <c r="GD284" s="1804"/>
      <c r="GE284" s="1804"/>
      <c r="GF284" s="1804"/>
      <c r="GG284" s="1804"/>
      <c r="GH284" s="1804"/>
      <c r="GI284" s="1804"/>
      <c r="GJ284" s="1804"/>
      <c r="GK284" s="1804"/>
      <c r="GL284" s="1804"/>
      <c r="GM284" s="1804"/>
      <c r="GN284" s="1804"/>
      <c r="GO284" s="1804"/>
      <c r="GP284" s="1804"/>
      <c r="GQ284" s="1804"/>
      <c r="GR284" s="1804"/>
      <c r="GS284" s="1804"/>
      <c r="GT284" s="1804"/>
      <c r="GU284" s="1804"/>
      <c r="GV284" s="1804"/>
      <c r="GW284" s="1804"/>
      <c r="GX284" s="1804"/>
      <c r="GY284" s="1804"/>
      <c r="GZ284" s="1804"/>
      <c r="HA284" s="1804"/>
      <c r="HB284" s="1804"/>
      <c r="HC284" s="1804"/>
      <c r="HD284" s="1804"/>
      <c r="HE284" s="1804"/>
      <c r="HF284" s="1804"/>
      <c r="HG284" s="1804"/>
      <c r="HH284" s="1804"/>
      <c r="HI284" s="1804"/>
      <c r="HJ284" s="1804"/>
      <c r="HK284" s="1804"/>
      <c r="HL284" s="1804"/>
      <c r="HM284" s="1804"/>
      <c r="HN284" s="1804"/>
      <c r="HO284" s="1804"/>
      <c r="HP284" s="1804"/>
      <c r="HQ284" s="1804"/>
      <c r="HR284" s="1804"/>
      <c r="HS284" s="1804"/>
      <c r="HT284" s="1804"/>
      <c r="HU284" s="1804"/>
      <c r="HV284" s="1804"/>
      <c r="HW284" s="1804"/>
      <c r="HX284" s="1804"/>
      <c r="HY284" s="1804"/>
      <c r="HZ284" s="1804"/>
      <c r="IA284" s="1804"/>
      <c r="IB284" s="1804"/>
      <c r="IC284" s="1804"/>
      <c r="ID284" s="1804"/>
      <c r="IE284" s="1804"/>
      <c r="IF284" s="1804"/>
      <c r="IG284" s="1804"/>
      <c r="IH284" s="1804"/>
      <c r="II284" s="1804"/>
      <c r="IJ284" s="1804"/>
      <c r="IK284" s="1804"/>
      <c r="IL284" s="1804"/>
      <c r="IM284" s="1804"/>
      <c r="IN284" s="1804"/>
      <c r="IO284" s="1804"/>
      <c r="IP284" s="1804"/>
      <c r="IQ284" s="1804"/>
      <c r="IR284" s="1804"/>
      <c r="IS284" s="1804"/>
      <c r="IT284" s="1804"/>
      <c r="IU284" s="1804"/>
      <c r="IV284" s="1804"/>
      <c r="IW284" s="1804"/>
    </row>
    <row r="285" spans="3:257" s="888" customFormat="1" x14ac:dyDescent="0.45">
      <c r="C285" s="67" t="s">
        <v>546</v>
      </c>
      <c r="D285" s="68" t="s">
        <v>648</v>
      </c>
      <c r="E285" s="69"/>
      <c r="F285" s="110">
        <f t="shared" si="18"/>
        <v>0</v>
      </c>
      <c r="G285" s="110">
        <f t="shared" si="18"/>
        <v>0</v>
      </c>
      <c r="H285" s="110">
        <f t="shared" si="19"/>
        <v>0</v>
      </c>
      <c r="I285" s="110">
        <f t="shared" si="19"/>
        <v>0</v>
      </c>
      <c r="J285" s="110">
        <f t="shared" si="20"/>
        <v>0</v>
      </c>
      <c r="K285" s="110">
        <f t="shared" si="21"/>
        <v>0</v>
      </c>
      <c r="L285" s="111">
        <f t="shared" si="22"/>
        <v>0</v>
      </c>
      <c r="M285" s="110">
        <f t="shared" si="23"/>
        <v>0</v>
      </c>
      <c r="N285" s="93"/>
      <c r="O285" s="110">
        <f t="shared" si="24"/>
        <v>0</v>
      </c>
      <c r="P285" s="110">
        <f t="shared" si="25"/>
        <v>0</v>
      </c>
      <c r="Q285" s="110">
        <f t="shared" si="26"/>
        <v>0</v>
      </c>
      <c r="R285" s="110">
        <f t="shared" si="27"/>
        <v>0</v>
      </c>
      <c r="S285" s="110">
        <f t="shared" si="28"/>
        <v>0</v>
      </c>
      <c r="T285" s="110">
        <f t="shared" si="29"/>
        <v>0</v>
      </c>
      <c r="U285" s="111">
        <f t="shared" si="30"/>
        <v>0</v>
      </c>
      <c r="V285" s="110">
        <f t="shared" si="31"/>
        <v>0</v>
      </c>
      <c r="W285" s="93"/>
      <c r="X285" s="110">
        <f t="shared" si="32"/>
        <v>0</v>
      </c>
      <c r="Y285" s="110">
        <f t="shared" si="33"/>
        <v>0</v>
      </c>
      <c r="Z285" s="110">
        <f t="shared" si="34"/>
        <v>0</v>
      </c>
      <c r="AA285" s="110">
        <f t="shared" si="35"/>
        <v>0</v>
      </c>
      <c r="AB285" s="110">
        <f t="shared" si="36"/>
        <v>0</v>
      </c>
      <c r="AC285" s="110">
        <f t="shared" si="37"/>
        <v>0</v>
      </c>
      <c r="AD285" s="110">
        <f t="shared" si="38"/>
        <v>0</v>
      </c>
      <c r="AE285" s="110">
        <f t="shared" si="39"/>
        <v>0</v>
      </c>
      <c r="AF285" s="110">
        <f t="shared" si="40"/>
        <v>0</v>
      </c>
      <c r="AG285" s="110">
        <f t="shared" si="41"/>
        <v>0</v>
      </c>
      <c r="AH285" s="110">
        <f t="shared" si="42"/>
        <v>0</v>
      </c>
      <c r="AI285" s="110">
        <f t="shared" si="43"/>
        <v>0</v>
      </c>
      <c r="AJ285" s="110">
        <f t="shared" si="44"/>
        <v>0</v>
      </c>
      <c r="AK285" s="110">
        <f t="shared" si="45"/>
        <v>0</v>
      </c>
      <c r="AL285" s="110">
        <f t="shared" si="46"/>
        <v>0</v>
      </c>
      <c r="AM285" s="110">
        <f t="shared" si="47"/>
        <v>0</v>
      </c>
      <c r="AN285" s="111">
        <f t="shared" si="48"/>
        <v>0</v>
      </c>
      <c r="AO285" s="1804"/>
      <c r="AP285" s="1804"/>
      <c r="AQ285" s="1804"/>
      <c r="AR285" s="1804"/>
      <c r="AS285" s="1804"/>
      <c r="AT285" s="1804"/>
      <c r="AU285" s="1804"/>
      <c r="AV285" s="1804"/>
      <c r="AW285" s="1804"/>
      <c r="AX285" s="1804"/>
      <c r="AY285" s="1804"/>
      <c r="AZ285" s="1804"/>
      <c r="BA285" s="1804"/>
      <c r="BB285" s="1804"/>
      <c r="BC285" s="1804"/>
      <c r="BD285" s="1804"/>
      <c r="BE285" s="1804"/>
      <c r="BF285" s="1804"/>
      <c r="BG285" s="1804"/>
      <c r="BH285" s="1804"/>
      <c r="BI285" s="1804"/>
      <c r="BJ285" s="1804"/>
      <c r="BK285" s="1804"/>
      <c r="BL285" s="1804"/>
      <c r="BM285" s="1804"/>
      <c r="BN285" s="1804"/>
      <c r="BO285" s="1804"/>
      <c r="BP285" s="1804"/>
      <c r="BQ285" s="1804"/>
      <c r="BR285" s="1804"/>
      <c r="BS285" s="1804"/>
      <c r="BT285" s="1804"/>
      <c r="BU285" s="1804"/>
      <c r="BV285" s="1804"/>
      <c r="BW285" s="1804"/>
      <c r="BX285" s="1804"/>
      <c r="BY285" s="1804"/>
      <c r="BZ285" s="1804"/>
      <c r="CA285" s="1804"/>
      <c r="CB285" s="1804"/>
      <c r="CC285" s="1804"/>
      <c r="CD285" s="1804"/>
      <c r="CE285" s="1804"/>
      <c r="CF285" s="1804"/>
      <c r="CG285" s="1804"/>
      <c r="CH285" s="1804"/>
      <c r="CI285" s="1804"/>
      <c r="CJ285" s="1804"/>
      <c r="CK285" s="1804"/>
      <c r="CL285" s="1804"/>
      <c r="CM285" s="1804"/>
      <c r="CN285" s="1804"/>
      <c r="CO285" s="1804"/>
      <c r="CP285" s="1804"/>
      <c r="CQ285" s="1804"/>
      <c r="CR285" s="1804"/>
      <c r="CS285" s="1804"/>
      <c r="CT285" s="1804"/>
      <c r="CU285" s="1804"/>
      <c r="CV285" s="1804"/>
      <c r="CW285" s="1804"/>
      <c r="CX285" s="1804"/>
      <c r="CY285" s="1804"/>
      <c r="CZ285" s="1804"/>
      <c r="DA285" s="1804"/>
      <c r="DB285" s="1804"/>
      <c r="DC285" s="1804"/>
      <c r="DD285" s="1804"/>
      <c r="DE285" s="1804"/>
      <c r="DF285" s="1804"/>
      <c r="DG285" s="1804"/>
      <c r="DH285" s="1804"/>
      <c r="DI285" s="1804"/>
      <c r="DJ285" s="1804"/>
      <c r="DK285" s="1804"/>
      <c r="DL285" s="1804"/>
      <c r="DM285" s="1804"/>
      <c r="DN285" s="1804"/>
      <c r="DO285" s="1804"/>
      <c r="DP285" s="1804"/>
      <c r="DQ285" s="1804"/>
      <c r="DR285" s="1804"/>
      <c r="DS285" s="1804"/>
      <c r="DT285" s="1804"/>
      <c r="DU285" s="1804"/>
      <c r="DV285" s="1804"/>
      <c r="DW285" s="1804"/>
      <c r="DX285" s="1804"/>
      <c r="DY285" s="1804"/>
      <c r="DZ285" s="1804"/>
      <c r="EA285" s="1804"/>
      <c r="EB285" s="1804"/>
      <c r="EC285" s="1804"/>
      <c r="ED285" s="1804"/>
      <c r="EE285" s="1804"/>
      <c r="EF285" s="1804"/>
      <c r="EG285" s="1804"/>
      <c r="EH285" s="1804"/>
      <c r="EI285" s="1804"/>
      <c r="EJ285" s="1804"/>
      <c r="EK285" s="1804"/>
      <c r="EL285" s="1804"/>
      <c r="EM285" s="1804"/>
      <c r="EN285" s="1804"/>
      <c r="EO285" s="1804"/>
      <c r="EP285" s="1804"/>
      <c r="EQ285" s="1804"/>
      <c r="ER285" s="1804"/>
      <c r="ES285" s="1804"/>
      <c r="ET285" s="1804"/>
      <c r="EU285" s="1804"/>
      <c r="EV285" s="1804"/>
      <c r="EW285" s="1804"/>
      <c r="EX285" s="1804"/>
      <c r="EY285" s="1804"/>
      <c r="EZ285" s="1804"/>
      <c r="FA285" s="1804"/>
      <c r="FB285" s="1804"/>
      <c r="FC285" s="1804"/>
      <c r="FD285" s="1804"/>
      <c r="FE285" s="1804"/>
      <c r="FF285" s="1804"/>
      <c r="FG285" s="1804"/>
      <c r="FH285" s="1804"/>
      <c r="FI285" s="1804"/>
      <c r="FJ285" s="1804"/>
      <c r="FK285" s="1804"/>
      <c r="FL285" s="1804"/>
      <c r="FM285" s="1804"/>
      <c r="FN285" s="1804"/>
      <c r="FO285" s="1804"/>
      <c r="FP285" s="1804"/>
      <c r="FQ285" s="1804"/>
      <c r="FR285" s="1804"/>
      <c r="FS285" s="1804"/>
      <c r="FT285" s="1804"/>
      <c r="FU285" s="1804"/>
      <c r="FV285" s="1804"/>
      <c r="FW285" s="1804"/>
      <c r="FX285" s="1804"/>
      <c r="FY285" s="1804"/>
      <c r="FZ285" s="1804"/>
      <c r="GA285" s="1804"/>
      <c r="GB285" s="1804"/>
      <c r="GC285" s="1804"/>
      <c r="GD285" s="1804"/>
      <c r="GE285" s="1804"/>
      <c r="GF285" s="1804"/>
      <c r="GG285" s="1804"/>
      <c r="GH285" s="1804"/>
      <c r="GI285" s="1804"/>
      <c r="GJ285" s="1804"/>
      <c r="GK285" s="1804"/>
      <c r="GL285" s="1804"/>
      <c r="GM285" s="1804"/>
      <c r="GN285" s="1804"/>
      <c r="GO285" s="1804"/>
      <c r="GP285" s="1804"/>
      <c r="GQ285" s="1804"/>
      <c r="GR285" s="1804"/>
      <c r="GS285" s="1804"/>
      <c r="GT285" s="1804"/>
      <c r="GU285" s="1804"/>
      <c r="GV285" s="1804"/>
      <c r="GW285" s="1804"/>
      <c r="GX285" s="1804"/>
      <c r="GY285" s="1804"/>
      <c r="GZ285" s="1804"/>
      <c r="HA285" s="1804"/>
      <c r="HB285" s="1804"/>
      <c r="HC285" s="1804"/>
      <c r="HD285" s="1804"/>
      <c r="HE285" s="1804"/>
      <c r="HF285" s="1804"/>
      <c r="HG285" s="1804"/>
      <c r="HH285" s="1804"/>
      <c r="HI285" s="1804"/>
      <c r="HJ285" s="1804"/>
      <c r="HK285" s="1804"/>
      <c r="HL285" s="1804"/>
      <c r="HM285" s="1804"/>
      <c r="HN285" s="1804"/>
      <c r="HO285" s="1804"/>
      <c r="HP285" s="1804"/>
      <c r="HQ285" s="1804"/>
      <c r="HR285" s="1804"/>
      <c r="HS285" s="1804"/>
      <c r="HT285" s="1804"/>
      <c r="HU285" s="1804"/>
      <c r="HV285" s="1804"/>
      <c r="HW285" s="1804"/>
      <c r="HX285" s="1804"/>
      <c r="HY285" s="1804"/>
      <c r="HZ285" s="1804"/>
      <c r="IA285" s="1804"/>
      <c r="IB285" s="1804"/>
      <c r="IC285" s="1804"/>
      <c r="ID285" s="1804"/>
      <c r="IE285" s="1804"/>
      <c r="IF285" s="1804"/>
      <c r="IG285" s="1804"/>
      <c r="IH285" s="1804"/>
      <c r="II285" s="1804"/>
      <c r="IJ285" s="1804"/>
      <c r="IK285" s="1804"/>
      <c r="IL285" s="1804"/>
      <c r="IM285" s="1804"/>
      <c r="IN285" s="1804"/>
      <c r="IO285" s="1804"/>
      <c r="IP285" s="1804"/>
      <c r="IQ285" s="1804"/>
      <c r="IR285" s="1804"/>
      <c r="IS285" s="1804"/>
      <c r="IT285" s="1804"/>
      <c r="IU285" s="1804"/>
      <c r="IV285" s="1804"/>
      <c r="IW285" s="1804"/>
    </row>
    <row r="286" spans="3:257" s="888" customFormat="1" x14ac:dyDescent="0.45">
      <c r="C286" s="67" t="s">
        <v>547</v>
      </c>
      <c r="D286" s="68" t="s">
        <v>649</v>
      </c>
      <c r="E286" s="69"/>
      <c r="F286" s="110">
        <f t="shared" si="18"/>
        <v>0</v>
      </c>
      <c r="G286" s="110">
        <f t="shared" si="18"/>
        <v>1943.2032371093187</v>
      </c>
      <c r="H286" s="110">
        <f t="shared" si="19"/>
        <v>0</v>
      </c>
      <c r="I286" s="110">
        <f t="shared" si="19"/>
        <v>0</v>
      </c>
      <c r="J286" s="110">
        <f t="shared" si="20"/>
        <v>0</v>
      </c>
      <c r="K286" s="110">
        <f t="shared" si="21"/>
        <v>0</v>
      </c>
      <c r="L286" s="111">
        <f t="shared" si="22"/>
        <v>0</v>
      </c>
      <c r="M286" s="110">
        <f t="shared" si="23"/>
        <v>0</v>
      </c>
      <c r="N286" s="93"/>
      <c r="O286" s="110">
        <f t="shared" si="24"/>
        <v>0</v>
      </c>
      <c r="P286" s="110">
        <f t="shared" si="25"/>
        <v>0</v>
      </c>
      <c r="Q286" s="110">
        <f t="shared" si="26"/>
        <v>0</v>
      </c>
      <c r="R286" s="110">
        <f t="shared" si="27"/>
        <v>0</v>
      </c>
      <c r="S286" s="110">
        <f t="shared" si="28"/>
        <v>0</v>
      </c>
      <c r="T286" s="110">
        <f t="shared" si="29"/>
        <v>0</v>
      </c>
      <c r="U286" s="111">
        <f t="shared" si="30"/>
        <v>0</v>
      </c>
      <c r="V286" s="110">
        <f t="shared" si="31"/>
        <v>0</v>
      </c>
      <c r="W286" s="93"/>
      <c r="X286" s="110">
        <f t="shared" si="32"/>
        <v>0</v>
      </c>
      <c r="Y286" s="110">
        <f t="shared" si="33"/>
        <v>0</v>
      </c>
      <c r="Z286" s="110">
        <f t="shared" si="34"/>
        <v>0</v>
      </c>
      <c r="AA286" s="110">
        <f t="shared" si="35"/>
        <v>0</v>
      </c>
      <c r="AB286" s="110">
        <f t="shared" si="36"/>
        <v>0</v>
      </c>
      <c r="AC286" s="110">
        <f t="shared" si="37"/>
        <v>0</v>
      </c>
      <c r="AD286" s="110">
        <f t="shared" si="38"/>
        <v>0</v>
      </c>
      <c r="AE286" s="110">
        <f t="shared" si="39"/>
        <v>0</v>
      </c>
      <c r="AF286" s="110">
        <f t="shared" si="40"/>
        <v>0</v>
      </c>
      <c r="AG286" s="110">
        <f t="shared" si="41"/>
        <v>0</v>
      </c>
      <c r="AH286" s="110">
        <f t="shared" si="42"/>
        <v>0</v>
      </c>
      <c r="AI286" s="110">
        <f t="shared" si="43"/>
        <v>0</v>
      </c>
      <c r="AJ286" s="110">
        <f t="shared" si="44"/>
        <v>0</v>
      </c>
      <c r="AK286" s="110">
        <f t="shared" si="45"/>
        <v>1943.2032371093187</v>
      </c>
      <c r="AL286" s="110">
        <f t="shared" si="46"/>
        <v>0</v>
      </c>
      <c r="AM286" s="110">
        <f t="shared" si="47"/>
        <v>0</v>
      </c>
      <c r="AN286" s="111">
        <f t="shared" si="48"/>
        <v>1943.2032371093187</v>
      </c>
      <c r="AO286" s="1804"/>
      <c r="AP286" s="1804"/>
      <c r="AQ286" s="1804"/>
      <c r="AR286" s="1804"/>
      <c r="AS286" s="1804"/>
      <c r="AT286" s="1804"/>
      <c r="AU286" s="1804"/>
      <c r="AV286" s="1804"/>
      <c r="AW286" s="1804"/>
      <c r="AX286" s="1804"/>
      <c r="AY286" s="1804"/>
      <c r="AZ286" s="1804"/>
      <c r="BA286" s="1804"/>
      <c r="BB286" s="1804"/>
      <c r="BC286" s="1804"/>
      <c r="BD286" s="1804"/>
      <c r="BE286" s="1804"/>
      <c r="BF286" s="1804"/>
      <c r="BG286" s="1804"/>
      <c r="BH286" s="1804"/>
      <c r="BI286" s="1804"/>
      <c r="BJ286" s="1804"/>
      <c r="BK286" s="1804"/>
      <c r="BL286" s="1804"/>
      <c r="BM286" s="1804"/>
      <c r="BN286" s="1804"/>
      <c r="BO286" s="1804"/>
      <c r="BP286" s="1804"/>
      <c r="BQ286" s="1804"/>
      <c r="BR286" s="1804"/>
      <c r="BS286" s="1804"/>
      <c r="BT286" s="1804"/>
      <c r="BU286" s="1804"/>
      <c r="BV286" s="1804"/>
      <c r="BW286" s="1804"/>
      <c r="BX286" s="1804"/>
      <c r="BY286" s="1804"/>
      <c r="BZ286" s="1804"/>
      <c r="CA286" s="1804"/>
      <c r="CB286" s="1804"/>
      <c r="CC286" s="1804"/>
      <c r="CD286" s="1804"/>
      <c r="CE286" s="1804"/>
      <c r="CF286" s="1804"/>
      <c r="CG286" s="1804"/>
      <c r="CH286" s="1804"/>
      <c r="CI286" s="1804"/>
      <c r="CJ286" s="1804"/>
      <c r="CK286" s="1804"/>
      <c r="CL286" s="1804"/>
      <c r="CM286" s="1804"/>
      <c r="CN286" s="1804"/>
      <c r="CO286" s="1804"/>
      <c r="CP286" s="1804"/>
      <c r="CQ286" s="1804"/>
      <c r="CR286" s="1804"/>
      <c r="CS286" s="1804"/>
      <c r="CT286" s="1804"/>
      <c r="CU286" s="1804"/>
      <c r="CV286" s="1804"/>
      <c r="CW286" s="1804"/>
      <c r="CX286" s="1804"/>
      <c r="CY286" s="1804"/>
      <c r="CZ286" s="1804"/>
      <c r="DA286" s="1804"/>
      <c r="DB286" s="1804"/>
      <c r="DC286" s="1804"/>
      <c r="DD286" s="1804"/>
      <c r="DE286" s="1804"/>
      <c r="DF286" s="1804"/>
      <c r="DG286" s="1804"/>
      <c r="DH286" s="1804"/>
      <c r="DI286" s="1804"/>
      <c r="DJ286" s="1804"/>
      <c r="DK286" s="1804"/>
      <c r="DL286" s="1804"/>
      <c r="DM286" s="1804"/>
      <c r="DN286" s="1804"/>
      <c r="DO286" s="1804"/>
      <c r="DP286" s="1804"/>
      <c r="DQ286" s="1804"/>
      <c r="DR286" s="1804"/>
      <c r="DS286" s="1804"/>
      <c r="DT286" s="1804"/>
      <c r="DU286" s="1804"/>
      <c r="DV286" s="1804"/>
      <c r="DW286" s="1804"/>
      <c r="DX286" s="1804"/>
      <c r="DY286" s="1804"/>
      <c r="DZ286" s="1804"/>
      <c r="EA286" s="1804"/>
      <c r="EB286" s="1804"/>
      <c r="EC286" s="1804"/>
      <c r="ED286" s="1804"/>
      <c r="EE286" s="1804"/>
      <c r="EF286" s="1804"/>
      <c r="EG286" s="1804"/>
      <c r="EH286" s="1804"/>
      <c r="EI286" s="1804"/>
      <c r="EJ286" s="1804"/>
      <c r="EK286" s="1804"/>
      <c r="EL286" s="1804"/>
      <c r="EM286" s="1804"/>
      <c r="EN286" s="1804"/>
      <c r="EO286" s="1804"/>
      <c r="EP286" s="1804"/>
      <c r="EQ286" s="1804"/>
      <c r="ER286" s="1804"/>
      <c r="ES286" s="1804"/>
      <c r="ET286" s="1804"/>
      <c r="EU286" s="1804"/>
      <c r="EV286" s="1804"/>
      <c r="EW286" s="1804"/>
      <c r="EX286" s="1804"/>
      <c r="EY286" s="1804"/>
      <c r="EZ286" s="1804"/>
      <c r="FA286" s="1804"/>
      <c r="FB286" s="1804"/>
      <c r="FC286" s="1804"/>
      <c r="FD286" s="1804"/>
      <c r="FE286" s="1804"/>
      <c r="FF286" s="1804"/>
      <c r="FG286" s="1804"/>
      <c r="FH286" s="1804"/>
      <c r="FI286" s="1804"/>
      <c r="FJ286" s="1804"/>
      <c r="FK286" s="1804"/>
      <c r="FL286" s="1804"/>
      <c r="FM286" s="1804"/>
      <c r="FN286" s="1804"/>
      <c r="FO286" s="1804"/>
      <c r="FP286" s="1804"/>
      <c r="FQ286" s="1804"/>
      <c r="FR286" s="1804"/>
      <c r="FS286" s="1804"/>
      <c r="FT286" s="1804"/>
      <c r="FU286" s="1804"/>
      <c r="FV286" s="1804"/>
      <c r="FW286" s="1804"/>
      <c r="FX286" s="1804"/>
      <c r="FY286" s="1804"/>
      <c r="FZ286" s="1804"/>
      <c r="GA286" s="1804"/>
      <c r="GB286" s="1804"/>
      <c r="GC286" s="1804"/>
      <c r="GD286" s="1804"/>
      <c r="GE286" s="1804"/>
      <c r="GF286" s="1804"/>
      <c r="GG286" s="1804"/>
      <c r="GH286" s="1804"/>
      <c r="GI286" s="1804"/>
      <c r="GJ286" s="1804"/>
      <c r="GK286" s="1804"/>
      <c r="GL286" s="1804"/>
      <c r="GM286" s="1804"/>
      <c r="GN286" s="1804"/>
      <c r="GO286" s="1804"/>
      <c r="GP286" s="1804"/>
      <c r="GQ286" s="1804"/>
      <c r="GR286" s="1804"/>
      <c r="GS286" s="1804"/>
      <c r="GT286" s="1804"/>
      <c r="GU286" s="1804"/>
      <c r="GV286" s="1804"/>
      <c r="GW286" s="1804"/>
      <c r="GX286" s="1804"/>
      <c r="GY286" s="1804"/>
      <c r="GZ286" s="1804"/>
      <c r="HA286" s="1804"/>
      <c r="HB286" s="1804"/>
      <c r="HC286" s="1804"/>
      <c r="HD286" s="1804"/>
      <c r="HE286" s="1804"/>
      <c r="HF286" s="1804"/>
      <c r="HG286" s="1804"/>
      <c r="HH286" s="1804"/>
      <c r="HI286" s="1804"/>
      <c r="HJ286" s="1804"/>
      <c r="HK286" s="1804"/>
      <c r="HL286" s="1804"/>
      <c r="HM286" s="1804"/>
      <c r="HN286" s="1804"/>
      <c r="HO286" s="1804"/>
      <c r="HP286" s="1804"/>
      <c r="HQ286" s="1804"/>
      <c r="HR286" s="1804"/>
      <c r="HS286" s="1804"/>
      <c r="HT286" s="1804"/>
      <c r="HU286" s="1804"/>
      <c r="HV286" s="1804"/>
      <c r="HW286" s="1804"/>
      <c r="HX286" s="1804"/>
      <c r="HY286" s="1804"/>
      <c r="HZ286" s="1804"/>
      <c r="IA286" s="1804"/>
      <c r="IB286" s="1804"/>
      <c r="IC286" s="1804"/>
      <c r="ID286" s="1804"/>
      <c r="IE286" s="1804"/>
      <c r="IF286" s="1804"/>
      <c r="IG286" s="1804"/>
      <c r="IH286" s="1804"/>
      <c r="II286" s="1804"/>
      <c r="IJ286" s="1804"/>
      <c r="IK286" s="1804"/>
      <c r="IL286" s="1804"/>
      <c r="IM286" s="1804"/>
      <c r="IN286" s="1804"/>
      <c r="IO286" s="1804"/>
      <c r="IP286" s="1804"/>
      <c r="IQ286" s="1804"/>
      <c r="IR286" s="1804"/>
      <c r="IS286" s="1804"/>
      <c r="IT286" s="1804"/>
      <c r="IU286" s="1804"/>
      <c r="IV286" s="1804"/>
      <c r="IW286" s="1804"/>
    </row>
    <row r="287" spans="3:257" s="888" customFormat="1" x14ac:dyDescent="0.45">
      <c r="C287" s="67" t="s">
        <v>650</v>
      </c>
      <c r="D287" s="68" t="s">
        <v>651</v>
      </c>
      <c r="E287" s="69"/>
      <c r="F287" s="110">
        <f t="shared" ref="F287:G299" si="49">F243*EF_GHG_AFT*ConFact_0.001</f>
        <v>0</v>
      </c>
      <c r="G287" s="110">
        <f t="shared" si="49"/>
        <v>0</v>
      </c>
      <c r="H287" s="110">
        <f t="shared" ref="H287:I299" si="50">H243*EF_GHG_DieselAvBio_Transport*ConFact_0.001</f>
        <v>0</v>
      </c>
      <c r="I287" s="110">
        <f t="shared" si="50"/>
        <v>0</v>
      </c>
      <c r="J287" s="110">
        <f t="shared" si="20"/>
        <v>0</v>
      </c>
      <c r="K287" s="110">
        <f t="shared" si="21"/>
        <v>0</v>
      </c>
      <c r="L287" s="111">
        <f t="shared" si="22"/>
        <v>0</v>
      </c>
      <c r="M287" s="110">
        <f t="shared" si="23"/>
        <v>0</v>
      </c>
      <c r="N287" s="93"/>
      <c r="O287" s="110">
        <f t="shared" si="24"/>
        <v>0</v>
      </c>
      <c r="P287" s="110">
        <f t="shared" si="25"/>
        <v>0</v>
      </c>
      <c r="Q287" s="110">
        <f t="shared" si="26"/>
        <v>0</v>
      </c>
      <c r="R287" s="110">
        <f t="shared" si="27"/>
        <v>0</v>
      </c>
      <c r="S287" s="110">
        <f t="shared" si="28"/>
        <v>0</v>
      </c>
      <c r="T287" s="110">
        <f t="shared" si="29"/>
        <v>0</v>
      </c>
      <c r="U287" s="111">
        <f t="shared" si="30"/>
        <v>0</v>
      </c>
      <c r="V287" s="110">
        <f t="shared" si="31"/>
        <v>0</v>
      </c>
      <c r="W287" s="93"/>
      <c r="X287" s="110">
        <f t="shared" si="32"/>
        <v>0</v>
      </c>
      <c r="Y287" s="110">
        <f t="shared" si="33"/>
        <v>0</v>
      </c>
      <c r="Z287" s="110">
        <f t="shared" si="34"/>
        <v>0</v>
      </c>
      <c r="AA287" s="110">
        <f t="shared" si="35"/>
        <v>0</v>
      </c>
      <c r="AB287" s="110">
        <f t="shared" si="36"/>
        <v>0</v>
      </c>
      <c r="AC287" s="110">
        <f t="shared" si="37"/>
        <v>0</v>
      </c>
      <c r="AD287" s="110">
        <f t="shared" si="38"/>
        <v>0</v>
      </c>
      <c r="AE287" s="110">
        <f t="shared" si="39"/>
        <v>0</v>
      </c>
      <c r="AF287" s="110">
        <f t="shared" si="40"/>
        <v>0</v>
      </c>
      <c r="AG287" s="110">
        <f t="shared" si="41"/>
        <v>0</v>
      </c>
      <c r="AH287" s="110">
        <f t="shared" si="42"/>
        <v>0</v>
      </c>
      <c r="AI287" s="110">
        <f t="shared" si="43"/>
        <v>0</v>
      </c>
      <c r="AJ287" s="110">
        <f t="shared" si="44"/>
        <v>0</v>
      </c>
      <c r="AK287" s="110">
        <f t="shared" si="45"/>
        <v>0</v>
      </c>
      <c r="AL287" s="110">
        <f t="shared" si="46"/>
        <v>0</v>
      </c>
      <c r="AM287" s="110">
        <f t="shared" si="47"/>
        <v>0</v>
      </c>
      <c r="AN287" s="111">
        <f t="shared" si="48"/>
        <v>0</v>
      </c>
      <c r="AO287" s="1804"/>
      <c r="AP287" s="1804"/>
      <c r="AQ287" s="1804"/>
      <c r="AR287" s="1804"/>
      <c r="AS287" s="1804"/>
      <c r="AT287" s="1804"/>
      <c r="AU287" s="1804"/>
      <c r="AV287" s="1804"/>
      <c r="AW287" s="1804"/>
      <c r="AX287" s="1804"/>
      <c r="AY287" s="1804"/>
      <c r="AZ287" s="1804"/>
      <c r="BA287" s="1804"/>
      <c r="BB287" s="1804"/>
      <c r="BC287" s="1804"/>
      <c r="BD287" s="1804"/>
      <c r="BE287" s="1804"/>
      <c r="BF287" s="1804"/>
      <c r="BG287" s="1804"/>
      <c r="BH287" s="1804"/>
      <c r="BI287" s="1804"/>
      <c r="BJ287" s="1804"/>
      <c r="BK287" s="1804"/>
      <c r="BL287" s="1804"/>
      <c r="BM287" s="1804"/>
      <c r="BN287" s="1804"/>
      <c r="BO287" s="1804"/>
      <c r="BP287" s="1804"/>
      <c r="BQ287" s="1804"/>
      <c r="BR287" s="1804"/>
      <c r="BS287" s="1804"/>
      <c r="BT287" s="1804"/>
      <c r="BU287" s="1804"/>
      <c r="BV287" s="1804"/>
      <c r="BW287" s="1804"/>
      <c r="BX287" s="1804"/>
      <c r="BY287" s="1804"/>
      <c r="BZ287" s="1804"/>
      <c r="CA287" s="1804"/>
      <c r="CB287" s="1804"/>
      <c r="CC287" s="1804"/>
      <c r="CD287" s="1804"/>
      <c r="CE287" s="1804"/>
      <c r="CF287" s="1804"/>
      <c r="CG287" s="1804"/>
      <c r="CH287" s="1804"/>
      <c r="CI287" s="1804"/>
      <c r="CJ287" s="1804"/>
      <c r="CK287" s="1804"/>
      <c r="CL287" s="1804"/>
      <c r="CM287" s="1804"/>
      <c r="CN287" s="1804"/>
      <c r="CO287" s="1804"/>
      <c r="CP287" s="1804"/>
      <c r="CQ287" s="1804"/>
      <c r="CR287" s="1804"/>
      <c r="CS287" s="1804"/>
      <c r="CT287" s="1804"/>
      <c r="CU287" s="1804"/>
      <c r="CV287" s="1804"/>
      <c r="CW287" s="1804"/>
      <c r="CX287" s="1804"/>
      <c r="CY287" s="1804"/>
      <c r="CZ287" s="1804"/>
      <c r="DA287" s="1804"/>
      <c r="DB287" s="1804"/>
      <c r="DC287" s="1804"/>
      <c r="DD287" s="1804"/>
      <c r="DE287" s="1804"/>
      <c r="DF287" s="1804"/>
      <c r="DG287" s="1804"/>
      <c r="DH287" s="1804"/>
      <c r="DI287" s="1804"/>
      <c r="DJ287" s="1804"/>
      <c r="DK287" s="1804"/>
      <c r="DL287" s="1804"/>
      <c r="DM287" s="1804"/>
      <c r="DN287" s="1804"/>
      <c r="DO287" s="1804"/>
      <c r="DP287" s="1804"/>
      <c r="DQ287" s="1804"/>
      <c r="DR287" s="1804"/>
      <c r="DS287" s="1804"/>
      <c r="DT287" s="1804"/>
      <c r="DU287" s="1804"/>
      <c r="DV287" s="1804"/>
      <c r="DW287" s="1804"/>
      <c r="DX287" s="1804"/>
      <c r="DY287" s="1804"/>
      <c r="DZ287" s="1804"/>
      <c r="EA287" s="1804"/>
      <c r="EB287" s="1804"/>
      <c r="EC287" s="1804"/>
      <c r="ED287" s="1804"/>
      <c r="EE287" s="1804"/>
      <c r="EF287" s="1804"/>
      <c r="EG287" s="1804"/>
      <c r="EH287" s="1804"/>
      <c r="EI287" s="1804"/>
      <c r="EJ287" s="1804"/>
      <c r="EK287" s="1804"/>
      <c r="EL287" s="1804"/>
      <c r="EM287" s="1804"/>
      <c r="EN287" s="1804"/>
      <c r="EO287" s="1804"/>
      <c r="EP287" s="1804"/>
      <c r="EQ287" s="1804"/>
      <c r="ER287" s="1804"/>
      <c r="ES287" s="1804"/>
      <c r="ET287" s="1804"/>
      <c r="EU287" s="1804"/>
      <c r="EV287" s="1804"/>
      <c r="EW287" s="1804"/>
      <c r="EX287" s="1804"/>
      <c r="EY287" s="1804"/>
      <c r="EZ287" s="1804"/>
      <c r="FA287" s="1804"/>
      <c r="FB287" s="1804"/>
      <c r="FC287" s="1804"/>
      <c r="FD287" s="1804"/>
      <c r="FE287" s="1804"/>
      <c r="FF287" s="1804"/>
      <c r="FG287" s="1804"/>
      <c r="FH287" s="1804"/>
      <c r="FI287" s="1804"/>
      <c r="FJ287" s="1804"/>
      <c r="FK287" s="1804"/>
      <c r="FL287" s="1804"/>
      <c r="FM287" s="1804"/>
      <c r="FN287" s="1804"/>
      <c r="FO287" s="1804"/>
      <c r="FP287" s="1804"/>
      <c r="FQ287" s="1804"/>
      <c r="FR287" s="1804"/>
      <c r="FS287" s="1804"/>
      <c r="FT287" s="1804"/>
      <c r="FU287" s="1804"/>
      <c r="FV287" s="1804"/>
      <c r="FW287" s="1804"/>
      <c r="FX287" s="1804"/>
      <c r="FY287" s="1804"/>
      <c r="FZ287" s="1804"/>
      <c r="GA287" s="1804"/>
      <c r="GB287" s="1804"/>
      <c r="GC287" s="1804"/>
      <c r="GD287" s="1804"/>
      <c r="GE287" s="1804"/>
      <c r="GF287" s="1804"/>
      <c r="GG287" s="1804"/>
      <c r="GH287" s="1804"/>
      <c r="GI287" s="1804"/>
      <c r="GJ287" s="1804"/>
      <c r="GK287" s="1804"/>
      <c r="GL287" s="1804"/>
      <c r="GM287" s="1804"/>
      <c r="GN287" s="1804"/>
      <c r="GO287" s="1804"/>
      <c r="GP287" s="1804"/>
      <c r="GQ287" s="1804"/>
      <c r="GR287" s="1804"/>
      <c r="GS287" s="1804"/>
      <c r="GT287" s="1804"/>
      <c r="GU287" s="1804"/>
      <c r="GV287" s="1804"/>
      <c r="GW287" s="1804"/>
      <c r="GX287" s="1804"/>
      <c r="GY287" s="1804"/>
      <c r="GZ287" s="1804"/>
      <c r="HA287" s="1804"/>
      <c r="HB287" s="1804"/>
      <c r="HC287" s="1804"/>
      <c r="HD287" s="1804"/>
      <c r="HE287" s="1804"/>
      <c r="HF287" s="1804"/>
      <c r="HG287" s="1804"/>
      <c r="HH287" s="1804"/>
      <c r="HI287" s="1804"/>
      <c r="HJ287" s="1804"/>
      <c r="HK287" s="1804"/>
      <c r="HL287" s="1804"/>
      <c r="HM287" s="1804"/>
      <c r="HN287" s="1804"/>
      <c r="HO287" s="1804"/>
      <c r="HP287" s="1804"/>
      <c r="HQ287" s="1804"/>
      <c r="HR287" s="1804"/>
      <c r="HS287" s="1804"/>
      <c r="HT287" s="1804"/>
      <c r="HU287" s="1804"/>
      <c r="HV287" s="1804"/>
      <c r="HW287" s="1804"/>
      <c r="HX287" s="1804"/>
      <c r="HY287" s="1804"/>
      <c r="HZ287" s="1804"/>
      <c r="IA287" s="1804"/>
      <c r="IB287" s="1804"/>
      <c r="IC287" s="1804"/>
      <c r="ID287" s="1804"/>
      <c r="IE287" s="1804"/>
      <c r="IF287" s="1804"/>
      <c r="IG287" s="1804"/>
      <c r="IH287" s="1804"/>
      <c r="II287" s="1804"/>
      <c r="IJ287" s="1804"/>
      <c r="IK287" s="1804"/>
      <c r="IL287" s="1804"/>
      <c r="IM287" s="1804"/>
      <c r="IN287" s="1804"/>
      <c r="IO287" s="1804"/>
      <c r="IP287" s="1804"/>
      <c r="IQ287" s="1804"/>
      <c r="IR287" s="1804"/>
      <c r="IS287" s="1804"/>
      <c r="IT287" s="1804"/>
      <c r="IU287" s="1804"/>
      <c r="IV287" s="1804"/>
      <c r="IW287" s="1804"/>
    </row>
    <row r="288" spans="3:257" s="888" customFormat="1" x14ac:dyDescent="0.45">
      <c r="C288" s="67" t="s">
        <v>549</v>
      </c>
      <c r="D288" s="68" t="s">
        <v>652</v>
      </c>
      <c r="E288" s="69"/>
      <c r="F288" s="110">
        <f t="shared" si="49"/>
        <v>0</v>
      </c>
      <c r="G288" s="110">
        <f t="shared" si="49"/>
        <v>0</v>
      </c>
      <c r="H288" s="110">
        <f t="shared" si="50"/>
        <v>0</v>
      </c>
      <c r="I288" s="110">
        <f t="shared" si="50"/>
        <v>0</v>
      </c>
      <c r="J288" s="110">
        <f t="shared" si="20"/>
        <v>0</v>
      </c>
      <c r="K288" s="110">
        <f t="shared" si="21"/>
        <v>0</v>
      </c>
      <c r="L288" s="111">
        <f t="shared" si="22"/>
        <v>0</v>
      </c>
      <c r="M288" s="110">
        <f t="shared" si="23"/>
        <v>0</v>
      </c>
      <c r="N288" s="93"/>
      <c r="O288" s="110">
        <f t="shared" si="24"/>
        <v>0</v>
      </c>
      <c r="P288" s="110">
        <f t="shared" si="25"/>
        <v>0</v>
      </c>
      <c r="Q288" s="110">
        <f t="shared" si="26"/>
        <v>0</v>
      </c>
      <c r="R288" s="110">
        <f t="shared" si="27"/>
        <v>0</v>
      </c>
      <c r="S288" s="110">
        <f t="shared" si="28"/>
        <v>0</v>
      </c>
      <c r="T288" s="110">
        <f t="shared" si="29"/>
        <v>0</v>
      </c>
      <c r="U288" s="111">
        <f t="shared" si="30"/>
        <v>0</v>
      </c>
      <c r="V288" s="110">
        <f t="shared" si="31"/>
        <v>0</v>
      </c>
      <c r="W288" s="93"/>
      <c r="X288" s="110">
        <f t="shared" si="32"/>
        <v>0</v>
      </c>
      <c r="Y288" s="110">
        <f t="shared" si="33"/>
        <v>0</v>
      </c>
      <c r="Z288" s="110">
        <f t="shared" si="34"/>
        <v>0</v>
      </c>
      <c r="AA288" s="110">
        <f t="shared" si="35"/>
        <v>0</v>
      </c>
      <c r="AB288" s="110">
        <f t="shared" si="36"/>
        <v>0</v>
      </c>
      <c r="AC288" s="110">
        <f t="shared" si="37"/>
        <v>0</v>
      </c>
      <c r="AD288" s="110">
        <f t="shared" si="38"/>
        <v>0</v>
      </c>
      <c r="AE288" s="110">
        <f t="shared" si="39"/>
        <v>0</v>
      </c>
      <c r="AF288" s="110">
        <f t="shared" si="40"/>
        <v>0</v>
      </c>
      <c r="AG288" s="110">
        <f t="shared" si="41"/>
        <v>0</v>
      </c>
      <c r="AH288" s="110">
        <f t="shared" si="42"/>
        <v>0</v>
      </c>
      <c r="AI288" s="110">
        <f t="shared" si="43"/>
        <v>0</v>
      </c>
      <c r="AJ288" s="110">
        <f t="shared" si="44"/>
        <v>0</v>
      </c>
      <c r="AK288" s="110">
        <f t="shared" si="45"/>
        <v>0</v>
      </c>
      <c r="AL288" s="110">
        <f t="shared" si="46"/>
        <v>0</v>
      </c>
      <c r="AM288" s="110">
        <f t="shared" si="47"/>
        <v>0</v>
      </c>
      <c r="AN288" s="111">
        <f t="shared" si="48"/>
        <v>0</v>
      </c>
      <c r="AO288" s="1804"/>
      <c r="AP288" s="1804"/>
      <c r="AQ288" s="1804"/>
      <c r="AR288" s="1804"/>
      <c r="AS288" s="1804"/>
      <c r="AT288" s="1804"/>
      <c r="AU288" s="1804"/>
      <c r="AV288" s="1804"/>
      <c r="AW288" s="1804"/>
      <c r="AX288" s="1804"/>
      <c r="AY288" s="1804"/>
      <c r="AZ288" s="1804"/>
      <c r="BA288" s="1804"/>
      <c r="BB288" s="1804"/>
      <c r="BC288" s="1804"/>
      <c r="BD288" s="1804"/>
      <c r="BE288" s="1804"/>
      <c r="BF288" s="1804"/>
      <c r="BG288" s="1804"/>
      <c r="BH288" s="1804"/>
      <c r="BI288" s="1804"/>
      <c r="BJ288" s="1804"/>
      <c r="BK288" s="1804"/>
      <c r="BL288" s="1804"/>
      <c r="BM288" s="1804"/>
      <c r="BN288" s="1804"/>
      <c r="BO288" s="1804"/>
      <c r="BP288" s="1804"/>
      <c r="BQ288" s="1804"/>
      <c r="BR288" s="1804"/>
      <c r="BS288" s="1804"/>
      <c r="BT288" s="1804"/>
      <c r="BU288" s="1804"/>
      <c r="BV288" s="1804"/>
      <c r="BW288" s="1804"/>
      <c r="BX288" s="1804"/>
      <c r="BY288" s="1804"/>
      <c r="BZ288" s="1804"/>
      <c r="CA288" s="1804"/>
      <c r="CB288" s="1804"/>
      <c r="CC288" s="1804"/>
      <c r="CD288" s="1804"/>
      <c r="CE288" s="1804"/>
      <c r="CF288" s="1804"/>
      <c r="CG288" s="1804"/>
      <c r="CH288" s="1804"/>
      <c r="CI288" s="1804"/>
      <c r="CJ288" s="1804"/>
      <c r="CK288" s="1804"/>
      <c r="CL288" s="1804"/>
      <c r="CM288" s="1804"/>
      <c r="CN288" s="1804"/>
      <c r="CO288" s="1804"/>
      <c r="CP288" s="1804"/>
      <c r="CQ288" s="1804"/>
      <c r="CR288" s="1804"/>
      <c r="CS288" s="1804"/>
      <c r="CT288" s="1804"/>
      <c r="CU288" s="1804"/>
      <c r="CV288" s="1804"/>
      <c r="CW288" s="1804"/>
      <c r="CX288" s="1804"/>
      <c r="CY288" s="1804"/>
      <c r="CZ288" s="1804"/>
      <c r="DA288" s="1804"/>
      <c r="DB288" s="1804"/>
      <c r="DC288" s="1804"/>
      <c r="DD288" s="1804"/>
      <c r="DE288" s="1804"/>
      <c r="DF288" s="1804"/>
      <c r="DG288" s="1804"/>
      <c r="DH288" s="1804"/>
      <c r="DI288" s="1804"/>
      <c r="DJ288" s="1804"/>
      <c r="DK288" s="1804"/>
      <c r="DL288" s="1804"/>
      <c r="DM288" s="1804"/>
      <c r="DN288" s="1804"/>
      <c r="DO288" s="1804"/>
      <c r="DP288" s="1804"/>
      <c r="DQ288" s="1804"/>
      <c r="DR288" s="1804"/>
      <c r="DS288" s="1804"/>
      <c r="DT288" s="1804"/>
      <c r="DU288" s="1804"/>
      <c r="DV288" s="1804"/>
      <c r="DW288" s="1804"/>
      <c r="DX288" s="1804"/>
      <c r="DY288" s="1804"/>
      <c r="DZ288" s="1804"/>
      <c r="EA288" s="1804"/>
      <c r="EB288" s="1804"/>
      <c r="EC288" s="1804"/>
      <c r="ED288" s="1804"/>
      <c r="EE288" s="1804"/>
      <c r="EF288" s="1804"/>
      <c r="EG288" s="1804"/>
      <c r="EH288" s="1804"/>
      <c r="EI288" s="1804"/>
      <c r="EJ288" s="1804"/>
      <c r="EK288" s="1804"/>
      <c r="EL288" s="1804"/>
      <c r="EM288" s="1804"/>
      <c r="EN288" s="1804"/>
      <c r="EO288" s="1804"/>
      <c r="EP288" s="1804"/>
      <c r="EQ288" s="1804"/>
      <c r="ER288" s="1804"/>
      <c r="ES288" s="1804"/>
      <c r="ET288" s="1804"/>
      <c r="EU288" s="1804"/>
      <c r="EV288" s="1804"/>
      <c r="EW288" s="1804"/>
      <c r="EX288" s="1804"/>
      <c r="EY288" s="1804"/>
      <c r="EZ288" s="1804"/>
      <c r="FA288" s="1804"/>
      <c r="FB288" s="1804"/>
      <c r="FC288" s="1804"/>
      <c r="FD288" s="1804"/>
      <c r="FE288" s="1804"/>
      <c r="FF288" s="1804"/>
      <c r="FG288" s="1804"/>
      <c r="FH288" s="1804"/>
      <c r="FI288" s="1804"/>
      <c r="FJ288" s="1804"/>
      <c r="FK288" s="1804"/>
      <c r="FL288" s="1804"/>
      <c r="FM288" s="1804"/>
      <c r="FN288" s="1804"/>
      <c r="FO288" s="1804"/>
      <c r="FP288" s="1804"/>
      <c r="FQ288" s="1804"/>
      <c r="FR288" s="1804"/>
      <c r="FS288" s="1804"/>
      <c r="FT288" s="1804"/>
      <c r="FU288" s="1804"/>
      <c r="FV288" s="1804"/>
      <c r="FW288" s="1804"/>
      <c r="FX288" s="1804"/>
      <c r="FY288" s="1804"/>
      <c r="FZ288" s="1804"/>
      <c r="GA288" s="1804"/>
      <c r="GB288" s="1804"/>
      <c r="GC288" s="1804"/>
      <c r="GD288" s="1804"/>
      <c r="GE288" s="1804"/>
      <c r="GF288" s="1804"/>
      <c r="GG288" s="1804"/>
      <c r="GH288" s="1804"/>
      <c r="GI288" s="1804"/>
      <c r="GJ288" s="1804"/>
      <c r="GK288" s="1804"/>
      <c r="GL288" s="1804"/>
      <c r="GM288" s="1804"/>
      <c r="GN288" s="1804"/>
      <c r="GO288" s="1804"/>
      <c r="GP288" s="1804"/>
      <c r="GQ288" s="1804"/>
      <c r="GR288" s="1804"/>
      <c r="GS288" s="1804"/>
      <c r="GT288" s="1804"/>
      <c r="GU288" s="1804"/>
      <c r="GV288" s="1804"/>
      <c r="GW288" s="1804"/>
      <c r="GX288" s="1804"/>
      <c r="GY288" s="1804"/>
      <c r="GZ288" s="1804"/>
      <c r="HA288" s="1804"/>
      <c r="HB288" s="1804"/>
      <c r="HC288" s="1804"/>
      <c r="HD288" s="1804"/>
      <c r="HE288" s="1804"/>
      <c r="HF288" s="1804"/>
      <c r="HG288" s="1804"/>
      <c r="HH288" s="1804"/>
      <c r="HI288" s="1804"/>
      <c r="HJ288" s="1804"/>
      <c r="HK288" s="1804"/>
      <c r="HL288" s="1804"/>
      <c r="HM288" s="1804"/>
      <c r="HN288" s="1804"/>
      <c r="HO288" s="1804"/>
      <c r="HP288" s="1804"/>
      <c r="HQ288" s="1804"/>
      <c r="HR288" s="1804"/>
      <c r="HS288" s="1804"/>
      <c r="HT288" s="1804"/>
      <c r="HU288" s="1804"/>
      <c r="HV288" s="1804"/>
      <c r="HW288" s="1804"/>
      <c r="HX288" s="1804"/>
      <c r="HY288" s="1804"/>
      <c r="HZ288" s="1804"/>
      <c r="IA288" s="1804"/>
      <c r="IB288" s="1804"/>
      <c r="IC288" s="1804"/>
      <c r="ID288" s="1804"/>
      <c r="IE288" s="1804"/>
      <c r="IF288" s="1804"/>
      <c r="IG288" s="1804"/>
      <c r="IH288" s="1804"/>
      <c r="II288" s="1804"/>
      <c r="IJ288" s="1804"/>
      <c r="IK288" s="1804"/>
      <c r="IL288" s="1804"/>
      <c r="IM288" s="1804"/>
      <c r="IN288" s="1804"/>
      <c r="IO288" s="1804"/>
      <c r="IP288" s="1804"/>
      <c r="IQ288" s="1804"/>
      <c r="IR288" s="1804"/>
      <c r="IS288" s="1804"/>
      <c r="IT288" s="1804"/>
      <c r="IU288" s="1804"/>
      <c r="IV288" s="1804"/>
      <c r="IW288" s="1804"/>
    </row>
    <row r="289" spans="3:257" s="888" customFormat="1" x14ac:dyDescent="0.45">
      <c r="C289" s="67" t="s">
        <v>550</v>
      </c>
      <c r="D289" s="68" t="s">
        <v>653</v>
      </c>
      <c r="E289" s="69"/>
      <c r="F289" s="110">
        <f t="shared" si="49"/>
        <v>0</v>
      </c>
      <c r="G289" s="110">
        <f t="shared" si="49"/>
        <v>0</v>
      </c>
      <c r="H289" s="110">
        <f t="shared" si="50"/>
        <v>0</v>
      </c>
      <c r="I289" s="110">
        <f t="shared" si="50"/>
        <v>0</v>
      </c>
      <c r="J289" s="110">
        <f t="shared" si="20"/>
        <v>0</v>
      </c>
      <c r="K289" s="110">
        <f t="shared" si="21"/>
        <v>0</v>
      </c>
      <c r="L289" s="111">
        <f t="shared" si="22"/>
        <v>0</v>
      </c>
      <c r="M289" s="110">
        <f t="shared" si="23"/>
        <v>0</v>
      </c>
      <c r="N289" s="93"/>
      <c r="O289" s="110">
        <f t="shared" si="24"/>
        <v>0</v>
      </c>
      <c r="P289" s="110">
        <f t="shared" si="25"/>
        <v>9.7057815647977534</v>
      </c>
      <c r="Q289" s="110">
        <f t="shared" si="26"/>
        <v>0</v>
      </c>
      <c r="R289" s="110">
        <f t="shared" si="27"/>
        <v>0</v>
      </c>
      <c r="S289" s="110">
        <f t="shared" si="28"/>
        <v>0</v>
      </c>
      <c r="T289" s="110">
        <f t="shared" si="29"/>
        <v>0</v>
      </c>
      <c r="U289" s="111">
        <f t="shared" si="30"/>
        <v>0</v>
      </c>
      <c r="V289" s="110">
        <f t="shared" si="31"/>
        <v>0</v>
      </c>
      <c r="W289" s="93"/>
      <c r="X289" s="110">
        <f t="shared" si="32"/>
        <v>0</v>
      </c>
      <c r="Y289" s="110">
        <f t="shared" si="33"/>
        <v>0</v>
      </c>
      <c r="Z289" s="110">
        <f t="shared" si="34"/>
        <v>0</v>
      </c>
      <c r="AA289" s="110">
        <f t="shared" si="35"/>
        <v>0</v>
      </c>
      <c r="AB289" s="110">
        <f t="shared" si="36"/>
        <v>0</v>
      </c>
      <c r="AC289" s="110">
        <f t="shared" si="37"/>
        <v>0</v>
      </c>
      <c r="AD289" s="110">
        <f t="shared" si="38"/>
        <v>0</v>
      </c>
      <c r="AE289" s="110">
        <f t="shared" si="39"/>
        <v>0</v>
      </c>
      <c r="AF289" s="110">
        <f t="shared" si="40"/>
        <v>0</v>
      </c>
      <c r="AG289" s="110">
        <f t="shared" si="41"/>
        <v>0</v>
      </c>
      <c r="AH289" s="110">
        <f t="shared" si="42"/>
        <v>0</v>
      </c>
      <c r="AI289" s="110">
        <f t="shared" si="43"/>
        <v>0</v>
      </c>
      <c r="AJ289" s="110">
        <f t="shared" si="44"/>
        <v>0</v>
      </c>
      <c r="AK289" s="110">
        <f t="shared" si="45"/>
        <v>9.7057815647977534</v>
      </c>
      <c r="AL289" s="110">
        <f t="shared" si="46"/>
        <v>0</v>
      </c>
      <c r="AM289" s="110">
        <f t="shared" si="47"/>
        <v>0</v>
      </c>
      <c r="AN289" s="111">
        <f t="shared" si="48"/>
        <v>9.7057815647977534</v>
      </c>
      <c r="AO289" s="1804"/>
      <c r="AP289" s="1804"/>
      <c r="AQ289" s="1804"/>
      <c r="AR289" s="1804"/>
      <c r="AS289" s="1804"/>
      <c r="AT289" s="1804"/>
      <c r="AU289" s="1804"/>
      <c r="AV289" s="1804"/>
      <c r="AW289" s="1804"/>
      <c r="AX289" s="1804"/>
      <c r="AY289" s="1804"/>
      <c r="AZ289" s="1804"/>
      <c r="BA289" s="1804"/>
      <c r="BB289" s="1804"/>
      <c r="BC289" s="1804"/>
      <c r="BD289" s="1804"/>
      <c r="BE289" s="1804"/>
      <c r="BF289" s="1804"/>
      <c r="BG289" s="1804"/>
      <c r="BH289" s="1804"/>
      <c r="BI289" s="1804"/>
      <c r="BJ289" s="1804"/>
      <c r="BK289" s="1804"/>
      <c r="BL289" s="1804"/>
      <c r="BM289" s="1804"/>
      <c r="BN289" s="1804"/>
      <c r="BO289" s="1804"/>
      <c r="BP289" s="1804"/>
      <c r="BQ289" s="1804"/>
      <c r="BR289" s="1804"/>
      <c r="BS289" s="1804"/>
      <c r="BT289" s="1804"/>
      <c r="BU289" s="1804"/>
      <c r="BV289" s="1804"/>
      <c r="BW289" s="1804"/>
      <c r="BX289" s="1804"/>
      <c r="BY289" s="1804"/>
      <c r="BZ289" s="1804"/>
      <c r="CA289" s="1804"/>
      <c r="CB289" s="1804"/>
      <c r="CC289" s="1804"/>
      <c r="CD289" s="1804"/>
      <c r="CE289" s="1804"/>
      <c r="CF289" s="1804"/>
      <c r="CG289" s="1804"/>
      <c r="CH289" s="1804"/>
      <c r="CI289" s="1804"/>
      <c r="CJ289" s="1804"/>
      <c r="CK289" s="1804"/>
      <c r="CL289" s="1804"/>
      <c r="CM289" s="1804"/>
      <c r="CN289" s="1804"/>
      <c r="CO289" s="1804"/>
      <c r="CP289" s="1804"/>
      <c r="CQ289" s="1804"/>
      <c r="CR289" s="1804"/>
      <c r="CS289" s="1804"/>
      <c r="CT289" s="1804"/>
      <c r="CU289" s="1804"/>
      <c r="CV289" s="1804"/>
      <c r="CW289" s="1804"/>
      <c r="CX289" s="1804"/>
      <c r="CY289" s="1804"/>
      <c r="CZ289" s="1804"/>
      <c r="DA289" s="1804"/>
      <c r="DB289" s="1804"/>
      <c r="DC289" s="1804"/>
      <c r="DD289" s="1804"/>
      <c r="DE289" s="1804"/>
      <c r="DF289" s="1804"/>
      <c r="DG289" s="1804"/>
      <c r="DH289" s="1804"/>
      <c r="DI289" s="1804"/>
      <c r="DJ289" s="1804"/>
      <c r="DK289" s="1804"/>
      <c r="DL289" s="1804"/>
      <c r="DM289" s="1804"/>
      <c r="DN289" s="1804"/>
      <c r="DO289" s="1804"/>
      <c r="DP289" s="1804"/>
      <c r="DQ289" s="1804"/>
      <c r="DR289" s="1804"/>
      <c r="DS289" s="1804"/>
      <c r="DT289" s="1804"/>
      <c r="DU289" s="1804"/>
      <c r="DV289" s="1804"/>
      <c r="DW289" s="1804"/>
      <c r="DX289" s="1804"/>
      <c r="DY289" s="1804"/>
      <c r="DZ289" s="1804"/>
      <c r="EA289" s="1804"/>
      <c r="EB289" s="1804"/>
      <c r="EC289" s="1804"/>
      <c r="ED289" s="1804"/>
      <c r="EE289" s="1804"/>
      <c r="EF289" s="1804"/>
      <c r="EG289" s="1804"/>
      <c r="EH289" s="1804"/>
      <c r="EI289" s="1804"/>
      <c r="EJ289" s="1804"/>
      <c r="EK289" s="1804"/>
      <c r="EL289" s="1804"/>
      <c r="EM289" s="1804"/>
      <c r="EN289" s="1804"/>
      <c r="EO289" s="1804"/>
      <c r="EP289" s="1804"/>
      <c r="EQ289" s="1804"/>
      <c r="ER289" s="1804"/>
      <c r="ES289" s="1804"/>
      <c r="ET289" s="1804"/>
      <c r="EU289" s="1804"/>
      <c r="EV289" s="1804"/>
      <c r="EW289" s="1804"/>
      <c r="EX289" s="1804"/>
      <c r="EY289" s="1804"/>
      <c r="EZ289" s="1804"/>
      <c r="FA289" s="1804"/>
      <c r="FB289" s="1804"/>
      <c r="FC289" s="1804"/>
      <c r="FD289" s="1804"/>
      <c r="FE289" s="1804"/>
      <c r="FF289" s="1804"/>
      <c r="FG289" s="1804"/>
      <c r="FH289" s="1804"/>
      <c r="FI289" s="1804"/>
      <c r="FJ289" s="1804"/>
      <c r="FK289" s="1804"/>
      <c r="FL289" s="1804"/>
      <c r="FM289" s="1804"/>
      <c r="FN289" s="1804"/>
      <c r="FO289" s="1804"/>
      <c r="FP289" s="1804"/>
      <c r="FQ289" s="1804"/>
      <c r="FR289" s="1804"/>
      <c r="FS289" s="1804"/>
      <c r="FT289" s="1804"/>
      <c r="FU289" s="1804"/>
      <c r="FV289" s="1804"/>
      <c r="FW289" s="1804"/>
      <c r="FX289" s="1804"/>
      <c r="FY289" s="1804"/>
      <c r="FZ289" s="1804"/>
      <c r="GA289" s="1804"/>
      <c r="GB289" s="1804"/>
      <c r="GC289" s="1804"/>
      <c r="GD289" s="1804"/>
      <c r="GE289" s="1804"/>
      <c r="GF289" s="1804"/>
      <c r="GG289" s="1804"/>
      <c r="GH289" s="1804"/>
      <c r="GI289" s="1804"/>
      <c r="GJ289" s="1804"/>
      <c r="GK289" s="1804"/>
      <c r="GL289" s="1804"/>
      <c r="GM289" s="1804"/>
      <c r="GN289" s="1804"/>
      <c r="GO289" s="1804"/>
      <c r="GP289" s="1804"/>
      <c r="GQ289" s="1804"/>
      <c r="GR289" s="1804"/>
      <c r="GS289" s="1804"/>
      <c r="GT289" s="1804"/>
      <c r="GU289" s="1804"/>
      <c r="GV289" s="1804"/>
      <c r="GW289" s="1804"/>
      <c r="GX289" s="1804"/>
      <c r="GY289" s="1804"/>
      <c r="GZ289" s="1804"/>
      <c r="HA289" s="1804"/>
      <c r="HB289" s="1804"/>
      <c r="HC289" s="1804"/>
      <c r="HD289" s="1804"/>
      <c r="HE289" s="1804"/>
      <c r="HF289" s="1804"/>
      <c r="HG289" s="1804"/>
      <c r="HH289" s="1804"/>
      <c r="HI289" s="1804"/>
      <c r="HJ289" s="1804"/>
      <c r="HK289" s="1804"/>
      <c r="HL289" s="1804"/>
      <c r="HM289" s="1804"/>
      <c r="HN289" s="1804"/>
      <c r="HO289" s="1804"/>
      <c r="HP289" s="1804"/>
      <c r="HQ289" s="1804"/>
      <c r="HR289" s="1804"/>
      <c r="HS289" s="1804"/>
      <c r="HT289" s="1804"/>
      <c r="HU289" s="1804"/>
      <c r="HV289" s="1804"/>
      <c r="HW289" s="1804"/>
      <c r="HX289" s="1804"/>
      <c r="HY289" s="1804"/>
      <c r="HZ289" s="1804"/>
      <c r="IA289" s="1804"/>
      <c r="IB289" s="1804"/>
      <c r="IC289" s="1804"/>
      <c r="ID289" s="1804"/>
      <c r="IE289" s="1804"/>
      <c r="IF289" s="1804"/>
      <c r="IG289" s="1804"/>
      <c r="IH289" s="1804"/>
      <c r="II289" s="1804"/>
      <c r="IJ289" s="1804"/>
      <c r="IK289" s="1804"/>
      <c r="IL289" s="1804"/>
      <c r="IM289" s="1804"/>
      <c r="IN289" s="1804"/>
      <c r="IO289" s="1804"/>
      <c r="IP289" s="1804"/>
      <c r="IQ289" s="1804"/>
      <c r="IR289" s="1804"/>
      <c r="IS289" s="1804"/>
      <c r="IT289" s="1804"/>
      <c r="IU289" s="1804"/>
      <c r="IV289" s="1804"/>
      <c r="IW289" s="1804"/>
    </row>
    <row r="290" spans="3:257" s="888" customFormat="1" x14ac:dyDescent="0.45">
      <c r="C290" s="67" t="s">
        <v>551</v>
      </c>
      <c r="D290" s="68" t="s">
        <v>654</v>
      </c>
      <c r="E290" s="69"/>
      <c r="F290" s="110">
        <f t="shared" si="49"/>
        <v>0</v>
      </c>
      <c r="G290" s="110">
        <f t="shared" si="49"/>
        <v>0</v>
      </c>
      <c r="H290" s="110">
        <f t="shared" si="50"/>
        <v>0</v>
      </c>
      <c r="I290" s="110">
        <f t="shared" si="50"/>
        <v>0</v>
      </c>
      <c r="J290" s="110">
        <f t="shared" si="20"/>
        <v>0</v>
      </c>
      <c r="K290" s="110">
        <f t="shared" si="21"/>
        <v>0</v>
      </c>
      <c r="L290" s="111">
        <f t="shared" si="22"/>
        <v>0</v>
      </c>
      <c r="M290" s="110">
        <f t="shared" si="23"/>
        <v>0</v>
      </c>
      <c r="N290" s="93"/>
      <c r="O290" s="110">
        <f t="shared" si="24"/>
        <v>0</v>
      </c>
      <c r="P290" s="110">
        <f t="shared" si="25"/>
        <v>0</v>
      </c>
      <c r="Q290" s="110">
        <f t="shared" si="26"/>
        <v>0</v>
      </c>
      <c r="R290" s="110">
        <f t="shared" si="27"/>
        <v>0</v>
      </c>
      <c r="S290" s="110">
        <f t="shared" si="28"/>
        <v>0</v>
      </c>
      <c r="T290" s="110">
        <f t="shared" si="29"/>
        <v>0</v>
      </c>
      <c r="U290" s="111">
        <f t="shared" si="30"/>
        <v>0</v>
      </c>
      <c r="V290" s="110">
        <f t="shared" si="31"/>
        <v>0</v>
      </c>
      <c r="W290" s="93"/>
      <c r="X290" s="110">
        <f t="shared" si="32"/>
        <v>0</v>
      </c>
      <c r="Y290" s="110">
        <f t="shared" si="33"/>
        <v>0</v>
      </c>
      <c r="Z290" s="110">
        <f t="shared" si="34"/>
        <v>0</v>
      </c>
      <c r="AA290" s="110">
        <f t="shared" si="35"/>
        <v>0</v>
      </c>
      <c r="AB290" s="110">
        <f t="shared" si="36"/>
        <v>0</v>
      </c>
      <c r="AC290" s="110">
        <f t="shared" si="37"/>
        <v>0</v>
      </c>
      <c r="AD290" s="110">
        <f t="shared" si="38"/>
        <v>0</v>
      </c>
      <c r="AE290" s="110">
        <f t="shared" si="39"/>
        <v>0</v>
      </c>
      <c r="AF290" s="110">
        <f t="shared" si="40"/>
        <v>0</v>
      </c>
      <c r="AG290" s="110">
        <f t="shared" si="41"/>
        <v>0</v>
      </c>
      <c r="AH290" s="110">
        <f t="shared" si="42"/>
        <v>0</v>
      </c>
      <c r="AI290" s="110">
        <f t="shared" si="43"/>
        <v>0</v>
      </c>
      <c r="AJ290" s="110">
        <f t="shared" si="44"/>
        <v>0</v>
      </c>
      <c r="AK290" s="110">
        <f t="shared" si="45"/>
        <v>0</v>
      </c>
      <c r="AL290" s="110">
        <f t="shared" si="46"/>
        <v>0</v>
      </c>
      <c r="AM290" s="110">
        <f t="shared" si="47"/>
        <v>0</v>
      </c>
      <c r="AN290" s="111">
        <f t="shared" si="48"/>
        <v>0</v>
      </c>
      <c r="AO290" s="1804"/>
      <c r="AP290" s="1804"/>
      <c r="AQ290" s="1804"/>
      <c r="AR290" s="1804"/>
      <c r="AS290" s="1804"/>
      <c r="AT290" s="1804"/>
      <c r="AU290" s="1804"/>
      <c r="AV290" s="1804"/>
      <c r="AW290" s="1804"/>
      <c r="AX290" s="1804"/>
      <c r="AY290" s="1804"/>
      <c r="AZ290" s="1804"/>
      <c r="BA290" s="1804"/>
      <c r="BB290" s="1804"/>
      <c r="BC290" s="1804"/>
      <c r="BD290" s="1804"/>
      <c r="BE290" s="1804"/>
      <c r="BF290" s="1804"/>
      <c r="BG290" s="1804"/>
      <c r="BH290" s="1804"/>
      <c r="BI290" s="1804"/>
      <c r="BJ290" s="1804"/>
      <c r="BK290" s="1804"/>
      <c r="BL290" s="1804"/>
      <c r="BM290" s="1804"/>
      <c r="BN290" s="1804"/>
      <c r="BO290" s="1804"/>
      <c r="BP290" s="1804"/>
      <c r="BQ290" s="1804"/>
      <c r="BR290" s="1804"/>
      <c r="BS290" s="1804"/>
      <c r="BT290" s="1804"/>
      <c r="BU290" s="1804"/>
      <c r="BV290" s="1804"/>
      <c r="BW290" s="1804"/>
      <c r="BX290" s="1804"/>
      <c r="BY290" s="1804"/>
      <c r="BZ290" s="1804"/>
      <c r="CA290" s="1804"/>
      <c r="CB290" s="1804"/>
      <c r="CC290" s="1804"/>
      <c r="CD290" s="1804"/>
      <c r="CE290" s="1804"/>
      <c r="CF290" s="1804"/>
      <c r="CG290" s="1804"/>
      <c r="CH290" s="1804"/>
      <c r="CI290" s="1804"/>
      <c r="CJ290" s="1804"/>
      <c r="CK290" s="1804"/>
      <c r="CL290" s="1804"/>
      <c r="CM290" s="1804"/>
      <c r="CN290" s="1804"/>
      <c r="CO290" s="1804"/>
      <c r="CP290" s="1804"/>
      <c r="CQ290" s="1804"/>
      <c r="CR290" s="1804"/>
      <c r="CS290" s="1804"/>
      <c r="CT290" s="1804"/>
      <c r="CU290" s="1804"/>
      <c r="CV290" s="1804"/>
      <c r="CW290" s="1804"/>
      <c r="CX290" s="1804"/>
      <c r="CY290" s="1804"/>
      <c r="CZ290" s="1804"/>
      <c r="DA290" s="1804"/>
      <c r="DB290" s="1804"/>
      <c r="DC290" s="1804"/>
      <c r="DD290" s="1804"/>
      <c r="DE290" s="1804"/>
      <c r="DF290" s="1804"/>
      <c r="DG290" s="1804"/>
      <c r="DH290" s="1804"/>
      <c r="DI290" s="1804"/>
      <c r="DJ290" s="1804"/>
      <c r="DK290" s="1804"/>
      <c r="DL290" s="1804"/>
      <c r="DM290" s="1804"/>
      <c r="DN290" s="1804"/>
      <c r="DO290" s="1804"/>
      <c r="DP290" s="1804"/>
      <c r="DQ290" s="1804"/>
      <c r="DR290" s="1804"/>
      <c r="DS290" s="1804"/>
      <c r="DT290" s="1804"/>
      <c r="DU290" s="1804"/>
      <c r="DV290" s="1804"/>
      <c r="DW290" s="1804"/>
      <c r="DX290" s="1804"/>
      <c r="DY290" s="1804"/>
      <c r="DZ290" s="1804"/>
      <c r="EA290" s="1804"/>
      <c r="EB290" s="1804"/>
      <c r="EC290" s="1804"/>
      <c r="ED290" s="1804"/>
      <c r="EE290" s="1804"/>
      <c r="EF290" s="1804"/>
      <c r="EG290" s="1804"/>
      <c r="EH290" s="1804"/>
      <c r="EI290" s="1804"/>
      <c r="EJ290" s="1804"/>
      <c r="EK290" s="1804"/>
      <c r="EL290" s="1804"/>
      <c r="EM290" s="1804"/>
      <c r="EN290" s="1804"/>
      <c r="EO290" s="1804"/>
      <c r="EP290" s="1804"/>
      <c r="EQ290" s="1804"/>
      <c r="ER290" s="1804"/>
      <c r="ES290" s="1804"/>
      <c r="ET290" s="1804"/>
      <c r="EU290" s="1804"/>
      <c r="EV290" s="1804"/>
      <c r="EW290" s="1804"/>
      <c r="EX290" s="1804"/>
      <c r="EY290" s="1804"/>
      <c r="EZ290" s="1804"/>
      <c r="FA290" s="1804"/>
      <c r="FB290" s="1804"/>
      <c r="FC290" s="1804"/>
      <c r="FD290" s="1804"/>
      <c r="FE290" s="1804"/>
      <c r="FF290" s="1804"/>
      <c r="FG290" s="1804"/>
      <c r="FH290" s="1804"/>
      <c r="FI290" s="1804"/>
      <c r="FJ290" s="1804"/>
      <c r="FK290" s="1804"/>
      <c r="FL290" s="1804"/>
      <c r="FM290" s="1804"/>
      <c r="FN290" s="1804"/>
      <c r="FO290" s="1804"/>
      <c r="FP290" s="1804"/>
      <c r="FQ290" s="1804"/>
      <c r="FR290" s="1804"/>
      <c r="FS290" s="1804"/>
      <c r="FT290" s="1804"/>
      <c r="FU290" s="1804"/>
      <c r="FV290" s="1804"/>
      <c r="FW290" s="1804"/>
      <c r="FX290" s="1804"/>
      <c r="FY290" s="1804"/>
      <c r="FZ290" s="1804"/>
      <c r="GA290" s="1804"/>
      <c r="GB290" s="1804"/>
      <c r="GC290" s="1804"/>
      <c r="GD290" s="1804"/>
      <c r="GE290" s="1804"/>
      <c r="GF290" s="1804"/>
      <c r="GG290" s="1804"/>
      <c r="GH290" s="1804"/>
      <c r="GI290" s="1804"/>
      <c r="GJ290" s="1804"/>
      <c r="GK290" s="1804"/>
      <c r="GL290" s="1804"/>
      <c r="GM290" s="1804"/>
      <c r="GN290" s="1804"/>
      <c r="GO290" s="1804"/>
      <c r="GP290" s="1804"/>
      <c r="GQ290" s="1804"/>
      <c r="GR290" s="1804"/>
      <c r="GS290" s="1804"/>
      <c r="GT290" s="1804"/>
      <c r="GU290" s="1804"/>
      <c r="GV290" s="1804"/>
      <c r="GW290" s="1804"/>
      <c r="GX290" s="1804"/>
      <c r="GY290" s="1804"/>
      <c r="GZ290" s="1804"/>
      <c r="HA290" s="1804"/>
      <c r="HB290" s="1804"/>
      <c r="HC290" s="1804"/>
      <c r="HD290" s="1804"/>
      <c r="HE290" s="1804"/>
      <c r="HF290" s="1804"/>
      <c r="HG290" s="1804"/>
      <c r="HH290" s="1804"/>
      <c r="HI290" s="1804"/>
      <c r="HJ290" s="1804"/>
      <c r="HK290" s="1804"/>
      <c r="HL290" s="1804"/>
      <c r="HM290" s="1804"/>
      <c r="HN290" s="1804"/>
      <c r="HO290" s="1804"/>
      <c r="HP290" s="1804"/>
      <c r="HQ290" s="1804"/>
      <c r="HR290" s="1804"/>
      <c r="HS290" s="1804"/>
      <c r="HT290" s="1804"/>
      <c r="HU290" s="1804"/>
      <c r="HV290" s="1804"/>
      <c r="HW290" s="1804"/>
      <c r="HX290" s="1804"/>
      <c r="HY290" s="1804"/>
      <c r="HZ290" s="1804"/>
      <c r="IA290" s="1804"/>
      <c r="IB290" s="1804"/>
      <c r="IC290" s="1804"/>
      <c r="ID290" s="1804"/>
      <c r="IE290" s="1804"/>
      <c r="IF290" s="1804"/>
      <c r="IG290" s="1804"/>
      <c r="IH290" s="1804"/>
      <c r="II290" s="1804"/>
      <c r="IJ290" s="1804"/>
      <c r="IK290" s="1804"/>
      <c r="IL290" s="1804"/>
      <c r="IM290" s="1804"/>
      <c r="IN290" s="1804"/>
      <c r="IO290" s="1804"/>
      <c r="IP290" s="1804"/>
      <c r="IQ290" s="1804"/>
      <c r="IR290" s="1804"/>
      <c r="IS290" s="1804"/>
      <c r="IT290" s="1804"/>
      <c r="IU290" s="1804"/>
      <c r="IV290" s="1804"/>
      <c r="IW290" s="1804"/>
    </row>
    <row r="291" spans="3:257" s="888" customFormat="1" x14ac:dyDescent="0.45">
      <c r="C291" s="67" t="s">
        <v>552</v>
      </c>
      <c r="D291" s="68" t="s">
        <v>655</v>
      </c>
      <c r="E291" s="69"/>
      <c r="F291" s="110">
        <f t="shared" si="49"/>
        <v>0</v>
      </c>
      <c r="G291" s="110">
        <f t="shared" si="49"/>
        <v>0</v>
      </c>
      <c r="H291" s="110">
        <f t="shared" si="50"/>
        <v>0</v>
      </c>
      <c r="I291" s="110">
        <f t="shared" si="50"/>
        <v>0</v>
      </c>
      <c r="J291" s="110">
        <f t="shared" si="20"/>
        <v>0</v>
      </c>
      <c r="K291" s="110">
        <f t="shared" si="21"/>
        <v>0</v>
      </c>
      <c r="L291" s="111">
        <f t="shared" si="22"/>
        <v>0</v>
      </c>
      <c r="M291" s="110">
        <f t="shared" si="23"/>
        <v>0</v>
      </c>
      <c r="N291" s="93"/>
      <c r="O291" s="110">
        <f t="shared" si="24"/>
        <v>28483.703197804618</v>
      </c>
      <c r="P291" s="110">
        <f t="shared" si="25"/>
        <v>11702.929629712686</v>
      </c>
      <c r="Q291" s="110">
        <f t="shared" si="26"/>
        <v>61.534881344853432</v>
      </c>
      <c r="R291" s="110">
        <f t="shared" si="27"/>
        <v>320.41333506658736</v>
      </c>
      <c r="S291" s="110">
        <f t="shared" si="28"/>
        <v>0.14208280116413266</v>
      </c>
      <c r="T291" s="110">
        <f t="shared" si="29"/>
        <v>4.3027492683845256</v>
      </c>
      <c r="U291" s="111">
        <f t="shared" si="30"/>
        <v>43.292751590979286</v>
      </c>
      <c r="V291" s="110">
        <f t="shared" si="31"/>
        <v>34.106817685146076</v>
      </c>
      <c r="W291" s="93">
        <v>1512.5512978522786</v>
      </c>
      <c r="X291" s="110">
        <f t="shared" si="32"/>
        <v>0</v>
      </c>
      <c r="Y291" s="110">
        <f t="shared" si="33"/>
        <v>0</v>
      </c>
      <c r="Z291" s="110">
        <f t="shared" si="34"/>
        <v>0</v>
      </c>
      <c r="AA291" s="110">
        <f t="shared" si="35"/>
        <v>0</v>
      </c>
      <c r="AB291" s="110">
        <f t="shared" si="36"/>
        <v>0</v>
      </c>
      <c r="AC291" s="110">
        <f t="shared" si="37"/>
        <v>0</v>
      </c>
      <c r="AD291" s="110">
        <f t="shared" si="38"/>
        <v>0</v>
      </c>
      <c r="AE291" s="110">
        <f t="shared" si="39"/>
        <v>0</v>
      </c>
      <c r="AF291" s="110">
        <f t="shared" si="40"/>
        <v>0</v>
      </c>
      <c r="AG291" s="110">
        <f t="shared" si="41"/>
        <v>0</v>
      </c>
      <c r="AH291" s="110">
        <f t="shared" si="42"/>
        <v>0</v>
      </c>
      <c r="AI291" s="110">
        <f t="shared" si="43"/>
        <v>1.7000070114613581</v>
      </c>
      <c r="AJ291" s="110">
        <f t="shared" si="44"/>
        <v>28483.703197804618</v>
      </c>
      <c r="AK291" s="110">
        <f t="shared" si="45"/>
        <v>11704.629636724147</v>
      </c>
      <c r="AL291" s="110">
        <f t="shared" si="46"/>
        <v>386.39304848098942</v>
      </c>
      <c r="AM291" s="110">
        <f t="shared" si="47"/>
        <v>77.399569276125362</v>
      </c>
      <c r="AN291" s="111">
        <f t="shared" si="48"/>
        <v>40652.12545228588</v>
      </c>
      <c r="AO291" s="1804"/>
      <c r="AP291" s="1804"/>
      <c r="AQ291" s="1804"/>
      <c r="AR291" s="1804"/>
      <c r="AS291" s="1804"/>
      <c r="AT291" s="1804"/>
      <c r="AU291" s="1804"/>
      <c r="AV291" s="1804"/>
      <c r="AW291" s="1804"/>
      <c r="AX291" s="1804"/>
      <c r="AY291" s="1804"/>
      <c r="AZ291" s="1804"/>
      <c r="BA291" s="1804"/>
      <c r="BB291" s="1804"/>
      <c r="BC291" s="1804"/>
      <c r="BD291" s="1804"/>
      <c r="BE291" s="1804"/>
      <c r="BF291" s="1804"/>
      <c r="BG291" s="1804"/>
      <c r="BH291" s="1804"/>
      <c r="BI291" s="1804"/>
      <c r="BJ291" s="1804"/>
      <c r="BK291" s="1804"/>
      <c r="BL291" s="1804"/>
      <c r="BM291" s="1804"/>
      <c r="BN291" s="1804"/>
      <c r="BO291" s="1804"/>
      <c r="BP291" s="1804"/>
      <c r="BQ291" s="1804"/>
      <c r="BR291" s="1804"/>
      <c r="BS291" s="1804"/>
      <c r="BT291" s="1804"/>
      <c r="BU291" s="1804"/>
      <c r="BV291" s="1804"/>
      <c r="BW291" s="1804"/>
      <c r="BX291" s="1804"/>
      <c r="BY291" s="1804"/>
      <c r="BZ291" s="1804"/>
      <c r="CA291" s="1804"/>
      <c r="CB291" s="1804"/>
      <c r="CC291" s="1804"/>
      <c r="CD291" s="1804"/>
      <c r="CE291" s="1804"/>
      <c r="CF291" s="1804"/>
      <c r="CG291" s="1804"/>
      <c r="CH291" s="1804"/>
      <c r="CI291" s="1804"/>
      <c r="CJ291" s="1804"/>
      <c r="CK291" s="1804"/>
      <c r="CL291" s="1804"/>
      <c r="CM291" s="1804"/>
      <c r="CN291" s="1804"/>
      <c r="CO291" s="1804"/>
      <c r="CP291" s="1804"/>
      <c r="CQ291" s="1804"/>
      <c r="CR291" s="1804"/>
      <c r="CS291" s="1804"/>
      <c r="CT291" s="1804"/>
      <c r="CU291" s="1804"/>
      <c r="CV291" s="1804"/>
      <c r="CW291" s="1804"/>
      <c r="CX291" s="1804"/>
      <c r="CY291" s="1804"/>
      <c r="CZ291" s="1804"/>
      <c r="DA291" s="1804"/>
      <c r="DB291" s="1804"/>
      <c r="DC291" s="1804"/>
      <c r="DD291" s="1804"/>
      <c r="DE291" s="1804"/>
      <c r="DF291" s="1804"/>
      <c r="DG291" s="1804"/>
      <c r="DH291" s="1804"/>
      <c r="DI291" s="1804"/>
      <c r="DJ291" s="1804"/>
      <c r="DK291" s="1804"/>
      <c r="DL291" s="1804"/>
      <c r="DM291" s="1804"/>
      <c r="DN291" s="1804"/>
      <c r="DO291" s="1804"/>
      <c r="DP291" s="1804"/>
      <c r="DQ291" s="1804"/>
      <c r="DR291" s="1804"/>
      <c r="DS291" s="1804"/>
      <c r="DT291" s="1804"/>
      <c r="DU291" s="1804"/>
      <c r="DV291" s="1804"/>
      <c r="DW291" s="1804"/>
      <c r="DX291" s="1804"/>
      <c r="DY291" s="1804"/>
      <c r="DZ291" s="1804"/>
      <c r="EA291" s="1804"/>
      <c r="EB291" s="1804"/>
      <c r="EC291" s="1804"/>
      <c r="ED291" s="1804"/>
      <c r="EE291" s="1804"/>
      <c r="EF291" s="1804"/>
      <c r="EG291" s="1804"/>
      <c r="EH291" s="1804"/>
      <c r="EI291" s="1804"/>
      <c r="EJ291" s="1804"/>
      <c r="EK291" s="1804"/>
      <c r="EL291" s="1804"/>
      <c r="EM291" s="1804"/>
      <c r="EN291" s="1804"/>
      <c r="EO291" s="1804"/>
      <c r="EP291" s="1804"/>
      <c r="EQ291" s="1804"/>
      <c r="ER291" s="1804"/>
      <c r="ES291" s="1804"/>
      <c r="ET291" s="1804"/>
      <c r="EU291" s="1804"/>
      <c r="EV291" s="1804"/>
      <c r="EW291" s="1804"/>
      <c r="EX291" s="1804"/>
      <c r="EY291" s="1804"/>
      <c r="EZ291" s="1804"/>
      <c r="FA291" s="1804"/>
      <c r="FB291" s="1804"/>
      <c r="FC291" s="1804"/>
      <c r="FD291" s="1804"/>
      <c r="FE291" s="1804"/>
      <c r="FF291" s="1804"/>
      <c r="FG291" s="1804"/>
      <c r="FH291" s="1804"/>
      <c r="FI291" s="1804"/>
      <c r="FJ291" s="1804"/>
      <c r="FK291" s="1804"/>
      <c r="FL291" s="1804"/>
      <c r="FM291" s="1804"/>
      <c r="FN291" s="1804"/>
      <c r="FO291" s="1804"/>
      <c r="FP291" s="1804"/>
      <c r="FQ291" s="1804"/>
      <c r="FR291" s="1804"/>
      <c r="FS291" s="1804"/>
      <c r="FT291" s="1804"/>
      <c r="FU291" s="1804"/>
      <c r="FV291" s="1804"/>
      <c r="FW291" s="1804"/>
      <c r="FX291" s="1804"/>
      <c r="FY291" s="1804"/>
      <c r="FZ291" s="1804"/>
      <c r="GA291" s="1804"/>
      <c r="GB291" s="1804"/>
      <c r="GC291" s="1804"/>
      <c r="GD291" s="1804"/>
      <c r="GE291" s="1804"/>
      <c r="GF291" s="1804"/>
      <c r="GG291" s="1804"/>
      <c r="GH291" s="1804"/>
      <c r="GI291" s="1804"/>
      <c r="GJ291" s="1804"/>
      <c r="GK291" s="1804"/>
      <c r="GL291" s="1804"/>
      <c r="GM291" s="1804"/>
      <c r="GN291" s="1804"/>
      <c r="GO291" s="1804"/>
      <c r="GP291" s="1804"/>
      <c r="GQ291" s="1804"/>
      <c r="GR291" s="1804"/>
      <c r="GS291" s="1804"/>
      <c r="GT291" s="1804"/>
      <c r="GU291" s="1804"/>
      <c r="GV291" s="1804"/>
      <c r="GW291" s="1804"/>
      <c r="GX291" s="1804"/>
      <c r="GY291" s="1804"/>
      <c r="GZ291" s="1804"/>
      <c r="HA291" s="1804"/>
      <c r="HB291" s="1804"/>
      <c r="HC291" s="1804"/>
      <c r="HD291" s="1804"/>
      <c r="HE291" s="1804"/>
      <c r="HF291" s="1804"/>
      <c r="HG291" s="1804"/>
      <c r="HH291" s="1804"/>
      <c r="HI291" s="1804"/>
      <c r="HJ291" s="1804"/>
      <c r="HK291" s="1804"/>
      <c r="HL291" s="1804"/>
      <c r="HM291" s="1804"/>
      <c r="HN291" s="1804"/>
      <c r="HO291" s="1804"/>
      <c r="HP291" s="1804"/>
      <c r="HQ291" s="1804"/>
      <c r="HR291" s="1804"/>
      <c r="HS291" s="1804"/>
      <c r="HT291" s="1804"/>
      <c r="HU291" s="1804"/>
      <c r="HV291" s="1804"/>
      <c r="HW291" s="1804"/>
      <c r="HX291" s="1804"/>
      <c r="HY291" s="1804"/>
      <c r="HZ291" s="1804"/>
      <c r="IA291" s="1804"/>
      <c r="IB291" s="1804"/>
      <c r="IC291" s="1804"/>
      <c r="ID291" s="1804"/>
      <c r="IE291" s="1804"/>
      <c r="IF291" s="1804"/>
      <c r="IG291" s="1804"/>
      <c r="IH291" s="1804"/>
      <c r="II291" s="1804"/>
      <c r="IJ291" s="1804"/>
      <c r="IK291" s="1804"/>
      <c r="IL291" s="1804"/>
      <c r="IM291" s="1804"/>
      <c r="IN291" s="1804"/>
      <c r="IO291" s="1804"/>
      <c r="IP291" s="1804"/>
      <c r="IQ291" s="1804"/>
      <c r="IR291" s="1804"/>
      <c r="IS291" s="1804"/>
      <c r="IT291" s="1804"/>
      <c r="IU291" s="1804"/>
      <c r="IV291" s="1804"/>
      <c r="IW291" s="1804"/>
    </row>
    <row r="292" spans="3:257" s="888" customFormat="1" x14ac:dyDescent="0.45">
      <c r="C292" s="67" t="s">
        <v>553</v>
      </c>
      <c r="D292" s="68" t="s">
        <v>656</v>
      </c>
      <c r="E292" s="69"/>
      <c r="F292" s="110">
        <f t="shared" si="49"/>
        <v>0</v>
      </c>
      <c r="G292" s="110">
        <f t="shared" si="49"/>
        <v>0</v>
      </c>
      <c r="H292" s="110">
        <f t="shared" si="50"/>
        <v>0</v>
      </c>
      <c r="I292" s="110">
        <f t="shared" si="50"/>
        <v>0</v>
      </c>
      <c r="J292" s="110">
        <f t="shared" si="20"/>
        <v>0</v>
      </c>
      <c r="K292" s="110">
        <f t="shared" si="21"/>
        <v>0</v>
      </c>
      <c r="L292" s="111">
        <f t="shared" si="22"/>
        <v>0</v>
      </c>
      <c r="M292" s="110">
        <f t="shared" si="23"/>
        <v>0</v>
      </c>
      <c r="N292" s="93"/>
      <c r="O292" s="110">
        <f t="shared" si="24"/>
        <v>0</v>
      </c>
      <c r="P292" s="110">
        <f t="shared" si="25"/>
        <v>864.56115784890699</v>
      </c>
      <c r="Q292" s="110">
        <f t="shared" si="26"/>
        <v>0</v>
      </c>
      <c r="R292" s="110">
        <f t="shared" si="27"/>
        <v>0</v>
      </c>
      <c r="S292" s="110">
        <f t="shared" si="28"/>
        <v>0</v>
      </c>
      <c r="T292" s="110">
        <f t="shared" si="29"/>
        <v>0</v>
      </c>
      <c r="U292" s="111">
        <f t="shared" si="30"/>
        <v>0</v>
      </c>
      <c r="V292" s="110">
        <f t="shared" si="31"/>
        <v>0</v>
      </c>
      <c r="W292" s="93"/>
      <c r="X292" s="110">
        <f t="shared" si="32"/>
        <v>0</v>
      </c>
      <c r="Y292" s="110">
        <f t="shared" si="33"/>
        <v>0</v>
      </c>
      <c r="Z292" s="110">
        <f t="shared" si="34"/>
        <v>0</v>
      </c>
      <c r="AA292" s="110">
        <f t="shared" si="35"/>
        <v>0</v>
      </c>
      <c r="AB292" s="110">
        <f t="shared" si="36"/>
        <v>0</v>
      </c>
      <c r="AC292" s="110">
        <f t="shared" si="37"/>
        <v>0</v>
      </c>
      <c r="AD292" s="110">
        <f t="shared" si="38"/>
        <v>0</v>
      </c>
      <c r="AE292" s="110">
        <f t="shared" si="39"/>
        <v>0</v>
      </c>
      <c r="AF292" s="110">
        <f t="shared" si="40"/>
        <v>0</v>
      </c>
      <c r="AG292" s="110">
        <f t="shared" si="41"/>
        <v>0</v>
      </c>
      <c r="AH292" s="110">
        <f t="shared" si="42"/>
        <v>0</v>
      </c>
      <c r="AI292" s="110">
        <f t="shared" si="43"/>
        <v>8.5030526041968386</v>
      </c>
      <c r="AJ292" s="110">
        <f t="shared" si="44"/>
        <v>0</v>
      </c>
      <c r="AK292" s="110">
        <f t="shared" si="45"/>
        <v>873.06421045310378</v>
      </c>
      <c r="AL292" s="110">
        <f t="shared" si="46"/>
        <v>0</v>
      </c>
      <c r="AM292" s="110">
        <f t="shared" si="47"/>
        <v>0</v>
      </c>
      <c r="AN292" s="111">
        <f t="shared" si="48"/>
        <v>873.06421045310378</v>
      </c>
      <c r="AO292" s="1804"/>
      <c r="AP292" s="1804"/>
      <c r="AQ292" s="1804"/>
      <c r="AR292" s="1804"/>
      <c r="AS292" s="1804"/>
      <c r="AT292" s="1804"/>
      <c r="AU292" s="1804"/>
      <c r="AV292" s="1804"/>
      <c r="AW292" s="1804"/>
      <c r="AX292" s="1804"/>
      <c r="AY292" s="1804"/>
      <c r="AZ292" s="1804"/>
      <c r="BA292" s="1804"/>
      <c r="BB292" s="1804"/>
      <c r="BC292" s="1804"/>
      <c r="BD292" s="1804"/>
      <c r="BE292" s="1804"/>
      <c r="BF292" s="1804"/>
      <c r="BG292" s="1804"/>
      <c r="BH292" s="1804"/>
      <c r="BI292" s="1804"/>
      <c r="BJ292" s="1804"/>
      <c r="BK292" s="1804"/>
      <c r="BL292" s="1804"/>
      <c r="BM292" s="1804"/>
      <c r="BN292" s="1804"/>
      <c r="BO292" s="1804"/>
      <c r="BP292" s="1804"/>
      <c r="BQ292" s="1804"/>
      <c r="BR292" s="1804"/>
      <c r="BS292" s="1804"/>
      <c r="BT292" s="1804"/>
      <c r="BU292" s="1804"/>
      <c r="BV292" s="1804"/>
      <c r="BW292" s="1804"/>
      <c r="BX292" s="1804"/>
      <c r="BY292" s="1804"/>
      <c r="BZ292" s="1804"/>
      <c r="CA292" s="1804"/>
      <c r="CB292" s="1804"/>
      <c r="CC292" s="1804"/>
      <c r="CD292" s="1804"/>
      <c r="CE292" s="1804"/>
      <c r="CF292" s="1804"/>
      <c r="CG292" s="1804"/>
      <c r="CH292" s="1804"/>
      <c r="CI292" s="1804"/>
      <c r="CJ292" s="1804"/>
      <c r="CK292" s="1804"/>
      <c r="CL292" s="1804"/>
      <c r="CM292" s="1804"/>
      <c r="CN292" s="1804"/>
      <c r="CO292" s="1804"/>
      <c r="CP292" s="1804"/>
      <c r="CQ292" s="1804"/>
      <c r="CR292" s="1804"/>
      <c r="CS292" s="1804"/>
      <c r="CT292" s="1804"/>
      <c r="CU292" s="1804"/>
      <c r="CV292" s="1804"/>
      <c r="CW292" s="1804"/>
      <c r="CX292" s="1804"/>
      <c r="CY292" s="1804"/>
      <c r="CZ292" s="1804"/>
      <c r="DA292" s="1804"/>
      <c r="DB292" s="1804"/>
      <c r="DC292" s="1804"/>
      <c r="DD292" s="1804"/>
      <c r="DE292" s="1804"/>
      <c r="DF292" s="1804"/>
      <c r="DG292" s="1804"/>
      <c r="DH292" s="1804"/>
      <c r="DI292" s="1804"/>
      <c r="DJ292" s="1804"/>
      <c r="DK292" s="1804"/>
      <c r="DL292" s="1804"/>
      <c r="DM292" s="1804"/>
      <c r="DN292" s="1804"/>
      <c r="DO292" s="1804"/>
      <c r="DP292" s="1804"/>
      <c r="DQ292" s="1804"/>
      <c r="DR292" s="1804"/>
      <c r="DS292" s="1804"/>
      <c r="DT292" s="1804"/>
      <c r="DU292" s="1804"/>
      <c r="DV292" s="1804"/>
      <c r="DW292" s="1804"/>
      <c r="DX292" s="1804"/>
      <c r="DY292" s="1804"/>
      <c r="DZ292" s="1804"/>
      <c r="EA292" s="1804"/>
      <c r="EB292" s="1804"/>
      <c r="EC292" s="1804"/>
      <c r="ED292" s="1804"/>
      <c r="EE292" s="1804"/>
      <c r="EF292" s="1804"/>
      <c r="EG292" s="1804"/>
      <c r="EH292" s="1804"/>
      <c r="EI292" s="1804"/>
      <c r="EJ292" s="1804"/>
      <c r="EK292" s="1804"/>
      <c r="EL292" s="1804"/>
      <c r="EM292" s="1804"/>
      <c r="EN292" s="1804"/>
      <c r="EO292" s="1804"/>
      <c r="EP292" s="1804"/>
      <c r="EQ292" s="1804"/>
      <c r="ER292" s="1804"/>
      <c r="ES292" s="1804"/>
      <c r="ET292" s="1804"/>
      <c r="EU292" s="1804"/>
      <c r="EV292" s="1804"/>
      <c r="EW292" s="1804"/>
      <c r="EX292" s="1804"/>
      <c r="EY292" s="1804"/>
      <c r="EZ292" s="1804"/>
      <c r="FA292" s="1804"/>
      <c r="FB292" s="1804"/>
      <c r="FC292" s="1804"/>
      <c r="FD292" s="1804"/>
      <c r="FE292" s="1804"/>
      <c r="FF292" s="1804"/>
      <c r="FG292" s="1804"/>
      <c r="FH292" s="1804"/>
      <c r="FI292" s="1804"/>
      <c r="FJ292" s="1804"/>
      <c r="FK292" s="1804"/>
      <c r="FL292" s="1804"/>
      <c r="FM292" s="1804"/>
      <c r="FN292" s="1804"/>
      <c r="FO292" s="1804"/>
      <c r="FP292" s="1804"/>
      <c r="FQ292" s="1804"/>
      <c r="FR292" s="1804"/>
      <c r="FS292" s="1804"/>
      <c r="FT292" s="1804"/>
      <c r="FU292" s="1804"/>
      <c r="FV292" s="1804"/>
      <c r="FW292" s="1804"/>
      <c r="FX292" s="1804"/>
      <c r="FY292" s="1804"/>
      <c r="FZ292" s="1804"/>
      <c r="GA292" s="1804"/>
      <c r="GB292" s="1804"/>
      <c r="GC292" s="1804"/>
      <c r="GD292" s="1804"/>
      <c r="GE292" s="1804"/>
      <c r="GF292" s="1804"/>
      <c r="GG292" s="1804"/>
      <c r="GH292" s="1804"/>
      <c r="GI292" s="1804"/>
      <c r="GJ292" s="1804"/>
      <c r="GK292" s="1804"/>
      <c r="GL292" s="1804"/>
      <c r="GM292" s="1804"/>
      <c r="GN292" s="1804"/>
      <c r="GO292" s="1804"/>
      <c r="GP292" s="1804"/>
      <c r="GQ292" s="1804"/>
      <c r="GR292" s="1804"/>
      <c r="GS292" s="1804"/>
      <c r="GT292" s="1804"/>
      <c r="GU292" s="1804"/>
      <c r="GV292" s="1804"/>
      <c r="GW292" s="1804"/>
      <c r="GX292" s="1804"/>
      <c r="GY292" s="1804"/>
      <c r="GZ292" s="1804"/>
      <c r="HA292" s="1804"/>
      <c r="HB292" s="1804"/>
      <c r="HC292" s="1804"/>
      <c r="HD292" s="1804"/>
      <c r="HE292" s="1804"/>
      <c r="HF292" s="1804"/>
      <c r="HG292" s="1804"/>
      <c r="HH292" s="1804"/>
      <c r="HI292" s="1804"/>
      <c r="HJ292" s="1804"/>
      <c r="HK292" s="1804"/>
      <c r="HL292" s="1804"/>
      <c r="HM292" s="1804"/>
      <c r="HN292" s="1804"/>
      <c r="HO292" s="1804"/>
      <c r="HP292" s="1804"/>
      <c r="HQ292" s="1804"/>
      <c r="HR292" s="1804"/>
      <c r="HS292" s="1804"/>
      <c r="HT292" s="1804"/>
      <c r="HU292" s="1804"/>
      <c r="HV292" s="1804"/>
      <c r="HW292" s="1804"/>
      <c r="HX292" s="1804"/>
      <c r="HY292" s="1804"/>
      <c r="HZ292" s="1804"/>
      <c r="IA292" s="1804"/>
      <c r="IB292" s="1804"/>
      <c r="IC292" s="1804"/>
      <c r="ID292" s="1804"/>
      <c r="IE292" s="1804"/>
      <c r="IF292" s="1804"/>
      <c r="IG292" s="1804"/>
      <c r="IH292" s="1804"/>
      <c r="II292" s="1804"/>
      <c r="IJ292" s="1804"/>
      <c r="IK292" s="1804"/>
      <c r="IL292" s="1804"/>
      <c r="IM292" s="1804"/>
      <c r="IN292" s="1804"/>
      <c r="IO292" s="1804"/>
      <c r="IP292" s="1804"/>
      <c r="IQ292" s="1804"/>
      <c r="IR292" s="1804"/>
      <c r="IS292" s="1804"/>
      <c r="IT292" s="1804"/>
      <c r="IU292" s="1804"/>
      <c r="IV292" s="1804"/>
      <c r="IW292" s="1804"/>
    </row>
    <row r="293" spans="3:257" s="888" customFormat="1" x14ac:dyDescent="0.45">
      <c r="C293" s="67" t="s">
        <v>554</v>
      </c>
      <c r="D293" s="68" t="s">
        <v>657</v>
      </c>
      <c r="E293" s="69"/>
      <c r="F293" s="110">
        <f t="shared" si="49"/>
        <v>0</v>
      </c>
      <c r="G293" s="110">
        <f t="shared" si="49"/>
        <v>46482.750010618882</v>
      </c>
      <c r="H293" s="110">
        <f t="shared" si="50"/>
        <v>0</v>
      </c>
      <c r="I293" s="110">
        <f t="shared" si="50"/>
        <v>0</v>
      </c>
      <c r="J293" s="110">
        <f t="shared" si="20"/>
        <v>0</v>
      </c>
      <c r="K293" s="110">
        <f t="shared" si="21"/>
        <v>0</v>
      </c>
      <c r="L293" s="111">
        <f t="shared" si="22"/>
        <v>0</v>
      </c>
      <c r="M293" s="110">
        <f t="shared" si="23"/>
        <v>0</v>
      </c>
      <c r="N293" s="93"/>
      <c r="O293" s="110">
        <f t="shared" si="24"/>
        <v>0</v>
      </c>
      <c r="P293" s="110">
        <f t="shared" si="25"/>
        <v>0</v>
      </c>
      <c r="Q293" s="110">
        <f t="shared" si="26"/>
        <v>0</v>
      </c>
      <c r="R293" s="110">
        <f t="shared" si="27"/>
        <v>0</v>
      </c>
      <c r="S293" s="110">
        <f t="shared" si="28"/>
        <v>0</v>
      </c>
      <c r="T293" s="110">
        <f t="shared" si="29"/>
        <v>0</v>
      </c>
      <c r="U293" s="111">
        <f t="shared" si="30"/>
        <v>0</v>
      </c>
      <c r="V293" s="110">
        <f t="shared" si="31"/>
        <v>0</v>
      </c>
      <c r="W293" s="93"/>
      <c r="X293" s="110">
        <f t="shared" si="32"/>
        <v>0</v>
      </c>
      <c r="Y293" s="110">
        <f t="shared" si="33"/>
        <v>0</v>
      </c>
      <c r="Z293" s="110">
        <f t="shared" si="34"/>
        <v>0</v>
      </c>
      <c r="AA293" s="110">
        <f t="shared" si="35"/>
        <v>0</v>
      </c>
      <c r="AB293" s="110">
        <f t="shared" si="36"/>
        <v>0</v>
      </c>
      <c r="AC293" s="110">
        <f t="shared" si="37"/>
        <v>0</v>
      </c>
      <c r="AD293" s="110">
        <f t="shared" si="38"/>
        <v>0</v>
      </c>
      <c r="AE293" s="110">
        <f t="shared" si="39"/>
        <v>0</v>
      </c>
      <c r="AF293" s="110">
        <f t="shared" si="40"/>
        <v>0</v>
      </c>
      <c r="AG293" s="110">
        <f t="shared" si="41"/>
        <v>0</v>
      </c>
      <c r="AH293" s="110">
        <f t="shared" si="42"/>
        <v>0</v>
      </c>
      <c r="AI293" s="110">
        <f t="shared" si="43"/>
        <v>0</v>
      </c>
      <c r="AJ293" s="110">
        <f t="shared" si="44"/>
        <v>0</v>
      </c>
      <c r="AK293" s="110">
        <f t="shared" si="45"/>
        <v>46482.750010618882</v>
      </c>
      <c r="AL293" s="110">
        <f t="shared" si="46"/>
        <v>0</v>
      </c>
      <c r="AM293" s="110">
        <f t="shared" si="47"/>
        <v>0</v>
      </c>
      <c r="AN293" s="111">
        <f t="shared" si="48"/>
        <v>46482.750010618882</v>
      </c>
      <c r="AO293" s="1804"/>
      <c r="AP293" s="1804"/>
      <c r="AQ293" s="1804"/>
      <c r="AR293" s="1804"/>
      <c r="AS293" s="1804"/>
      <c r="AT293" s="1804"/>
      <c r="AU293" s="1804"/>
      <c r="AV293" s="1804"/>
      <c r="AW293" s="1804"/>
      <c r="AX293" s="1804"/>
      <c r="AY293" s="1804"/>
      <c r="AZ293" s="1804"/>
      <c r="BA293" s="1804"/>
      <c r="BB293" s="1804"/>
      <c r="BC293" s="1804"/>
      <c r="BD293" s="1804"/>
      <c r="BE293" s="1804"/>
      <c r="BF293" s="1804"/>
      <c r="BG293" s="1804"/>
      <c r="BH293" s="1804"/>
      <c r="BI293" s="1804"/>
      <c r="BJ293" s="1804"/>
      <c r="BK293" s="1804"/>
      <c r="BL293" s="1804"/>
      <c r="BM293" s="1804"/>
      <c r="BN293" s="1804"/>
      <c r="BO293" s="1804"/>
      <c r="BP293" s="1804"/>
      <c r="BQ293" s="1804"/>
      <c r="BR293" s="1804"/>
      <c r="BS293" s="1804"/>
      <c r="BT293" s="1804"/>
      <c r="BU293" s="1804"/>
      <c r="BV293" s="1804"/>
      <c r="BW293" s="1804"/>
      <c r="BX293" s="1804"/>
      <c r="BY293" s="1804"/>
      <c r="BZ293" s="1804"/>
      <c r="CA293" s="1804"/>
      <c r="CB293" s="1804"/>
      <c r="CC293" s="1804"/>
      <c r="CD293" s="1804"/>
      <c r="CE293" s="1804"/>
      <c r="CF293" s="1804"/>
      <c r="CG293" s="1804"/>
      <c r="CH293" s="1804"/>
      <c r="CI293" s="1804"/>
      <c r="CJ293" s="1804"/>
      <c r="CK293" s="1804"/>
      <c r="CL293" s="1804"/>
      <c r="CM293" s="1804"/>
      <c r="CN293" s="1804"/>
      <c r="CO293" s="1804"/>
      <c r="CP293" s="1804"/>
      <c r="CQ293" s="1804"/>
      <c r="CR293" s="1804"/>
      <c r="CS293" s="1804"/>
      <c r="CT293" s="1804"/>
      <c r="CU293" s="1804"/>
      <c r="CV293" s="1804"/>
      <c r="CW293" s="1804"/>
      <c r="CX293" s="1804"/>
      <c r="CY293" s="1804"/>
      <c r="CZ293" s="1804"/>
      <c r="DA293" s="1804"/>
      <c r="DB293" s="1804"/>
      <c r="DC293" s="1804"/>
      <c r="DD293" s="1804"/>
      <c r="DE293" s="1804"/>
      <c r="DF293" s="1804"/>
      <c r="DG293" s="1804"/>
      <c r="DH293" s="1804"/>
      <c r="DI293" s="1804"/>
      <c r="DJ293" s="1804"/>
      <c r="DK293" s="1804"/>
      <c r="DL293" s="1804"/>
      <c r="DM293" s="1804"/>
      <c r="DN293" s="1804"/>
      <c r="DO293" s="1804"/>
      <c r="DP293" s="1804"/>
      <c r="DQ293" s="1804"/>
      <c r="DR293" s="1804"/>
      <c r="DS293" s="1804"/>
      <c r="DT293" s="1804"/>
      <c r="DU293" s="1804"/>
      <c r="DV293" s="1804"/>
      <c r="DW293" s="1804"/>
      <c r="DX293" s="1804"/>
      <c r="DY293" s="1804"/>
      <c r="DZ293" s="1804"/>
      <c r="EA293" s="1804"/>
      <c r="EB293" s="1804"/>
      <c r="EC293" s="1804"/>
      <c r="ED293" s="1804"/>
      <c r="EE293" s="1804"/>
      <c r="EF293" s="1804"/>
      <c r="EG293" s="1804"/>
      <c r="EH293" s="1804"/>
      <c r="EI293" s="1804"/>
      <c r="EJ293" s="1804"/>
      <c r="EK293" s="1804"/>
      <c r="EL293" s="1804"/>
      <c r="EM293" s="1804"/>
      <c r="EN293" s="1804"/>
      <c r="EO293" s="1804"/>
      <c r="EP293" s="1804"/>
      <c r="EQ293" s="1804"/>
      <c r="ER293" s="1804"/>
      <c r="ES293" s="1804"/>
      <c r="ET293" s="1804"/>
      <c r="EU293" s="1804"/>
      <c r="EV293" s="1804"/>
      <c r="EW293" s="1804"/>
      <c r="EX293" s="1804"/>
      <c r="EY293" s="1804"/>
      <c r="EZ293" s="1804"/>
      <c r="FA293" s="1804"/>
      <c r="FB293" s="1804"/>
      <c r="FC293" s="1804"/>
      <c r="FD293" s="1804"/>
      <c r="FE293" s="1804"/>
      <c r="FF293" s="1804"/>
      <c r="FG293" s="1804"/>
      <c r="FH293" s="1804"/>
      <c r="FI293" s="1804"/>
      <c r="FJ293" s="1804"/>
      <c r="FK293" s="1804"/>
      <c r="FL293" s="1804"/>
      <c r="FM293" s="1804"/>
      <c r="FN293" s="1804"/>
      <c r="FO293" s="1804"/>
      <c r="FP293" s="1804"/>
      <c r="FQ293" s="1804"/>
      <c r="FR293" s="1804"/>
      <c r="FS293" s="1804"/>
      <c r="FT293" s="1804"/>
      <c r="FU293" s="1804"/>
      <c r="FV293" s="1804"/>
      <c r="FW293" s="1804"/>
      <c r="FX293" s="1804"/>
      <c r="FY293" s="1804"/>
      <c r="FZ293" s="1804"/>
      <c r="GA293" s="1804"/>
      <c r="GB293" s="1804"/>
      <c r="GC293" s="1804"/>
      <c r="GD293" s="1804"/>
      <c r="GE293" s="1804"/>
      <c r="GF293" s="1804"/>
      <c r="GG293" s="1804"/>
      <c r="GH293" s="1804"/>
      <c r="GI293" s="1804"/>
      <c r="GJ293" s="1804"/>
      <c r="GK293" s="1804"/>
      <c r="GL293" s="1804"/>
      <c r="GM293" s="1804"/>
      <c r="GN293" s="1804"/>
      <c r="GO293" s="1804"/>
      <c r="GP293" s="1804"/>
      <c r="GQ293" s="1804"/>
      <c r="GR293" s="1804"/>
      <c r="GS293" s="1804"/>
      <c r="GT293" s="1804"/>
      <c r="GU293" s="1804"/>
      <c r="GV293" s="1804"/>
      <c r="GW293" s="1804"/>
      <c r="GX293" s="1804"/>
      <c r="GY293" s="1804"/>
      <c r="GZ293" s="1804"/>
      <c r="HA293" s="1804"/>
      <c r="HB293" s="1804"/>
      <c r="HC293" s="1804"/>
      <c r="HD293" s="1804"/>
      <c r="HE293" s="1804"/>
      <c r="HF293" s="1804"/>
      <c r="HG293" s="1804"/>
      <c r="HH293" s="1804"/>
      <c r="HI293" s="1804"/>
      <c r="HJ293" s="1804"/>
      <c r="HK293" s="1804"/>
      <c r="HL293" s="1804"/>
      <c r="HM293" s="1804"/>
      <c r="HN293" s="1804"/>
      <c r="HO293" s="1804"/>
      <c r="HP293" s="1804"/>
      <c r="HQ293" s="1804"/>
      <c r="HR293" s="1804"/>
      <c r="HS293" s="1804"/>
      <c r="HT293" s="1804"/>
      <c r="HU293" s="1804"/>
      <c r="HV293" s="1804"/>
      <c r="HW293" s="1804"/>
      <c r="HX293" s="1804"/>
      <c r="HY293" s="1804"/>
      <c r="HZ293" s="1804"/>
      <c r="IA293" s="1804"/>
      <c r="IB293" s="1804"/>
      <c r="IC293" s="1804"/>
      <c r="ID293" s="1804"/>
      <c r="IE293" s="1804"/>
      <c r="IF293" s="1804"/>
      <c r="IG293" s="1804"/>
      <c r="IH293" s="1804"/>
      <c r="II293" s="1804"/>
      <c r="IJ293" s="1804"/>
      <c r="IK293" s="1804"/>
      <c r="IL293" s="1804"/>
      <c r="IM293" s="1804"/>
      <c r="IN293" s="1804"/>
      <c r="IO293" s="1804"/>
      <c r="IP293" s="1804"/>
      <c r="IQ293" s="1804"/>
      <c r="IR293" s="1804"/>
      <c r="IS293" s="1804"/>
      <c r="IT293" s="1804"/>
      <c r="IU293" s="1804"/>
      <c r="IV293" s="1804"/>
      <c r="IW293" s="1804"/>
    </row>
    <row r="294" spans="3:257" s="888" customFormat="1" x14ac:dyDescent="0.45">
      <c r="C294" s="67" t="s">
        <v>555</v>
      </c>
      <c r="D294" s="68" t="s">
        <v>658</v>
      </c>
      <c r="E294" s="69"/>
      <c r="F294" s="110">
        <f t="shared" si="49"/>
        <v>0</v>
      </c>
      <c r="G294" s="110">
        <f t="shared" si="49"/>
        <v>0</v>
      </c>
      <c r="H294" s="110">
        <f t="shared" si="50"/>
        <v>0</v>
      </c>
      <c r="I294" s="110">
        <f t="shared" si="50"/>
        <v>0</v>
      </c>
      <c r="J294" s="110">
        <f t="shared" si="20"/>
        <v>0</v>
      </c>
      <c r="K294" s="110">
        <f t="shared" si="21"/>
        <v>0</v>
      </c>
      <c r="L294" s="111">
        <f t="shared" si="22"/>
        <v>0</v>
      </c>
      <c r="M294" s="110">
        <f t="shared" si="23"/>
        <v>0</v>
      </c>
      <c r="N294" s="93"/>
      <c r="O294" s="110">
        <f t="shared" si="24"/>
        <v>0</v>
      </c>
      <c r="P294" s="110">
        <f t="shared" si="25"/>
        <v>1316.6088870173246</v>
      </c>
      <c r="Q294" s="110">
        <f t="shared" si="26"/>
        <v>0</v>
      </c>
      <c r="R294" s="110">
        <f t="shared" si="27"/>
        <v>0</v>
      </c>
      <c r="S294" s="110">
        <f t="shared" si="28"/>
        <v>0</v>
      </c>
      <c r="T294" s="110">
        <f t="shared" si="29"/>
        <v>0</v>
      </c>
      <c r="U294" s="111">
        <f t="shared" si="30"/>
        <v>0</v>
      </c>
      <c r="V294" s="110">
        <f t="shared" si="31"/>
        <v>0</v>
      </c>
      <c r="W294" s="93"/>
      <c r="X294" s="110">
        <f t="shared" si="32"/>
        <v>0</v>
      </c>
      <c r="Y294" s="110">
        <f t="shared" si="33"/>
        <v>0</v>
      </c>
      <c r="Z294" s="110">
        <f t="shared" si="34"/>
        <v>0</v>
      </c>
      <c r="AA294" s="110">
        <f t="shared" si="35"/>
        <v>0</v>
      </c>
      <c r="AB294" s="110">
        <f t="shared" si="36"/>
        <v>0</v>
      </c>
      <c r="AC294" s="110">
        <f t="shared" si="37"/>
        <v>0</v>
      </c>
      <c r="AD294" s="110">
        <f t="shared" si="38"/>
        <v>0</v>
      </c>
      <c r="AE294" s="110">
        <f t="shared" si="39"/>
        <v>0</v>
      </c>
      <c r="AF294" s="110">
        <f t="shared" si="40"/>
        <v>0</v>
      </c>
      <c r="AG294" s="110">
        <f t="shared" si="41"/>
        <v>0</v>
      </c>
      <c r="AH294" s="110">
        <f t="shared" si="42"/>
        <v>0</v>
      </c>
      <c r="AI294" s="110">
        <f t="shared" si="43"/>
        <v>0</v>
      </c>
      <c r="AJ294" s="110">
        <f t="shared" si="44"/>
        <v>0</v>
      </c>
      <c r="AK294" s="110">
        <f t="shared" si="45"/>
        <v>1316.6088870173246</v>
      </c>
      <c r="AL294" s="110">
        <f t="shared" si="46"/>
        <v>0</v>
      </c>
      <c r="AM294" s="110">
        <f t="shared" si="47"/>
        <v>0</v>
      </c>
      <c r="AN294" s="111">
        <f t="shared" si="48"/>
        <v>1316.6088870173246</v>
      </c>
      <c r="AO294" s="1804"/>
      <c r="AP294" s="1804"/>
      <c r="AQ294" s="1804"/>
      <c r="AR294" s="1804"/>
      <c r="AS294" s="1804"/>
      <c r="AT294" s="1804"/>
      <c r="AU294" s="1804"/>
      <c r="AV294" s="1804"/>
      <c r="AW294" s="1804"/>
      <c r="AX294" s="1804"/>
      <c r="AY294" s="1804"/>
      <c r="AZ294" s="1804"/>
      <c r="BA294" s="1804"/>
      <c r="BB294" s="1804"/>
      <c r="BC294" s="1804"/>
      <c r="BD294" s="1804"/>
      <c r="BE294" s="1804"/>
      <c r="BF294" s="1804"/>
      <c r="BG294" s="1804"/>
      <c r="BH294" s="1804"/>
      <c r="BI294" s="1804"/>
      <c r="BJ294" s="1804"/>
      <c r="BK294" s="1804"/>
      <c r="BL294" s="1804"/>
      <c r="BM294" s="1804"/>
      <c r="BN294" s="1804"/>
      <c r="BO294" s="1804"/>
      <c r="BP294" s="1804"/>
      <c r="BQ294" s="1804"/>
      <c r="BR294" s="1804"/>
      <c r="BS294" s="1804"/>
      <c r="BT294" s="1804"/>
      <c r="BU294" s="1804"/>
      <c r="BV294" s="1804"/>
      <c r="BW294" s="1804"/>
      <c r="BX294" s="1804"/>
      <c r="BY294" s="1804"/>
      <c r="BZ294" s="1804"/>
      <c r="CA294" s="1804"/>
      <c r="CB294" s="1804"/>
      <c r="CC294" s="1804"/>
      <c r="CD294" s="1804"/>
      <c r="CE294" s="1804"/>
      <c r="CF294" s="1804"/>
      <c r="CG294" s="1804"/>
      <c r="CH294" s="1804"/>
      <c r="CI294" s="1804"/>
      <c r="CJ294" s="1804"/>
      <c r="CK294" s="1804"/>
      <c r="CL294" s="1804"/>
      <c r="CM294" s="1804"/>
      <c r="CN294" s="1804"/>
      <c r="CO294" s="1804"/>
      <c r="CP294" s="1804"/>
      <c r="CQ294" s="1804"/>
      <c r="CR294" s="1804"/>
      <c r="CS294" s="1804"/>
      <c r="CT294" s="1804"/>
      <c r="CU294" s="1804"/>
      <c r="CV294" s="1804"/>
      <c r="CW294" s="1804"/>
      <c r="CX294" s="1804"/>
      <c r="CY294" s="1804"/>
      <c r="CZ294" s="1804"/>
      <c r="DA294" s="1804"/>
      <c r="DB294" s="1804"/>
      <c r="DC294" s="1804"/>
      <c r="DD294" s="1804"/>
      <c r="DE294" s="1804"/>
      <c r="DF294" s="1804"/>
      <c r="DG294" s="1804"/>
      <c r="DH294" s="1804"/>
      <c r="DI294" s="1804"/>
      <c r="DJ294" s="1804"/>
      <c r="DK294" s="1804"/>
      <c r="DL294" s="1804"/>
      <c r="DM294" s="1804"/>
      <c r="DN294" s="1804"/>
      <c r="DO294" s="1804"/>
      <c r="DP294" s="1804"/>
      <c r="DQ294" s="1804"/>
      <c r="DR294" s="1804"/>
      <c r="DS294" s="1804"/>
      <c r="DT294" s="1804"/>
      <c r="DU294" s="1804"/>
      <c r="DV294" s="1804"/>
      <c r="DW294" s="1804"/>
      <c r="DX294" s="1804"/>
      <c r="DY294" s="1804"/>
      <c r="DZ294" s="1804"/>
      <c r="EA294" s="1804"/>
      <c r="EB294" s="1804"/>
      <c r="EC294" s="1804"/>
      <c r="ED294" s="1804"/>
      <c r="EE294" s="1804"/>
      <c r="EF294" s="1804"/>
      <c r="EG294" s="1804"/>
      <c r="EH294" s="1804"/>
      <c r="EI294" s="1804"/>
      <c r="EJ294" s="1804"/>
      <c r="EK294" s="1804"/>
      <c r="EL294" s="1804"/>
      <c r="EM294" s="1804"/>
      <c r="EN294" s="1804"/>
      <c r="EO294" s="1804"/>
      <c r="EP294" s="1804"/>
      <c r="EQ294" s="1804"/>
      <c r="ER294" s="1804"/>
      <c r="ES294" s="1804"/>
      <c r="ET294" s="1804"/>
      <c r="EU294" s="1804"/>
      <c r="EV294" s="1804"/>
      <c r="EW294" s="1804"/>
      <c r="EX294" s="1804"/>
      <c r="EY294" s="1804"/>
      <c r="EZ294" s="1804"/>
      <c r="FA294" s="1804"/>
      <c r="FB294" s="1804"/>
      <c r="FC294" s="1804"/>
      <c r="FD294" s="1804"/>
      <c r="FE294" s="1804"/>
      <c r="FF294" s="1804"/>
      <c r="FG294" s="1804"/>
      <c r="FH294" s="1804"/>
      <c r="FI294" s="1804"/>
      <c r="FJ294" s="1804"/>
      <c r="FK294" s="1804"/>
      <c r="FL294" s="1804"/>
      <c r="FM294" s="1804"/>
      <c r="FN294" s="1804"/>
      <c r="FO294" s="1804"/>
      <c r="FP294" s="1804"/>
      <c r="FQ294" s="1804"/>
      <c r="FR294" s="1804"/>
      <c r="FS294" s="1804"/>
      <c r="FT294" s="1804"/>
      <c r="FU294" s="1804"/>
      <c r="FV294" s="1804"/>
      <c r="FW294" s="1804"/>
      <c r="FX294" s="1804"/>
      <c r="FY294" s="1804"/>
      <c r="FZ294" s="1804"/>
      <c r="GA294" s="1804"/>
      <c r="GB294" s="1804"/>
      <c r="GC294" s="1804"/>
      <c r="GD294" s="1804"/>
      <c r="GE294" s="1804"/>
      <c r="GF294" s="1804"/>
      <c r="GG294" s="1804"/>
      <c r="GH294" s="1804"/>
      <c r="GI294" s="1804"/>
      <c r="GJ294" s="1804"/>
      <c r="GK294" s="1804"/>
      <c r="GL294" s="1804"/>
      <c r="GM294" s="1804"/>
      <c r="GN294" s="1804"/>
      <c r="GO294" s="1804"/>
      <c r="GP294" s="1804"/>
      <c r="GQ294" s="1804"/>
      <c r="GR294" s="1804"/>
      <c r="GS294" s="1804"/>
      <c r="GT294" s="1804"/>
      <c r="GU294" s="1804"/>
      <c r="GV294" s="1804"/>
      <c r="GW294" s="1804"/>
      <c r="GX294" s="1804"/>
      <c r="GY294" s="1804"/>
      <c r="GZ294" s="1804"/>
      <c r="HA294" s="1804"/>
      <c r="HB294" s="1804"/>
      <c r="HC294" s="1804"/>
      <c r="HD294" s="1804"/>
      <c r="HE294" s="1804"/>
      <c r="HF294" s="1804"/>
      <c r="HG294" s="1804"/>
      <c r="HH294" s="1804"/>
      <c r="HI294" s="1804"/>
      <c r="HJ294" s="1804"/>
      <c r="HK294" s="1804"/>
      <c r="HL294" s="1804"/>
      <c r="HM294" s="1804"/>
      <c r="HN294" s="1804"/>
      <c r="HO294" s="1804"/>
      <c r="HP294" s="1804"/>
      <c r="HQ294" s="1804"/>
      <c r="HR294" s="1804"/>
      <c r="HS294" s="1804"/>
      <c r="HT294" s="1804"/>
      <c r="HU294" s="1804"/>
      <c r="HV294" s="1804"/>
      <c r="HW294" s="1804"/>
      <c r="HX294" s="1804"/>
      <c r="HY294" s="1804"/>
      <c r="HZ294" s="1804"/>
      <c r="IA294" s="1804"/>
      <c r="IB294" s="1804"/>
      <c r="IC294" s="1804"/>
      <c r="ID294" s="1804"/>
      <c r="IE294" s="1804"/>
      <c r="IF294" s="1804"/>
      <c r="IG294" s="1804"/>
      <c r="IH294" s="1804"/>
      <c r="II294" s="1804"/>
      <c r="IJ294" s="1804"/>
      <c r="IK294" s="1804"/>
      <c r="IL294" s="1804"/>
      <c r="IM294" s="1804"/>
      <c r="IN294" s="1804"/>
      <c r="IO294" s="1804"/>
      <c r="IP294" s="1804"/>
      <c r="IQ294" s="1804"/>
      <c r="IR294" s="1804"/>
      <c r="IS294" s="1804"/>
      <c r="IT294" s="1804"/>
      <c r="IU294" s="1804"/>
      <c r="IV294" s="1804"/>
      <c r="IW294" s="1804"/>
    </row>
    <row r="295" spans="3:257" s="888" customFormat="1" x14ac:dyDescent="0.45">
      <c r="C295" s="67" t="s">
        <v>556</v>
      </c>
      <c r="D295" s="68" t="s">
        <v>659</v>
      </c>
      <c r="E295" s="69"/>
      <c r="F295" s="110">
        <f t="shared" si="49"/>
        <v>0</v>
      </c>
      <c r="G295" s="110">
        <f t="shared" si="49"/>
        <v>0</v>
      </c>
      <c r="H295" s="110">
        <f t="shared" si="50"/>
        <v>0</v>
      </c>
      <c r="I295" s="110">
        <f t="shared" si="50"/>
        <v>0</v>
      </c>
      <c r="J295" s="110">
        <f t="shared" si="20"/>
        <v>0</v>
      </c>
      <c r="K295" s="110">
        <f t="shared" si="21"/>
        <v>0</v>
      </c>
      <c r="L295" s="111">
        <f t="shared" si="22"/>
        <v>0</v>
      </c>
      <c r="M295" s="110">
        <f t="shared" si="23"/>
        <v>0</v>
      </c>
      <c r="N295" s="93"/>
      <c r="O295" s="110">
        <f t="shared" si="24"/>
        <v>0</v>
      </c>
      <c r="P295" s="110">
        <f t="shared" si="25"/>
        <v>0</v>
      </c>
      <c r="Q295" s="110">
        <f t="shared" si="26"/>
        <v>0</v>
      </c>
      <c r="R295" s="110">
        <f t="shared" si="27"/>
        <v>0</v>
      </c>
      <c r="S295" s="110">
        <f t="shared" si="28"/>
        <v>0</v>
      </c>
      <c r="T295" s="110">
        <f t="shared" si="29"/>
        <v>0</v>
      </c>
      <c r="U295" s="111">
        <f t="shared" si="30"/>
        <v>0</v>
      </c>
      <c r="V295" s="110">
        <f t="shared" si="31"/>
        <v>0</v>
      </c>
      <c r="W295" s="93"/>
      <c r="X295" s="110">
        <f t="shared" si="32"/>
        <v>0</v>
      </c>
      <c r="Y295" s="110">
        <f t="shared" si="33"/>
        <v>0</v>
      </c>
      <c r="Z295" s="110">
        <f t="shared" si="34"/>
        <v>0</v>
      </c>
      <c r="AA295" s="110">
        <f t="shared" si="35"/>
        <v>44.182085522614841</v>
      </c>
      <c r="AB295" s="110">
        <f t="shared" si="36"/>
        <v>0</v>
      </c>
      <c r="AC295" s="110">
        <f t="shared" si="37"/>
        <v>0</v>
      </c>
      <c r="AD295" s="110">
        <f t="shared" si="38"/>
        <v>0</v>
      </c>
      <c r="AE295" s="110">
        <f t="shared" si="39"/>
        <v>0</v>
      </c>
      <c r="AF295" s="110">
        <f t="shared" si="40"/>
        <v>0</v>
      </c>
      <c r="AG295" s="110">
        <f t="shared" si="41"/>
        <v>0</v>
      </c>
      <c r="AH295" s="110">
        <f t="shared" si="42"/>
        <v>0</v>
      </c>
      <c r="AI295" s="110">
        <f t="shared" si="43"/>
        <v>0</v>
      </c>
      <c r="AJ295" s="110">
        <f t="shared" si="44"/>
        <v>0</v>
      </c>
      <c r="AK295" s="110">
        <f t="shared" si="45"/>
        <v>44.182085522614841</v>
      </c>
      <c r="AL295" s="110">
        <f t="shared" si="46"/>
        <v>0</v>
      </c>
      <c r="AM295" s="110">
        <f t="shared" si="47"/>
        <v>0</v>
      </c>
      <c r="AN295" s="111">
        <f t="shared" si="48"/>
        <v>44.182085522614841</v>
      </c>
      <c r="AO295" s="1804"/>
      <c r="AP295" s="1804"/>
      <c r="AQ295" s="1804"/>
      <c r="AR295" s="1804"/>
      <c r="AS295" s="1804"/>
      <c r="AT295" s="1804"/>
      <c r="AU295" s="1804"/>
      <c r="AV295" s="1804"/>
      <c r="AW295" s="1804"/>
      <c r="AX295" s="1804"/>
      <c r="AY295" s="1804"/>
      <c r="AZ295" s="1804"/>
      <c r="BA295" s="1804"/>
      <c r="BB295" s="1804"/>
      <c r="BC295" s="1804"/>
      <c r="BD295" s="1804"/>
      <c r="BE295" s="1804"/>
      <c r="BF295" s="1804"/>
      <c r="BG295" s="1804"/>
      <c r="BH295" s="1804"/>
      <c r="BI295" s="1804"/>
      <c r="BJ295" s="1804"/>
      <c r="BK295" s="1804"/>
      <c r="BL295" s="1804"/>
      <c r="BM295" s="1804"/>
      <c r="BN295" s="1804"/>
      <c r="BO295" s="1804"/>
      <c r="BP295" s="1804"/>
      <c r="BQ295" s="1804"/>
      <c r="BR295" s="1804"/>
      <c r="BS295" s="1804"/>
      <c r="BT295" s="1804"/>
      <c r="BU295" s="1804"/>
      <c r="BV295" s="1804"/>
      <c r="BW295" s="1804"/>
      <c r="BX295" s="1804"/>
      <c r="BY295" s="1804"/>
      <c r="BZ295" s="1804"/>
      <c r="CA295" s="1804"/>
      <c r="CB295" s="1804"/>
      <c r="CC295" s="1804"/>
      <c r="CD295" s="1804"/>
      <c r="CE295" s="1804"/>
      <c r="CF295" s="1804"/>
      <c r="CG295" s="1804"/>
      <c r="CH295" s="1804"/>
      <c r="CI295" s="1804"/>
      <c r="CJ295" s="1804"/>
      <c r="CK295" s="1804"/>
      <c r="CL295" s="1804"/>
      <c r="CM295" s="1804"/>
      <c r="CN295" s="1804"/>
      <c r="CO295" s="1804"/>
      <c r="CP295" s="1804"/>
      <c r="CQ295" s="1804"/>
      <c r="CR295" s="1804"/>
      <c r="CS295" s="1804"/>
      <c r="CT295" s="1804"/>
      <c r="CU295" s="1804"/>
      <c r="CV295" s="1804"/>
      <c r="CW295" s="1804"/>
      <c r="CX295" s="1804"/>
      <c r="CY295" s="1804"/>
      <c r="CZ295" s="1804"/>
      <c r="DA295" s="1804"/>
      <c r="DB295" s="1804"/>
      <c r="DC295" s="1804"/>
      <c r="DD295" s="1804"/>
      <c r="DE295" s="1804"/>
      <c r="DF295" s="1804"/>
      <c r="DG295" s="1804"/>
      <c r="DH295" s="1804"/>
      <c r="DI295" s="1804"/>
      <c r="DJ295" s="1804"/>
      <c r="DK295" s="1804"/>
      <c r="DL295" s="1804"/>
      <c r="DM295" s="1804"/>
      <c r="DN295" s="1804"/>
      <c r="DO295" s="1804"/>
      <c r="DP295" s="1804"/>
      <c r="DQ295" s="1804"/>
      <c r="DR295" s="1804"/>
      <c r="DS295" s="1804"/>
      <c r="DT295" s="1804"/>
      <c r="DU295" s="1804"/>
      <c r="DV295" s="1804"/>
      <c r="DW295" s="1804"/>
      <c r="DX295" s="1804"/>
      <c r="DY295" s="1804"/>
      <c r="DZ295" s="1804"/>
      <c r="EA295" s="1804"/>
      <c r="EB295" s="1804"/>
      <c r="EC295" s="1804"/>
      <c r="ED295" s="1804"/>
      <c r="EE295" s="1804"/>
      <c r="EF295" s="1804"/>
      <c r="EG295" s="1804"/>
      <c r="EH295" s="1804"/>
      <c r="EI295" s="1804"/>
      <c r="EJ295" s="1804"/>
      <c r="EK295" s="1804"/>
      <c r="EL295" s="1804"/>
      <c r="EM295" s="1804"/>
      <c r="EN295" s="1804"/>
      <c r="EO295" s="1804"/>
      <c r="EP295" s="1804"/>
      <c r="EQ295" s="1804"/>
      <c r="ER295" s="1804"/>
      <c r="ES295" s="1804"/>
      <c r="ET295" s="1804"/>
      <c r="EU295" s="1804"/>
      <c r="EV295" s="1804"/>
      <c r="EW295" s="1804"/>
      <c r="EX295" s="1804"/>
      <c r="EY295" s="1804"/>
      <c r="EZ295" s="1804"/>
      <c r="FA295" s="1804"/>
      <c r="FB295" s="1804"/>
      <c r="FC295" s="1804"/>
      <c r="FD295" s="1804"/>
      <c r="FE295" s="1804"/>
      <c r="FF295" s="1804"/>
      <c r="FG295" s="1804"/>
      <c r="FH295" s="1804"/>
      <c r="FI295" s="1804"/>
      <c r="FJ295" s="1804"/>
      <c r="FK295" s="1804"/>
      <c r="FL295" s="1804"/>
      <c r="FM295" s="1804"/>
      <c r="FN295" s="1804"/>
      <c r="FO295" s="1804"/>
      <c r="FP295" s="1804"/>
      <c r="FQ295" s="1804"/>
      <c r="FR295" s="1804"/>
      <c r="FS295" s="1804"/>
      <c r="FT295" s="1804"/>
      <c r="FU295" s="1804"/>
      <c r="FV295" s="1804"/>
      <c r="FW295" s="1804"/>
      <c r="FX295" s="1804"/>
      <c r="FY295" s="1804"/>
      <c r="FZ295" s="1804"/>
      <c r="GA295" s="1804"/>
      <c r="GB295" s="1804"/>
      <c r="GC295" s="1804"/>
      <c r="GD295" s="1804"/>
      <c r="GE295" s="1804"/>
      <c r="GF295" s="1804"/>
      <c r="GG295" s="1804"/>
      <c r="GH295" s="1804"/>
      <c r="GI295" s="1804"/>
      <c r="GJ295" s="1804"/>
      <c r="GK295" s="1804"/>
      <c r="GL295" s="1804"/>
      <c r="GM295" s="1804"/>
      <c r="GN295" s="1804"/>
      <c r="GO295" s="1804"/>
      <c r="GP295" s="1804"/>
      <c r="GQ295" s="1804"/>
      <c r="GR295" s="1804"/>
      <c r="GS295" s="1804"/>
      <c r="GT295" s="1804"/>
      <c r="GU295" s="1804"/>
      <c r="GV295" s="1804"/>
      <c r="GW295" s="1804"/>
      <c r="GX295" s="1804"/>
      <c r="GY295" s="1804"/>
      <c r="GZ295" s="1804"/>
      <c r="HA295" s="1804"/>
      <c r="HB295" s="1804"/>
      <c r="HC295" s="1804"/>
      <c r="HD295" s="1804"/>
      <c r="HE295" s="1804"/>
      <c r="HF295" s="1804"/>
      <c r="HG295" s="1804"/>
      <c r="HH295" s="1804"/>
      <c r="HI295" s="1804"/>
      <c r="HJ295" s="1804"/>
      <c r="HK295" s="1804"/>
      <c r="HL295" s="1804"/>
      <c r="HM295" s="1804"/>
      <c r="HN295" s="1804"/>
      <c r="HO295" s="1804"/>
      <c r="HP295" s="1804"/>
      <c r="HQ295" s="1804"/>
      <c r="HR295" s="1804"/>
      <c r="HS295" s="1804"/>
      <c r="HT295" s="1804"/>
      <c r="HU295" s="1804"/>
      <c r="HV295" s="1804"/>
      <c r="HW295" s="1804"/>
      <c r="HX295" s="1804"/>
      <c r="HY295" s="1804"/>
      <c r="HZ295" s="1804"/>
      <c r="IA295" s="1804"/>
      <c r="IB295" s="1804"/>
      <c r="IC295" s="1804"/>
      <c r="ID295" s="1804"/>
      <c r="IE295" s="1804"/>
      <c r="IF295" s="1804"/>
      <c r="IG295" s="1804"/>
      <c r="IH295" s="1804"/>
      <c r="II295" s="1804"/>
      <c r="IJ295" s="1804"/>
      <c r="IK295" s="1804"/>
      <c r="IL295" s="1804"/>
      <c r="IM295" s="1804"/>
      <c r="IN295" s="1804"/>
      <c r="IO295" s="1804"/>
      <c r="IP295" s="1804"/>
      <c r="IQ295" s="1804"/>
      <c r="IR295" s="1804"/>
      <c r="IS295" s="1804"/>
      <c r="IT295" s="1804"/>
      <c r="IU295" s="1804"/>
      <c r="IV295" s="1804"/>
      <c r="IW295" s="1804"/>
    </row>
    <row r="296" spans="3:257" s="888" customFormat="1" x14ac:dyDescent="0.45">
      <c r="C296" s="67" t="s">
        <v>557</v>
      </c>
      <c r="D296" s="68" t="s">
        <v>660</v>
      </c>
      <c r="E296" s="69"/>
      <c r="F296" s="110">
        <f t="shared" si="49"/>
        <v>0</v>
      </c>
      <c r="G296" s="110">
        <f t="shared" si="49"/>
        <v>0</v>
      </c>
      <c r="H296" s="110">
        <f t="shared" si="50"/>
        <v>0</v>
      </c>
      <c r="I296" s="110">
        <f t="shared" si="50"/>
        <v>0</v>
      </c>
      <c r="J296" s="110">
        <f t="shared" si="20"/>
        <v>0</v>
      </c>
      <c r="K296" s="110">
        <f t="shared" si="21"/>
        <v>0</v>
      </c>
      <c r="L296" s="111">
        <f t="shared" si="22"/>
        <v>0</v>
      </c>
      <c r="M296" s="110">
        <f t="shared" si="23"/>
        <v>0</v>
      </c>
      <c r="N296" s="93"/>
      <c r="O296" s="110">
        <f t="shared" si="24"/>
        <v>0</v>
      </c>
      <c r="P296" s="110">
        <f t="shared" si="25"/>
        <v>13073.212886414094</v>
      </c>
      <c r="Q296" s="110">
        <f t="shared" si="26"/>
        <v>0</v>
      </c>
      <c r="R296" s="110">
        <f t="shared" si="27"/>
        <v>0</v>
      </c>
      <c r="S296" s="110">
        <f t="shared" si="28"/>
        <v>0</v>
      </c>
      <c r="T296" s="110">
        <f t="shared" si="29"/>
        <v>0</v>
      </c>
      <c r="U296" s="111">
        <f t="shared" si="30"/>
        <v>0</v>
      </c>
      <c r="V296" s="110">
        <f t="shared" si="31"/>
        <v>0</v>
      </c>
      <c r="W296" s="93"/>
      <c r="X296" s="110">
        <f t="shared" si="32"/>
        <v>0</v>
      </c>
      <c r="Y296" s="110">
        <f t="shared" si="33"/>
        <v>0</v>
      </c>
      <c r="Z296" s="110">
        <f t="shared" si="34"/>
        <v>0</v>
      </c>
      <c r="AA296" s="110">
        <f t="shared" si="35"/>
        <v>0</v>
      </c>
      <c r="AB296" s="110">
        <f t="shared" si="36"/>
        <v>0</v>
      </c>
      <c r="AC296" s="110">
        <f t="shared" si="37"/>
        <v>0</v>
      </c>
      <c r="AD296" s="110">
        <f t="shared" si="38"/>
        <v>0</v>
      </c>
      <c r="AE296" s="110">
        <f t="shared" si="39"/>
        <v>0</v>
      </c>
      <c r="AF296" s="110">
        <f t="shared" si="40"/>
        <v>0</v>
      </c>
      <c r="AG296" s="110">
        <f t="shared" si="41"/>
        <v>0</v>
      </c>
      <c r="AH296" s="110">
        <f t="shared" si="42"/>
        <v>0</v>
      </c>
      <c r="AI296" s="110">
        <f t="shared" si="43"/>
        <v>0.61703702227003154</v>
      </c>
      <c r="AJ296" s="110">
        <f t="shared" si="44"/>
        <v>0</v>
      </c>
      <c r="AK296" s="110">
        <f t="shared" si="45"/>
        <v>13073.829923436364</v>
      </c>
      <c r="AL296" s="110">
        <f t="shared" si="46"/>
        <v>0</v>
      </c>
      <c r="AM296" s="110">
        <f t="shared" si="47"/>
        <v>0</v>
      </c>
      <c r="AN296" s="111">
        <f t="shared" si="48"/>
        <v>13073.829923436364</v>
      </c>
      <c r="AO296" s="1804"/>
      <c r="AP296" s="1804"/>
      <c r="AQ296" s="1804"/>
      <c r="AR296" s="1804"/>
      <c r="AS296" s="1804"/>
      <c r="AT296" s="1804"/>
      <c r="AU296" s="1804"/>
      <c r="AV296" s="1804"/>
      <c r="AW296" s="1804"/>
      <c r="AX296" s="1804"/>
      <c r="AY296" s="1804"/>
      <c r="AZ296" s="1804"/>
      <c r="BA296" s="1804"/>
      <c r="BB296" s="1804"/>
      <c r="BC296" s="1804"/>
      <c r="BD296" s="1804"/>
      <c r="BE296" s="1804"/>
      <c r="BF296" s="1804"/>
      <c r="BG296" s="1804"/>
      <c r="BH296" s="1804"/>
      <c r="BI296" s="1804"/>
      <c r="BJ296" s="1804"/>
      <c r="BK296" s="1804"/>
      <c r="BL296" s="1804"/>
      <c r="BM296" s="1804"/>
      <c r="BN296" s="1804"/>
      <c r="BO296" s="1804"/>
      <c r="BP296" s="1804"/>
      <c r="BQ296" s="1804"/>
      <c r="BR296" s="1804"/>
      <c r="BS296" s="1804"/>
      <c r="BT296" s="1804"/>
      <c r="BU296" s="1804"/>
      <c r="BV296" s="1804"/>
      <c r="BW296" s="1804"/>
      <c r="BX296" s="1804"/>
      <c r="BY296" s="1804"/>
      <c r="BZ296" s="1804"/>
      <c r="CA296" s="1804"/>
      <c r="CB296" s="1804"/>
      <c r="CC296" s="1804"/>
      <c r="CD296" s="1804"/>
      <c r="CE296" s="1804"/>
      <c r="CF296" s="1804"/>
      <c r="CG296" s="1804"/>
      <c r="CH296" s="1804"/>
      <c r="CI296" s="1804"/>
      <c r="CJ296" s="1804"/>
      <c r="CK296" s="1804"/>
      <c r="CL296" s="1804"/>
      <c r="CM296" s="1804"/>
      <c r="CN296" s="1804"/>
      <c r="CO296" s="1804"/>
      <c r="CP296" s="1804"/>
      <c r="CQ296" s="1804"/>
      <c r="CR296" s="1804"/>
      <c r="CS296" s="1804"/>
      <c r="CT296" s="1804"/>
      <c r="CU296" s="1804"/>
      <c r="CV296" s="1804"/>
      <c r="CW296" s="1804"/>
      <c r="CX296" s="1804"/>
      <c r="CY296" s="1804"/>
      <c r="CZ296" s="1804"/>
      <c r="DA296" s="1804"/>
      <c r="DB296" s="1804"/>
      <c r="DC296" s="1804"/>
      <c r="DD296" s="1804"/>
      <c r="DE296" s="1804"/>
      <c r="DF296" s="1804"/>
      <c r="DG296" s="1804"/>
      <c r="DH296" s="1804"/>
      <c r="DI296" s="1804"/>
      <c r="DJ296" s="1804"/>
      <c r="DK296" s="1804"/>
      <c r="DL296" s="1804"/>
      <c r="DM296" s="1804"/>
      <c r="DN296" s="1804"/>
      <c r="DO296" s="1804"/>
      <c r="DP296" s="1804"/>
      <c r="DQ296" s="1804"/>
      <c r="DR296" s="1804"/>
      <c r="DS296" s="1804"/>
      <c r="DT296" s="1804"/>
      <c r="DU296" s="1804"/>
      <c r="DV296" s="1804"/>
      <c r="DW296" s="1804"/>
      <c r="DX296" s="1804"/>
      <c r="DY296" s="1804"/>
      <c r="DZ296" s="1804"/>
      <c r="EA296" s="1804"/>
      <c r="EB296" s="1804"/>
      <c r="EC296" s="1804"/>
      <c r="ED296" s="1804"/>
      <c r="EE296" s="1804"/>
      <c r="EF296" s="1804"/>
      <c r="EG296" s="1804"/>
      <c r="EH296" s="1804"/>
      <c r="EI296" s="1804"/>
      <c r="EJ296" s="1804"/>
      <c r="EK296" s="1804"/>
      <c r="EL296" s="1804"/>
      <c r="EM296" s="1804"/>
      <c r="EN296" s="1804"/>
      <c r="EO296" s="1804"/>
      <c r="EP296" s="1804"/>
      <c r="EQ296" s="1804"/>
      <c r="ER296" s="1804"/>
      <c r="ES296" s="1804"/>
      <c r="ET296" s="1804"/>
      <c r="EU296" s="1804"/>
      <c r="EV296" s="1804"/>
      <c r="EW296" s="1804"/>
      <c r="EX296" s="1804"/>
      <c r="EY296" s="1804"/>
      <c r="EZ296" s="1804"/>
      <c r="FA296" s="1804"/>
      <c r="FB296" s="1804"/>
      <c r="FC296" s="1804"/>
      <c r="FD296" s="1804"/>
      <c r="FE296" s="1804"/>
      <c r="FF296" s="1804"/>
      <c r="FG296" s="1804"/>
      <c r="FH296" s="1804"/>
      <c r="FI296" s="1804"/>
      <c r="FJ296" s="1804"/>
      <c r="FK296" s="1804"/>
      <c r="FL296" s="1804"/>
      <c r="FM296" s="1804"/>
      <c r="FN296" s="1804"/>
      <c r="FO296" s="1804"/>
      <c r="FP296" s="1804"/>
      <c r="FQ296" s="1804"/>
      <c r="FR296" s="1804"/>
      <c r="FS296" s="1804"/>
      <c r="FT296" s="1804"/>
      <c r="FU296" s="1804"/>
      <c r="FV296" s="1804"/>
      <c r="FW296" s="1804"/>
      <c r="FX296" s="1804"/>
      <c r="FY296" s="1804"/>
      <c r="FZ296" s="1804"/>
      <c r="GA296" s="1804"/>
      <c r="GB296" s="1804"/>
      <c r="GC296" s="1804"/>
      <c r="GD296" s="1804"/>
      <c r="GE296" s="1804"/>
      <c r="GF296" s="1804"/>
      <c r="GG296" s="1804"/>
      <c r="GH296" s="1804"/>
      <c r="GI296" s="1804"/>
      <c r="GJ296" s="1804"/>
      <c r="GK296" s="1804"/>
      <c r="GL296" s="1804"/>
      <c r="GM296" s="1804"/>
      <c r="GN296" s="1804"/>
      <c r="GO296" s="1804"/>
      <c r="GP296" s="1804"/>
      <c r="GQ296" s="1804"/>
      <c r="GR296" s="1804"/>
      <c r="GS296" s="1804"/>
      <c r="GT296" s="1804"/>
      <c r="GU296" s="1804"/>
      <c r="GV296" s="1804"/>
      <c r="GW296" s="1804"/>
      <c r="GX296" s="1804"/>
      <c r="GY296" s="1804"/>
      <c r="GZ296" s="1804"/>
      <c r="HA296" s="1804"/>
      <c r="HB296" s="1804"/>
      <c r="HC296" s="1804"/>
      <c r="HD296" s="1804"/>
      <c r="HE296" s="1804"/>
      <c r="HF296" s="1804"/>
      <c r="HG296" s="1804"/>
      <c r="HH296" s="1804"/>
      <c r="HI296" s="1804"/>
      <c r="HJ296" s="1804"/>
      <c r="HK296" s="1804"/>
      <c r="HL296" s="1804"/>
      <c r="HM296" s="1804"/>
      <c r="HN296" s="1804"/>
      <c r="HO296" s="1804"/>
      <c r="HP296" s="1804"/>
      <c r="HQ296" s="1804"/>
      <c r="HR296" s="1804"/>
      <c r="HS296" s="1804"/>
      <c r="HT296" s="1804"/>
      <c r="HU296" s="1804"/>
      <c r="HV296" s="1804"/>
      <c r="HW296" s="1804"/>
      <c r="HX296" s="1804"/>
      <c r="HY296" s="1804"/>
      <c r="HZ296" s="1804"/>
      <c r="IA296" s="1804"/>
      <c r="IB296" s="1804"/>
      <c r="IC296" s="1804"/>
      <c r="ID296" s="1804"/>
      <c r="IE296" s="1804"/>
      <c r="IF296" s="1804"/>
      <c r="IG296" s="1804"/>
      <c r="IH296" s="1804"/>
      <c r="II296" s="1804"/>
      <c r="IJ296" s="1804"/>
      <c r="IK296" s="1804"/>
      <c r="IL296" s="1804"/>
      <c r="IM296" s="1804"/>
      <c r="IN296" s="1804"/>
      <c r="IO296" s="1804"/>
      <c r="IP296" s="1804"/>
      <c r="IQ296" s="1804"/>
      <c r="IR296" s="1804"/>
      <c r="IS296" s="1804"/>
      <c r="IT296" s="1804"/>
      <c r="IU296" s="1804"/>
      <c r="IV296" s="1804"/>
      <c r="IW296" s="1804"/>
    </row>
    <row r="297" spans="3:257" s="888" customFormat="1" x14ac:dyDescent="0.45">
      <c r="C297" s="67" t="s">
        <v>558</v>
      </c>
      <c r="D297" s="68" t="s">
        <v>661</v>
      </c>
      <c r="E297" s="69"/>
      <c r="F297" s="110">
        <f t="shared" si="49"/>
        <v>0</v>
      </c>
      <c r="G297" s="110">
        <f t="shared" si="49"/>
        <v>0</v>
      </c>
      <c r="H297" s="110">
        <f t="shared" si="50"/>
        <v>0</v>
      </c>
      <c r="I297" s="110">
        <f t="shared" si="50"/>
        <v>0</v>
      </c>
      <c r="J297" s="110">
        <f t="shared" si="20"/>
        <v>0</v>
      </c>
      <c r="K297" s="110">
        <f t="shared" si="21"/>
        <v>0</v>
      </c>
      <c r="L297" s="111">
        <f t="shared" si="22"/>
        <v>0</v>
      </c>
      <c r="M297" s="110">
        <f t="shared" si="23"/>
        <v>0</v>
      </c>
      <c r="N297" s="93"/>
      <c r="O297" s="110">
        <f t="shared" si="24"/>
        <v>0</v>
      </c>
      <c r="P297" s="110">
        <f t="shared" si="25"/>
        <v>605.49144992699837</v>
      </c>
      <c r="Q297" s="110">
        <f t="shared" si="26"/>
        <v>0</v>
      </c>
      <c r="R297" s="110">
        <f t="shared" si="27"/>
        <v>0</v>
      </c>
      <c r="S297" s="110">
        <f t="shared" si="28"/>
        <v>0</v>
      </c>
      <c r="T297" s="110">
        <f t="shared" si="29"/>
        <v>0</v>
      </c>
      <c r="U297" s="111">
        <f t="shared" si="30"/>
        <v>0</v>
      </c>
      <c r="V297" s="110">
        <f t="shared" si="31"/>
        <v>0</v>
      </c>
      <c r="W297" s="93"/>
      <c r="X297" s="110">
        <f t="shared" si="32"/>
        <v>0</v>
      </c>
      <c r="Y297" s="110">
        <f t="shared" si="33"/>
        <v>0</v>
      </c>
      <c r="Z297" s="110">
        <f t="shared" si="34"/>
        <v>0</v>
      </c>
      <c r="AA297" s="110">
        <f t="shared" si="35"/>
        <v>0</v>
      </c>
      <c r="AB297" s="110">
        <f t="shared" si="36"/>
        <v>0</v>
      </c>
      <c r="AC297" s="110">
        <f t="shared" si="37"/>
        <v>0</v>
      </c>
      <c r="AD297" s="110">
        <f t="shared" si="38"/>
        <v>0</v>
      </c>
      <c r="AE297" s="110">
        <f t="shared" si="39"/>
        <v>0</v>
      </c>
      <c r="AF297" s="110">
        <f t="shared" si="40"/>
        <v>0</v>
      </c>
      <c r="AG297" s="110">
        <f t="shared" si="41"/>
        <v>0</v>
      </c>
      <c r="AH297" s="110">
        <f t="shared" si="42"/>
        <v>0</v>
      </c>
      <c r="AI297" s="110">
        <f t="shared" si="43"/>
        <v>0</v>
      </c>
      <c r="AJ297" s="110">
        <f t="shared" si="44"/>
        <v>0</v>
      </c>
      <c r="AK297" s="110">
        <f t="shared" si="45"/>
        <v>605.49144992699837</v>
      </c>
      <c r="AL297" s="110">
        <f t="shared" si="46"/>
        <v>0</v>
      </c>
      <c r="AM297" s="110">
        <f t="shared" si="47"/>
        <v>0</v>
      </c>
      <c r="AN297" s="111">
        <f t="shared" si="48"/>
        <v>605.49144992699837</v>
      </c>
      <c r="AO297" s="1804"/>
      <c r="AP297" s="1804"/>
      <c r="AQ297" s="1804"/>
      <c r="AR297" s="1804"/>
      <c r="AS297" s="1804"/>
      <c r="AT297" s="1804"/>
      <c r="AU297" s="1804"/>
      <c r="AV297" s="1804"/>
      <c r="AW297" s="1804"/>
      <c r="AX297" s="1804"/>
      <c r="AY297" s="1804"/>
      <c r="AZ297" s="1804"/>
      <c r="BA297" s="1804"/>
      <c r="BB297" s="1804"/>
      <c r="BC297" s="1804"/>
      <c r="BD297" s="1804"/>
      <c r="BE297" s="1804"/>
      <c r="BF297" s="1804"/>
      <c r="BG297" s="1804"/>
      <c r="BH297" s="1804"/>
      <c r="BI297" s="1804"/>
      <c r="BJ297" s="1804"/>
      <c r="BK297" s="1804"/>
      <c r="BL297" s="1804"/>
      <c r="BM297" s="1804"/>
      <c r="BN297" s="1804"/>
      <c r="BO297" s="1804"/>
      <c r="BP297" s="1804"/>
      <c r="BQ297" s="1804"/>
      <c r="BR297" s="1804"/>
      <c r="BS297" s="1804"/>
      <c r="BT297" s="1804"/>
      <c r="BU297" s="1804"/>
      <c r="BV297" s="1804"/>
      <c r="BW297" s="1804"/>
      <c r="BX297" s="1804"/>
      <c r="BY297" s="1804"/>
      <c r="BZ297" s="1804"/>
      <c r="CA297" s="1804"/>
      <c r="CB297" s="1804"/>
      <c r="CC297" s="1804"/>
      <c r="CD297" s="1804"/>
      <c r="CE297" s="1804"/>
      <c r="CF297" s="1804"/>
      <c r="CG297" s="1804"/>
      <c r="CH297" s="1804"/>
      <c r="CI297" s="1804"/>
      <c r="CJ297" s="1804"/>
      <c r="CK297" s="1804"/>
      <c r="CL297" s="1804"/>
      <c r="CM297" s="1804"/>
      <c r="CN297" s="1804"/>
      <c r="CO297" s="1804"/>
      <c r="CP297" s="1804"/>
      <c r="CQ297" s="1804"/>
      <c r="CR297" s="1804"/>
      <c r="CS297" s="1804"/>
      <c r="CT297" s="1804"/>
      <c r="CU297" s="1804"/>
      <c r="CV297" s="1804"/>
      <c r="CW297" s="1804"/>
      <c r="CX297" s="1804"/>
      <c r="CY297" s="1804"/>
      <c r="CZ297" s="1804"/>
      <c r="DA297" s="1804"/>
      <c r="DB297" s="1804"/>
      <c r="DC297" s="1804"/>
      <c r="DD297" s="1804"/>
      <c r="DE297" s="1804"/>
      <c r="DF297" s="1804"/>
      <c r="DG297" s="1804"/>
      <c r="DH297" s="1804"/>
      <c r="DI297" s="1804"/>
      <c r="DJ297" s="1804"/>
      <c r="DK297" s="1804"/>
      <c r="DL297" s="1804"/>
      <c r="DM297" s="1804"/>
      <c r="DN297" s="1804"/>
      <c r="DO297" s="1804"/>
      <c r="DP297" s="1804"/>
      <c r="DQ297" s="1804"/>
      <c r="DR297" s="1804"/>
      <c r="DS297" s="1804"/>
      <c r="DT297" s="1804"/>
      <c r="DU297" s="1804"/>
      <c r="DV297" s="1804"/>
      <c r="DW297" s="1804"/>
      <c r="DX297" s="1804"/>
      <c r="DY297" s="1804"/>
      <c r="DZ297" s="1804"/>
      <c r="EA297" s="1804"/>
      <c r="EB297" s="1804"/>
      <c r="EC297" s="1804"/>
      <c r="ED297" s="1804"/>
      <c r="EE297" s="1804"/>
      <c r="EF297" s="1804"/>
      <c r="EG297" s="1804"/>
      <c r="EH297" s="1804"/>
      <c r="EI297" s="1804"/>
      <c r="EJ297" s="1804"/>
      <c r="EK297" s="1804"/>
      <c r="EL297" s="1804"/>
      <c r="EM297" s="1804"/>
      <c r="EN297" s="1804"/>
      <c r="EO297" s="1804"/>
      <c r="EP297" s="1804"/>
      <c r="EQ297" s="1804"/>
      <c r="ER297" s="1804"/>
      <c r="ES297" s="1804"/>
      <c r="ET297" s="1804"/>
      <c r="EU297" s="1804"/>
      <c r="EV297" s="1804"/>
      <c r="EW297" s="1804"/>
      <c r="EX297" s="1804"/>
      <c r="EY297" s="1804"/>
      <c r="EZ297" s="1804"/>
      <c r="FA297" s="1804"/>
      <c r="FB297" s="1804"/>
      <c r="FC297" s="1804"/>
      <c r="FD297" s="1804"/>
      <c r="FE297" s="1804"/>
      <c r="FF297" s="1804"/>
      <c r="FG297" s="1804"/>
      <c r="FH297" s="1804"/>
      <c r="FI297" s="1804"/>
      <c r="FJ297" s="1804"/>
      <c r="FK297" s="1804"/>
      <c r="FL297" s="1804"/>
      <c r="FM297" s="1804"/>
      <c r="FN297" s="1804"/>
      <c r="FO297" s="1804"/>
      <c r="FP297" s="1804"/>
      <c r="FQ297" s="1804"/>
      <c r="FR297" s="1804"/>
      <c r="FS297" s="1804"/>
      <c r="FT297" s="1804"/>
      <c r="FU297" s="1804"/>
      <c r="FV297" s="1804"/>
      <c r="FW297" s="1804"/>
      <c r="FX297" s="1804"/>
      <c r="FY297" s="1804"/>
      <c r="FZ297" s="1804"/>
      <c r="GA297" s="1804"/>
      <c r="GB297" s="1804"/>
      <c r="GC297" s="1804"/>
      <c r="GD297" s="1804"/>
      <c r="GE297" s="1804"/>
      <c r="GF297" s="1804"/>
      <c r="GG297" s="1804"/>
      <c r="GH297" s="1804"/>
      <c r="GI297" s="1804"/>
      <c r="GJ297" s="1804"/>
      <c r="GK297" s="1804"/>
      <c r="GL297" s="1804"/>
      <c r="GM297" s="1804"/>
      <c r="GN297" s="1804"/>
      <c r="GO297" s="1804"/>
      <c r="GP297" s="1804"/>
      <c r="GQ297" s="1804"/>
      <c r="GR297" s="1804"/>
      <c r="GS297" s="1804"/>
      <c r="GT297" s="1804"/>
      <c r="GU297" s="1804"/>
      <c r="GV297" s="1804"/>
      <c r="GW297" s="1804"/>
      <c r="GX297" s="1804"/>
      <c r="GY297" s="1804"/>
      <c r="GZ297" s="1804"/>
      <c r="HA297" s="1804"/>
      <c r="HB297" s="1804"/>
      <c r="HC297" s="1804"/>
      <c r="HD297" s="1804"/>
      <c r="HE297" s="1804"/>
      <c r="HF297" s="1804"/>
      <c r="HG297" s="1804"/>
      <c r="HH297" s="1804"/>
      <c r="HI297" s="1804"/>
      <c r="HJ297" s="1804"/>
      <c r="HK297" s="1804"/>
      <c r="HL297" s="1804"/>
      <c r="HM297" s="1804"/>
      <c r="HN297" s="1804"/>
      <c r="HO297" s="1804"/>
      <c r="HP297" s="1804"/>
      <c r="HQ297" s="1804"/>
      <c r="HR297" s="1804"/>
      <c r="HS297" s="1804"/>
      <c r="HT297" s="1804"/>
      <c r="HU297" s="1804"/>
      <c r="HV297" s="1804"/>
      <c r="HW297" s="1804"/>
      <c r="HX297" s="1804"/>
      <c r="HY297" s="1804"/>
      <c r="HZ297" s="1804"/>
      <c r="IA297" s="1804"/>
      <c r="IB297" s="1804"/>
      <c r="IC297" s="1804"/>
      <c r="ID297" s="1804"/>
      <c r="IE297" s="1804"/>
      <c r="IF297" s="1804"/>
      <c r="IG297" s="1804"/>
      <c r="IH297" s="1804"/>
      <c r="II297" s="1804"/>
      <c r="IJ297" s="1804"/>
      <c r="IK297" s="1804"/>
      <c r="IL297" s="1804"/>
      <c r="IM297" s="1804"/>
      <c r="IN297" s="1804"/>
      <c r="IO297" s="1804"/>
      <c r="IP297" s="1804"/>
      <c r="IQ297" s="1804"/>
      <c r="IR297" s="1804"/>
      <c r="IS297" s="1804"/>
      <c r="IT297" s="1804"/>
      <c r="IU297" s="1804"/>
      <c r="IV297" s="1804"/>
      <c r="IW297" s="1804"/>
    </row>
    <row r="298" spans="3:257" s="888" customFormat="1" x14ac:dyDescent="0.45">
      <c r="C298" s="67" t="s">
        <v>559</v>
      </c>
      <c r="D298" s="68" t="s">
        <v>662</v>
      </c>
      <c r="E298" s="69"/>
      <c r="F298" s="110">
        <f t="shared" si="49"/>
        <v>0</v>
      </c>
      <c r="G298" s="110">
        <f t="shared" si="49"/>
        <v>13892.069043935664</v>
      </c>
      <c r="H298" s="110">
        <f t="shared" si="50"/>
        <v>0</v>
      </c>
      <c r="I298" s="110">
        <f t="shared" si="50"/>
        <v>0</v>
      </c>
      <c r="J298" s="110">
        <f t="shared" si="20"/>
        <v>0</v>
      </c>
      <c r="K298" s="110">
        <f t="shared" si="21"/>
        <v>0</v>
      </c>
      <c r="L298" s="111">
        <f t="shared" si="22"/>
        <v>0</v>
      </c>
      <c r="M298" s="110">
        <f t="shared" si="23"/>
        <v>0</v>
      </c>
      <c r="N298" s="93"/>
      <c r="O298" s="110">
        <f t="shared" si="24"/>
        <v>0</v>
      </c>
      <c r="P298" s="110">
        <f t="shared" si="25"/>
        <v>0</v>
      </c>
      <c r="Q298" s="110">
        <f t="shared" si="26"/>
        <v>0</v>
      </c>
      <c r="R298" s="110">
        <f t="shared" si="27"/>
        <v>0</v>
      </c>
      <c r="S298" s="110">
        <f t="shared" si="28"/>
        <v>0</v>
      </c>
      <c r="T298" s="110">
        <f t="shared" si="29"/>
        <v>0</v>
      </c>
      <c r="U298" s="111">
        <f t="shared" si="30"/>
        <v>0</v>
      </c>
      <c r="V298" s="110">
        <f t="shared" si="31"/>
        <v>0</v>
      </c>
      <c r="W298" s="93"/>
      <c r="X298" s="110">
        <f t="shared" si="32"/>
        <v>2.211155088098979</v>
      </c>
      <c r="Y298" s="110">
        <f t="shared" si="33"/>
        <v>247.15442799283801</v>
      </c>
      <c r="Z298" s="110">
        <f t="shared" si="34"/>
        <v>0</v>
      </c>
      <c r="AA298" s="110">
        <f t="shared" si="35"/>
        <v>0</v>
      </c>
      <c r="AB298" s="110">
        <f t="shared" si="36"/>
        <v>0</v>
      </c>
      <c r="AC298" s="110">
        <f t="shared" si="37"/>
        <v>0</v>
      </c>
      <c r="AD298" s="110">
        <f t="shared" si="38"/>
        <v>0</v>
      </c>
      <c r="AE298" s="110">
        <f t="shared" si="39"/>
        <v>0</v>
      </c>
      <c r="AF298" s="110">
        <f t="shared" si="40"/>
        <v>0</v>
      </c>
      <c r="AG298" s="110">
        <f t="shared" si="41"/>
        <v>0</v>
      </c>
      <c r="AH298" s="110">
        <f t="shared" si="42"/>
        <v>0</v>
      </c>
      <c r="AI298" s="110">
        <f t="shared" si="43"/>
        <v>0</v>
      </c>
      <c r="AJ298" s="110">
        <f t="shared" si="44"/>
        <v>2.211155088098979</v>
      </c>
      <c r="AK298" s="110">
        <f t="shared" si="45"/>
        <v>14139.223471928502</v>
      </c>
      <c r="AL298" s="110">
        <f t="shared" si="46"/>
        <v>0</v>
      </c>
      <c r="AM298" s="110">
        <f t="shared" si="47"/>
        <v>0</v>
      </c>
      <c r="AN298" s="111">
        <f t="shared" si="48"/>
        <v>14141.434627016601</v>
      </c>
      <c r="AO298" s="1804"/>
      <c r="AP298" s="1804"/>
      <c r="AQ298" s="1804"/>
      <c r="AR298" s="1804"/>
      <c r="AS298" s="1804"/>
      <c r="AT298" s="1804"/>
      <c r="AU298" s="1804"/>
      <c r="AV298" s="1804"/>
      <c r="AW298" s="1804"/>
      <c r="AX298" s="1804"/>
      <c r="AY298" s="1804"/>
      <c r="AZ298" s="1804"/>
      <c r="BA298" s="1804"/>
      <c r="BB298" s="1804"/>
      <c r="BC298" s="1804"/>
      <c r="BD298" s="1804"/>
      <c r="BE298" s="1804"/>
      <c r="BF298" s="1804"/>
      <c r="BG298" s="1804"/>
      <c r="BH298" s="1804"/>
      <c r="BI298" s="1804"/>
      <c r="BJ298" s="1804"/>
      <c r="BK298" s="1804"/>
      <c r="BL298" s="1804"/>
      <c r="BM298" s="1804"/>
      <c r="BN298" s="1804"/>
      <c r="BO298" s="1804"/>
      <c r="BP298" s="1804"/>
      <c r="BQ298" s="1804"/>
      <c r="BR298" s="1804"/>
      <c r="BS298" s="1804"/>
      <c r="BT298" s="1804"/>
      <c r="BU298" s="1804"/>
      <c r="BV298" s="1804"/>
      <c r="BW298" s="1804"/>
      <c r="BX298" s="1804"/>
      <c r="BY298" s="1804"/>
      <c r="BZ298" s="1804"/>
      <c r="CA298" s="1804"/>
      <c r="CB298" s="1804"/>
      <c r="CC298" s="1804"/>
      <c r="CD298" s="1804"/>
      <c r="CE298" s="1804"/>
      <c r="CF298" s="1804"/>
      <c r="CG298" s="1804"/>
      <c r="CH298" s="1804"/>
      <c r="CI298" s="1804"/>
      <c r="CJ298" s="1804"/>
      <c r="CK298" s="1804"/>
      <c r="CL298" s="1804"/>
      <c r="CM298" s="1804"/>
      <c r="CN298" s="1804"/>
      <c r="CO298" s="1804"/>
      <c r="CP298" s="1804"/>
      <c r="CQ298" s="1804"/>
      <c r="CR298" s="1804"/>
      <c r="CS298" s="1804"/>
      <c r="CT298" s="1804"/>
      <c r="CU298" s="1804"/>
      <c r="CV298" s="1804"/>
      <c r="CW298" s="1804"/>
      <c r="CX298" s="1804"/>
      <c r="CY298" s="1804"/>
      <c r="CZ298" s="1804"/>
      <c r="DA298" s="1804"/>
      <c r="DB298" s="1804"/>
      <c r="DC298" s="1804"/>
      <c r="DD298" s="1804"/>
      <c r="DE298" s="1804"/>
      <c r="DF298" s="1804"/>
      <c r="DG298" s="1804"/>
      <c r="DH298" s="1804"/>
      <c r="DI298" s="1804"/>
      <c r="DJ298" s="1804"/>
      <c r="DK298" s="1804"/>
      <c r="DL298" s="1804"/>
      <c r="DM298" s="1804"/>
      <c r="DN298" s="1804"/>
      <c r="DO298" s="1804"/>
      <c r="DP298" s="1804"/>
      <c r="DQ298" s="1804"/>
      <c r="DR298" s="1804"/>
      <c r="DS298" s="1804"/>
      <c r="DT298" s="1804"/>
      <c r="DU298" s="1804"/>
      <c r="DV298" s="1804"/>
      <c r="DW298" s="1804"/>
      <c r="DX298" s="1804"/>
      <c r="DY298" s="1804"/>
      <c r="DZ298" s="1804"/>
      <c r="EA298" s="1804"/>
      <c r="EB298" s="1804"/>
      <c r="EC298" s="1804"/>
      <c r="ED298" s="1804"/>
      <c r="EE298" s="1804"/>
      <c r="EF298" s="1804"/>
      <c r="EG298" s="1804"/>
      <c r="EH298" s="1804"/>
      <c r="EI298" s="1804"/>
      <c r="EJ298" s="1804"/>
      <c r="EK298" s="1804"/>
      <c r="EL298" s="1804"/>
      <c r="EM298" s="1804"/>
      <c r="EN298" s="1804"/>
      <c r="EO298" s="1804"/>
      <c r="EP298" s="1804"/>
      <c r="EQ298" s="1804"/>
      <c r="ER298" s="1804"/>
      <c r="ES298" s="1804"/>
      <c r="ET298" s="1804"/>
      <c r="EU298" s="1804"/>
      <c r="EV298" s="1804"/>
      <c r="EW298" s="1804"/>
      <c r="EX298" s="1804"/>
      <c r="EY298" s="1804"/>
      <c r="EZ298" s="1804"/>
      <c r="FA298" s="1804"/>
      <c r="FB298" s="1804"/>
      <c r="FC298" s="1804"/>
      <c r="FD298" s="1804"/>
      <c r="FE298" s="1804"/>
      <c r="FF298" s="1804"/>
      <c r="FG298" s="1804"/>
      <c r="FH298" s="1804"/>
      <c r="FI298" s="1804"/>
      <c r="FJ298" s="1804"/>
      <c r="FK298" s="1804"/>
      <c r="FL298" s="1804"/>
      <c r="FM298" s="1804"/>
      <c r="FN298" s="1804"/>
      <c r="FO298" s="1804"/>
      <c r="FP298" s="1804"/>
      <c r="FQ298" s="1804"/>
      <c r="FR298" s="1804"/>
      <c r="FS298" s="1804"/>
      <c r="FT298" s="1804"/>
      <c r="FU298" s="1804"/>
      <c r="FV298" s="1804"/>
      <c r="FW298" s="1804"/>
      <c r="FX298" s="1804"/>
      <c r="FY298" s="1804"/>
      <c r="FZ298" s="1804"/>
      <c r="GA298" s="1804"/>
      <c r="GB298" s="1804"/>
      <c r="GC298" s="1804"/>
      <c r="GD298" s="1804"/>
      <c r="GE298" s="1804"/>
      <c r="GF298" s="1804"/>
      <c r="GG298" s="1804"/>
      <c r="GH298" s="1804"/>
      <c r="GI298" s="1804"/>
      <c r="GJ298" s="1804"/>
      <c r="GK298" s="1804"/>
      <c r="GL298" s="1804"/>
      <c r="GM298" s="1804"/>
      <c r="GN298" s="1804"/>
      <c r="GO298" s="1804"/>
      <c r="GP298" s="1804"/>
      <c r="GQ298" s="1804"/>
      <c r="GR298" s="1804"/>
      <c r="GS298" s="1804"/>
      <c r="GT298" s="1804"/>
      <c r="GU298" s="1804"/>
      <c r="GV298" s="1804"/>
      <c r="GW298" s="1804"/>
      <c r="GX298" s="1804"/>
      <c r="GY298" s="1804"/>
      <c r="GZ298" s="1804"/>
      <c r="HA298" s="1804"/>
      <c r="HB298" s="1804"/>
      <c r="HC298" s="1804"/>
      <c r="HD298" s="1804"/>
      <c r="HE298" s="1804"/>
      <c r="HF298" s="1804"/>
      <c r="HG298" s="1804"/>
      <c r="HH298" s="1804"/>
      <c r="HI298" s="1804"/>
      <c r="HJ298" s="1804"/>
      <c r="HK298" s="1804"/>
      <c r="HL298" s="1804"/>
      <c r="HM298" s="1804"/>
      <c r="HN298" s="1804"/>
      <c r="HO298" s="1804"/>
      <c r="HP298" s="1804"/>
      <c r="HQ298" s="1804"/>
      <c r="HR298" s="1804"/>
      <c r="HS298" s="1804"/>
      <c r="HT298" s="1804"/>
      <c r="HU298" s="1804"/>
      <c r="HV298" s="1804"/>
      <c r="HW298" s="1804"/>
      <c r="HX298" s="1804"/>
      <c r="HY298" s="1804"/>
      <c r="HZ298" s="1804"/>
      <c r="IA298" s="1804"/>
      <c r="IB298" s="1804"/>
      <c r="IC298" s="1804"/>
      <c r="ID298" s="1804"/>
      <c r="IE298" s="1804"/>
      <c r="IF298" s="1804"/>
      <c r="IG298" s="1804"/>
      <c r="IH298" s="1804"/>
      <c r="II298" s="1804"/>
      <c r="IJ298" s="1804"/>
      <c r="IK298" s="1804"/>
      <c r="IL298" s="1804"/>
      <c r="IM298" s="1804"/>
      <c r="IN298" s="1804"/>
      <c r="IO298" s="1804"/>
      <c r="IP298" s="1804"/>
      <c r="IQ298" s="1804"/>
      <c r="IR298" s="1804"/>
      <c r="IS298" s="1804"/>
      <c r="IT298" s="1804"/>
      <c r="IU298" s="1804"/>
      <c r="IV298" s="1804"/>
      <c r="IW298" s="1804"/>
    </row>
    <row r="299" spans="3:257" s="888" customFormat="1" ht="14.65" thickBot="1" x14ac:dyDescent="0.5">
      <c r="C299" s="67" t="s">
        <v>560</v>
      </c>
      <c r="D299" s="68" t="s">
        <v>663</v>
      </c>
      <c r="E299" s="69"/>
      <c r="F299" s="110">
        <f t="shared" si="49"/>
        <v>0</v>
      </c>
      <c r="G299" s="110">
        <f t="shared" si="49"/>
        <v>0</v>
      </c>
      <c r="H299" s="110">
        <f t="shared" si="50"/>
        <v>0</v>
      </c>
      <c r="I299" s="110">
        <f t="shared" si="50"/>
        <v>0</v>
      </c>
      <c r="J299" s="110">
        <f t="shared" si="20"/>
        <v>0</v>
      </c>
      <c r="K299" s="110">
        <f t="shared" si="21"/>
        <v>0</v>
      </c>
      <c r="L299" s="111">
        <f t="shared" si="22"/>
        <v>0</v>
      </c>
      <c r="M299" s="110">
        <f t="shared" si="23"/>
        <v>0</v>
      </c>
      <c r="N299" s="93"/>
      <c r="O299" s="110">
        <f t="shared" si="24"/>
        <v>0</v>
      </c>
      <c r="P299" s="110">
        <f t="shared" si="25"/>
        <v>0</v>
      </c>
      <c r="Q299" s="110">
        <f t="shared" si="26"/>
        <v>0</v>
      </c>
      <c r="R299" s="110">
        <f t="shared" si="27"/>
        <v>0</v>
      </c>
      <c r="S299" s="110">
        <f t="shared" si="28"/>
        <v>0</v>
      </c>
      <c r="T299" s="110">
        <f t="shared" si="29"/>
        <v>0</v>
      </c>
      <c r="U299" s="111">
        <f t="shared" si="30"/>
        <v>0</v>
      </c>
      <c r="V299" s="110">
        <f t="shared" si="31"/>
        <v>0</v>
      </c>
      <c r="W299" s="93"/>
      <c r="X299" s="110">
        <f t="shared" si="32"/>
        <v>0</v>
      </c>
      <c r="Y299" s="110">
        <f t="shared" si="33"/>
        <v>0</v>
      </c>
      <c r="Z299" s="110">
        <f t="shared" si="34"/>
        <v>0</v>
      </c>
      <c r="AA299" s="110">
        <f t="shared" si="35"/>
        <v>0</v>
      </c>
      <c r="AB299" s="110">
        <f t="shared" si="36"/>
        <v>0</v>
      </c>
      <c r="AC299" s="110">
        <f t="shared" si="37"/>
        <v>0</v>
      </c>
      <c r="AD299" s="110">
        <f t="shared" si="38"/>
        <v>0</v>
      </c>
      <c r="AE299" s="110">
        <f t="shared" si="39"/>
        <v>0</v>
      </c>
      <c r="AF299" s="110">
        <f t="shared" si="40"/>
        <v>0</v>
      </c>
      <c r="AG299" s="110">
        <f t="shared" si="41"/>
        <v>0</v>
      </c>
      <c r="AH299" s="110">
        <f t="shared" si="42"/>
        <v>0</v>
      </c>
      <c r="AI299" s="110">
        <f t="shared" si="43"/>
        <v>0</v>
      </c>
      <c r="AJ299" s="110">
        <f t="shared" si="44"/>
        <v>0</v>
      </c>
      <c r="AK299" s="110">
        <f t="shared" si="45"/>
        <v>0</v>
      </c>
      <c r="AL299" s="110">
        <f t="shared" si="46"/>
        <v>0</v>
      </c>
      <c r="AM299" s="110">
        <f t="shared" si="47"/>
        <v>0</v>
      </c>
      <c r="AN299" s="112">
        <f t="shared" si="48"/>
        <v>0</v>
      </c>
      <c r="AO299" s="1804"/>
      <c r="AP299" s="1804"/>
      <c r="AQ299" s="1804"/>
      <c r="AR299" s="1804"/>
      <c r="AS299" s="1804"/>
      <c r="AT299" s="1819"/>
      <c r="AU299" s="1819"/>
      <c r="AV299" s="1819"/>
      <c r="AW299" s="1819"/>
      <c r="AX299" s="1819"/>
      <c r="AY299" s="1819"/>
      <c r="AZ299" s="1819"/>
      <c r="BA299" s="1819"/>
      <c r="BB299" s="1819"/>
      <c r="BC299" s="1819"/>
      <c r="BD299" s="1819"/>
      <c r="BE299" s="1819"/>
      <c r="BF299" s="1819"/>
      <c r="BG299" s="1819"/>
      <c r="BH299" s="1819"/>
      <c r="BI299" s="1819"/>
      <c r="BJ299" s="1819"/>
      <c r="BK299" s="1819"/>
      <c r="BL299" s="1819"/>
      <c r="BM299" s="1819"/>
      <c r="BN299" s="1819"/>
      <c r="BO299" s="1819"/>
      <c r="BP299" s="1819"/>
      <c r="BQ299" s="1819"/>
      <c r="BR299" s="1819"/>
      <c r="BS299" s="1819"/>
      <c r="BT299" s="1819"/>
      <c r="BU299" s="1819"/>
      <c r="BV299" s="1819"/>
      <c r="BW299" s="1819"/>
      <c r="BX299" s="1819"/>
      <c r="BY299" s="1819"/>
      <c r="BZ299" s="1819"/>
      <c r="CA299" s="1819"/>
      <c r="CB299" s="1819"/>
      <c r="CC299" s="1819"/>
      <c r="CD299" s="1819"/>
      <c r="CE299" s="1819"/>
      <c r="CF299" s="1819"/>
      <c r="CG299" s="1819"/>
      <c r="CH299" s="1819"/>
      <c r="CI299" s="1819"/>
      <c r="CJ299" s="1819"/>
      <c r="CK299" s="1819"/>
      <c r="CL299" s="1819"/>
      <c r="CM299" s="1819"/>
      <c r="CN299" s="1819"/>
      <c r="CO299" s="1819"/>
      <c r="CP299" s="1819"/>
      <c r="CQ299" s="1819"/>
      <c r="CR299" s="1819"/>
      <c r="CS299" s="1819"/>
      <c r="CT299" s="1819"/>
      <c r="CU299" s="1819"/>
      <c r="CV299" s="1819"/>
      <c r="CW299" s="1819"/>
      <c r="CX299" s="1819"/>
      <c r="CY299" s="1819"/>
      <c r="CZ299" s="1819"/>
      <c r="DA299" s="1819"/>
      <c r="DB299" s="1819"/>
      <c r="DC299" s="1819"/>
      <c r="DD299" s="1819"/>
      <c r="DE299" s="1819"/>
      <c r="DF299" s="1819"/>
      <c r="DG299" s="1819"/>
      <c r="DH299" s="1819"/>
      <c r="DI299" s="1819"/>
      <c r="DJ299" s="1819"/>
      <c r="DK299" s="1819"/>
      <c r="DL299" s="1819"/>
      <c r="DM299" s="1819"/>
      <c r="DN299" s="1819"/>
      <c r="DO299" s="1819"/>
      <c r="DP299" s="1819"/>
      <c r="DQ299" s="1819"/>
      <c r="DR299" s="1819"/>
      <c r="DS299" s="1819"/>
      <c r="DT299" s="1819"/>
      <c r="DU299" s="1819"/>
      <c r="DV299" s="1819"/>
      <c r="DW299" s="1819"/>
      <c r="DX299" s="1819"/>
      <c r="DY299" s="1819"/>
      <c r="DZ299" s="1819"/>
      <c r="EA299" s="1819"/>
      <c r="EB299" s="1819"/>
      <c r="EC299" s="1819"/>
      <c r="ED299" s="1819"/>
      <c r="EE299" s="1819"/>
      <c r="EF299" s="1819"/>
      <c r="EG299" s="1819"/>
      <c r="EH299" s="1819"/>
      <c r="EI299" s="1819"/>
      <c r="EJ299" s="1819"/>
      <c r="EK299" s="1819"/>
      <c r="EL299" s="1819"/>
      <c r="EM299" s="1819"/>
      <c r="EN299" s="1819"/>
      <c r="EO299" s="1819"/>
      <c r="EP299" s="1819"/>
      <c r="EQ299" s="1819"/>
      <c r="ER299" s="1819"/>
      <c r="ES299" s="1819"/>
      <c r="ET299" s="1819"/>
      <c r="EU299" s="1819"/>
      <c r="EV299" s="1819"/>
      <c r="EW299" s="1819"/>
      <c r="EX299" s="1819"/>
      <c r="EY299" s="1819"/>
      <c r="EZ299" s="1819"/>
      <c r="FA299" s="1819"/>
      <c r="FB299" s="1819"/>
      <c r="FC299" s="1819"/>
      <c r="FD299" s="1819"/>
      <c r="FE299" s="1819"/>
      <c r="FF299" s="1819"/>
      <c r="FG299" s="1819"/>
      <c r="FH299" s="1819"/>
      <c r="FI299" s="1819"/>
      <c r="FJ299" s="1819"/>
      <c r="FK299" s="1819"/>
      <c r="FL299" s="1819"/>
      <c r="FM299" s="1819"/>
      <c r="FN299" s="1819"/>
      <c r="FO299" s="1819"/>
      <c r="FP299" s="1819"/>
      <c r="FQ299" s="1819"/>
      <c r="FR299" s="1819"/>
      <c r="FS299" s="1819"/>
      <c r="FT299" s="1819"/>
      <c r="FU299" s="1819"/>
      <c r="FV299" s="1819"/>
      <c r="FW299" s="1819"/>
      <c r="FX299" s="1819"/>
      <c r="FY299" s="1819"/>
      <c r="FZ299" s="1819"/>
      <c r="GA299" s="1819"/>
      <c r="GB299" s="1819"/>
      <c r="GC299" s="1819"/>
      <c r="GD299" s="1819"/>
      <c r="GE299" s="1819"/>
      <c r="GF299" s="1819"/>
      <c r="GG299" s="1819"/>
      <c r="GH299" s="1819"/>
      <c r="GI299" s="1819"/>
      <c r="GJ299" s="1819"/>
      <c r="GK299" s="1819"/>
      <c r="GL299" s="1819"/>
      <c r="GM299" s="1819"/>
      <c r="GN299" s="1819"/>
      <c r="GO299" s="1819"/>
      <c r="GP299" s="1819"/>
      <c r="GQ299" s="1819"/>
      <c r="GR299" s="1819"/>
      <c r="GS299" s="1819"/>
      <c r="GT299" s="1819"/>
      <c r="GU299" s="1819"/>
      <c r="GV299" s="1819"/>
      <c r="GW299" s="1819"/>
      <c r="GX299" s="1819"/>
      <c r="GY299" s="1819"/>
      <c r="GZ299" s="1819"/>
      <c r="HA299" s="1819"/>
      <c r="HB299" s="1819"/>
      <c r="HC299" s="1819"/>
      <c r="HD299" s="1819"/>
      <c r="HE299" s="1819"/>
      <c r="HF299" s="1819"/>
      <c r="HG299" s="1819"/>
      <c r="HH299" s="1819"/>
      <c r="HI299" s="1819"/>
      <c r="HJ299" s="1819"/>
      <c r="HK299" s="1819"/>
      <c r="HL299" s="1819"/>
      <c r="HM299" s="1819"/>
      <c r="HN299" s="1819"/>
      <c r="HO299" s="1819"/>
      <c r="HP299" s="1819"/>
      <c r="HQ299" s="1819"/>
      <c r="HR299" s="1819"/>
      <c r="HS299" s="1819"/>
      <c r="HT299" s="1819"/>
      <c r="HU299" s="1819"/>
      <c r="HV299" s="1819"/>
      <c r="HW299" s="1819"/>
      <c r="HX299" s="1819"/>
      <c r="HY299" s="1819"/>
      <c r="HZ299" s="1819"/>
      <c r="IA299" s="1819"/>
      <c r="IB299" s="1819"/>
      <c r="IC299" s="1819"/>
      <c r="ID299" s="1819"/>
      <c r="IE299" s="1819"/>
      <c r="IF299" s="1819"/>
      <c r="IG299" s="1819"/>
      <c r="IH299" s="1819"/>
      <c r="II299" s="1819"/>
      <c r="IJ299" s="1819"/>
      <c r="IK299" s="1819"/>
      <c r="IL299" s="1819"/>
      <c r="IM299" s="1819"/>
      <c r="IN299" s="1819"/>
      <c r="IO299" s="1819"/>
      <c r="IP299" s="1819"/>
      <c r="IQ299" s="1819"/>
      <c r="IR299" s="1819"/>
      <c r="IS299" s="1819"/>
      <c r="IT299" s="1819"/>
      <c r="IU299" s="1819"/>
      <c r="IV299" s="1819"/>
      <c r="IW299" s="1819"/>
    </row>
    <row r="300" spans="3:257" s="888" customFormat="1" ht="14.65" thickBot="1" x14ac:dyDescent="0.5">
      <c r="C300" s="103" t="s">
        <v>665</v>
      </c>
      <c r="D300" s="2362"/>
      <c r="E300" s="2363"/>
      <c r="F300" s="462">
        <f>SUM(F267:F299)</f>
        <v>634464.76410497609</v>
      </c>
      <c r="G300" s="462">
        <f>SUM(G267:G299)</f>
        <v>273500.01060631516</v>
      </c>
      <c r="H300" s="104">
        <f t="shared" ref="H300:AN300" si="51">SUM(H267:H299)</f>
        <v>3313.2033453254357</v>
      </c>
      <c r="I300" s="104">
        <f t="shared" si="51"/>
        <v>17251.152289528225</v>
      </c>
      <c r="J300" s="104">
        <f t="shared" si="51"/>
        <v>4.4221222744821125</v>
      </c>
      <c r="K300" s="104">
        <f t="shared" si="51"/>
        <v>244.71159277738465</v>
      </c>
      <c r="L300" s="104">
        <f t="shared" si="51"/>
        <v>3452.7015403216319</v>
      </c>
      <c r="M300" s="104">
        <f t="shared" si="51"/>
        <v>2755.1537891304483</v>
      </c>
      <c r="N300" s="104">
        <f t="shared" si="51"/>
        <v>52359.712709999971</v>
      </c>
      <c r="O300" s="104">
        <f t="shared" si="51"/>
        <v>28483.703197804618</v>
      </c>
      <c r="P300" s="104">
        <f t="shared" si="51"/>
        <v>47486.947963401974</v>
      </c>
      <c r="Q300" s="104">
        <f t="shared" si="51"/>
        <v>61.534881344853432</v>
      </c>
      <c r="R300" s="104">
        <f t="shared" si="51"/>
        <v>320.41333506658736</v>
      </c>
      <c r="S300" s="104">
        <f t="shared" si="51"/>
        <v>0.14208280116413266</v>
      </c>
      <c r="T300" s="104">
        <f t="shared" si="51"/>
        <v>4.3027492683845256</v>
      </c>
      <c r="U300" s="104">
        <f t="shared" si="51"/>
        <v>43.292751590979286</v>
      </c>
      <c r="V300" s="104">
        <f t="shared" si="51"/>
        <v>34.106817685146076</v>
      </c>
      <c r="W300" s="104">
        <f t="shared" si="51"/>
        <v>1512.5512978522786</v>
      </c>
      <c r="X300" s="104">
        <f t="shared" si="51"/>
        <v>2.211155088098979</v>
      </c>
      <c r="Y300" s="104">
        <f t="shared" si="51"/>
        <v>247.15442799283801</v>
      </c>
      <c r="Z300" s="104">
        <f t="shared" si="51"/>
        <v>789.75098941817635</v>
      </c>
      <c r="AA300" s="104">
        <f t="shared" si="51"/>
        <v>1080.9571607503888</v>
      </c>
      <c r="AB300" s="104">
        <f t="shared" si="51"/>
        <v>966.27793943376878</v>
      </c>
      <c r="AC300" s="104">
        <f t="shared" si="51"/>
        <v>1612.7717316644837</v>
      </c>
      <c r="AD300" s="104">
        <f t="shared" si="51"/>
        <v>0</v>
      </c>
      <c r="AE300" s="104">
        <f t="shared" si="51"/>
        <v>84.753955058954119</v>
      </c>
      <c r="AF300" s="104">
        <f t="shared" si="51"/>
        <v>0</v>
      </c>
      <c r="AG300" s="104">
        <f t="shared" si="51"/>
        <v>34.043154557662682</v>
      </c>
      <c r="AH300" s="104">
        <f t="shared" si="51"/>
        <v>0</v>
      </c>
      <c r="AI300" s="104">
        <f t="shared" si="51"/>
        <v>10.820096637928227</v>
      </c>
      <c r="AJ300" s="113">
        <f t="shared" si="51"/>
        <v>664706.70738672081</v>
      </c>
      <c r="AK300" s="114">
        <f t="shared" si="51"/>
        <v>324057.45909637935</v>
      </c>
      <c r="AL300" s="114">
        <f t="shared" si="51"/>
        <v>21199.882398386519</v>
      </c>
      <c r="AM300" s="114">
        <f t="shared" si="51"/>
        <v>6285.2548987282062</v>
      </c>
      <c r="AN300" s="105">
        <f t="shared" si="51"/>
        <v>1016249.3037802149</v>
      </c>
      <c r="AO300" s="1819"/>
      <c r="AP300" s="1819"/>
      <c r="AQ300" s="1819"/>
      <c r="AR300" s="1819"/>
      <c r="AS300" s="1819"/>
      <c r="AT300" s="1819"/>
      <c r="AU300" s="1819"/>
      <c r="AV300" s="1819"/>
      <c r="AW300" s="1819"/>
      <c r="AX300" s="1819"/>
      <c r="AY300" s="1819"/>
      <c r="AZ300" s="1819"/>
      <c r="BA300" s="1819"/>
      <c r="BB300" s="1819"/>
      <c r="BC300" s="1819"/>
      <c r="BD300" s="1819"/>
      <c r="BE300" s="1819"/>
      <c r="BF300" s="1819"/>
      <c r="BG300" s="1819"/>
      <c r="BH300" s="1819"/>
      <c r="BI300" s="1819"/>
      <c r="BJ300" s="1819"/>
      <c r="BK300" s="1819"/>
      <c r="BL300" s="1819"/>
      <c r="BM300" s="1819"/>
      <c r="BN300" s="1819"/>
      <c r="BO300" s="1819"/>
      <c r="BP300" s="1819"/>
      <c r="BQ300" s="1819"/>
      <c r="BR300" s="1819"/>
      <c r="BS300" s="1819"/>
      <c r="BT300" s="1819"/>
      <c r="BU300" s="1819"/>
      <c r="BV300" s="1819"/>
      <c r="BW300" s="1819"/>
      <c r="BX300" s="1819"/>
      <c r="BY300" s="1819"/>
      <c r="BZ300" s="1819"/>
      <c r="CA300" s="1819"/>
      <c r="CB300" s="1819"/>
      <c r="CC300" s="1819"/>
      <c r="CD300" s="1819"/>
      <c r="CE300" s="1819"/>
      <c r="CF300" s="1819"/>
      <c r="CG300" s="1819"/>
      <c r="CH300" s="1819"/>
      <c r="CI300" s="1819"/>
      <c r="CJ300" s="1819"/>
      <c r="CK300" s="1819"/>
      <c r="CL300" s="1819"/>
      <c r="CM300" s="1819"/>
      <c r="CN300" s="1819"/>
      <c r="CO300" s="1819"/>
      <c r="CP300" s="1819"/>
      <c r="CQ300" s="1819"/>
      <c r="CR300" s="1819"/>
      <c r="CS300" s="1819"/>
      <c r="CT300" s="1819"/>
      <c r="CU300" s="1819"/>
      <c r="CV300" s="1819"/>
      <c r="CW300" s="1819"/>
      <c r="CX300" s="1819"/>
      <c r="CY300" s="1819"/>
      <c r="CZ300" s="1819"/>
      <c r="DA300" s="1819"/>
      <c r="DB300" s="1819"/>
      <c r="DC300" s="1819"/>
      <c r="DD300" s="1819"/>
      <c r="DE300" s="1819"/>
      <c r="DF300" s="1819"/>
      <c r="DG300" s="1819"/>
      <c r="DH300" s="1819"/>
      <c r="DI300" s="1819"/>
      <c r="DJ300" s="1819"/>
      <c r="DK300" s="1819"/>
      <c r="DL300" s="1819"/>
      <c r="DM300" s="1819"/>
      <c r="DN300" s="1819"/>
      <c r="DO300" s="1819"/>
      <c r="DP300" s="1819"/>
      <c r="DQ300" s="1819"/>
      <c r="DR300" s="1819"/>
      <c r="DS300" s="1819"/>
      <c r="DT300" s="1819"/>
      <c r="DU300" s="1819"/>
      <c r="DV300" s="1819"/>
      <c r="DW300" s="1819"/>
      <c r="DX300" s="1819"/>
      <c r="DY300" s="1819"/>
      <c r="DZ300" s="1819"/>
      <c r="EA300" s="1819"/>
      <c r="EB300" s="1819"/>
      <c r="EC300" s="1819"/>
      <c r="ED300" s="1819"/>
      <c r="EE300" s="1819"/>
      <c r="EF300" s="1819"/>
      <c r="EG300" s="1819"/>
      <c r="EH300" s="1819"/>
      <c r="EI300" s="1819"/>
      <c r="EJ300" s="1819"/>
      <c r="EK300" s="1819"/>
      <c r="EL300" s="1819"/>
      <c r="EM300" s="1819"/>
      <c r="EN300" s="1819"/>
      <c r="EO300" s="1819"/>
      <c r="EP300" s="1819"/>
      <c r="EQ300" s="1819"/>
      <c r="ER300" s="1819"/>
      <c r="ES300" s="1819"/>
      <c r="ET300" s="1819"/>
      <c r="EU300" s="1819"/>
      <c r="EV300" s="1819"/>
      <c r="EW300" s="1819"/>
      <c r="EX300" s="1819"/>
      <c r="EY300" s="1819"/>
      <c r="EZ300" s="1819"/>
      <c r="FA300" s="1819"/>
      <c r="FB300" s="1819"/>
      <c r="FC300" s="1819"/>
      <c r="FD300" s="1819"/>
      <c r="FE300" s="1819"/>
      <c r="FF300" s="1819"/>
      <c r="FG300" s="1819"/>
      <c r="FH300" s="1819"/>
      <c r="FI300" s="1819"/>
      <c r="FJ300" s="1819"/>
      <c r="FK300" s="1819"/>
      <c r="FL300" s="1819"/>
      <c r="FM300" s="1819"/>
      <c r="FN300" s="1819"/>
      <c r="FO300" s="1819"/>
      <c r="FP300" s="1819"/>
      <c r="FQ300" s="1819"/>
      <c r="FR300" s="1819"/>
      <c r="FS300" s="1819"/>
      <c r="FT300" s="1819"/>
      <c r="FU300" s="1819"/>
      <c r="FV300" s="1819"/>
      <c r="FW300" s="1819"/>
      <c r="FX300" s="1819"/>
      <c r="FY300" s="1819"/>
      <c r="FZ300" s="1819"/>
      <c r="GA300" s="1819"/>
      <c r="GB300" s="1819"/>
      <c r="GC300" s="1819"/>
      <c r="GD300" s="1819"/>
      <c r="GE300" s="1819"/>
      <c r="GF300" s="1819"/>
      <c r="GG300" s="1819"/>
      <c r="GH300" s="1819"/>
      <c r="GI300" s="1819"/>
      <c r="GJ300" s="1819"/>
      <c r="GK300" s="1819"/>
      <c r="GL300" s="1819"/>
      <c r="GM300" s="1819"/>
      <c r="GN300" s="1819"/>
      <c r="GO300" s="1819"/>
      <c r="GP300" s="1819"/>
      <c r="GQ300" s="1819"/>
      <c r="GR300" s="1819"/>
      <c r="GS300" s="1819"/>
      <c r="GT300" s="1819"/>
      <c r="GU300" s="1819"/>
      <c r="GV300" s="1819"/>
      <c r="GW300" s="1819"/>
      <c r="GX300" s="1819"/>
      <c r="GY300" s="1819"/>
      <c r="GZ300" s="1819"/>
      <c r="HA300" s="1819"/>
      <c r="HB300" s="1819"/>
      <c r="HC300" s="1819"/>
      <c r="HD300" s="1819"/>
      <c r="HE300" s="1819"/>
      <c r="HF300" s="1819"/>
      <c r="HG300" s="1819"/>
      <c r="HH300" s="1819"/>
      <c r="HI300" s="1819"/>
      <c r="HJ300" s="1819"/>
      <c r="HK300" s="1819"/>
      <c r="HL300" s="1819"/>
      <c r="HM300" s="1819"/>
      <c r="HN300" s="1819"/>
      <c r="HO300" s="1819"/>
      <c r="HP300" s="1819"/>
      <c r="HQ300" s="1819"/>
      <c r="HR300" s="1819"/>
      <c r="HS300" s="1819"/>
      <c r="HT300" s="1819"/>
      <c r="HU300" s="1819"/>
      <c r="HV300" s="1819"/>
      <c r="HW300" s="1819"/>
      <c r="HX300" s="1819"/>
      <c r="HY300" s="1819"/>
      <c r="HZ300" s="1819"/>
      <c r="IA300" s="1819"/>
      <c r="IB300" s="1819"/>
      <c r="IC300" s="1819"/>
      <c r="ID300" s="1819"/>
      <c r="IE300" s="1819"/>
      <c r="IF300" s="1819"/>
      <c r="IG300" s="1819"/>
      <c r="IH300" s="1819"/>
      <c r="II300" s="1819"/>
      <c r="IJ300" s="1819"/>
      <c r="IK300" s="1819"/>
      <c r="IL300" s="1819"/>
      <c r="IM300" s="1819"/>
      <c r="IN300" s="1819"/>
      <c r="IO300" s="1819"/>
      <c r="IP300" s="1819"/>
      <c r="IQ300" s="1819"/>
      <c r="IR300" s="1819"/>
      <c r="IS300" s="1819"/>
      <c r="IT300" s="1819"/>
      <c r="IU300" s="1819"/>
      <c r="IV300" s="1819"/>
      <c r="IW300" s="1819"/>
    </row>
    <row r="301" spans="3:257" s="888" customFormat="1" x14ac:dyDescent="0.45">
      <c r="C301" s="1812"/>
      <c r="D301" s="1813"/>
      <c r="E301" s="1813"/>
      <c r="F301" s="1814"/>
      <c r="G301" s="1814"/>
      <c r="H301" s="1814"/>
      <c r="I301" s="1814"/>
      <c r="J301" s="1814"/>
      <c r="K301" s="1814"/>
      <c r="L301" s="1814"/>
      <c r="M301" s="1814"/>
      <c r="N301" s="1814"/>
      <c r="O301" s="1814"/>
      <c r="P301" s="1814"/>
      <c r="Q301" s="1814"/>
      <c r="R301" s="1814"/>
      <c r="S301" s="1814"/>
      <c r="T301" s="1814"/>
      <c r="U301" s="1814"/>
      <c r="V301" s="1814"/>
      <c r="W301" s="1814"/>
      <c r="X301" s="1814"/>
      <c r="Y301" s="1814"/>
      <c r="Z301" s="1814"/>
      <c r="AA301" s="1814"/>
      <c r="AB301" s="1824"/>
      <c r="AC301" s="1824"/>
      <c r="AD301" s="1824"/>
      <c r="AE301" s="1824"/>
      <c r="AF301" s="1824"/>
      <c r="AG301" s="1819"/>
      <c r="AH301" s="1819"/>
      <c r="AI301" s="1819"/>
      <c r="AJ301" s="1825"/>
      <c r="AK301" s="1825"/>
      <c r="AL301" s="1825"/>
      <c r="AM301" s="1825"/>
      <c r="AN301" s="1825"/>
      <c r="AO301" s="1819"/>
      <c r="AP301" s="1819"/>
      <c r="AQ301" s="1819"/>
      <c r="AR301" s="1819"/>
      <c r="AS301" s="1819"/>
      <c r="AT301" s="1804"/>
      <c r="AU301" s="1804"/>
      <c r="AV301" s="1804"/>
      <c r="AW301" s="1804"/>
      <c r="AX301" s="1804"/>
      <c r="AY301" s="1804"/>
      <c r="AZ301" s="1804"/>
      <c r="BA301" s="1804"/>
      <c r="BB301" s="1804"/>
      <c r="BC301" s="1804"/>
      <c r="BD301" s="1804"/>
      <c r="BE301" s="1804"/>
      <c r="BF301" s="1804"/>
      <c r="BG301" s="1804"/>
      <c r="BH301" s="1804"/>
      <c r="BI301" s="1804"/>
      <c r="BJ301" s="1804"/>
      <c r="BK301" s="1804"/>
      <c r="BL301" s="1804"/>
      <c r="BM301" s="1804"/>
      <c r="BN301" s="1804"/>
      <c r="BO301" s="1804"/>
      <c r="BP301" s="1804"/>
      <c r="BQ301" s="1804"/>
      <c r="BR301" s="1804"/>
      <c r="BS301" s="1804"/>
      <c r="BT301" s="1804"/>
      <c r="BU301" s="1804"/>
      <c r="BV301" s="1804"/>
      <c r="BW301" s="1804"/>
      <c r="BX301" s="1804"/>
      <c r="BY301" s="1804"/>
      <c r="BZ301" s="1804"/>
      <c r="CA301" s="1804"/>
      <c r="CB301" s="1804"/>
      <c r="CC301" s="1804"/>
      <c r="CD301" s="1804"/>
      <c r="CE301" s="1804"/>
      <c r="CF301" s="1804"/>
      <c r="CG301" s="1804"/>
      <c r="CH301" s="1804"/>
      <c r="CI301" s="1804"/>
      <c r="CJ301" s="1804"/>
      <c r="CK301" s="1804"/>
      <c r="CL301" s="1804"/>
      <c r="CM301" s="1804"/>
      <c r="CN301" s="1804"/>
      <c r="CO301" s="1804"/>
      <c r="CP301" s="1804"/>
      <c r="CQ301" s="1804"/>
      <c r="CR301" s="1804"/>
      <c r="CS301" s="1804"/>
      <c r="CT301" s="1804"/>
      <c r="CU301" s="1804"/>
      <c r="CV301" s="1804"/>
      <c r="CW301" s="1804"/>
      <c r="CX301" s="1804"/>
      <c r="CY301" s="1804"/>
      <c r="CZ301" s="1804"/>
      <c r="DA301" s="1804"/>
      <c r="DB301" s="1804"/>
      <c r="DC301" s="1804"/>
      <c r="DD301" s="1804"/>
      <c r="DE301" s="1804"/>
      <c r="DF301" s="1804"/>
      <c r="DG301" s="1804"/>
      <c r="DH301" s="1804"/>
      <c r="DI301" s="1804"/>
      <c r="DJ301" s="1804"/>
      <c r="DK301" s="1804"/>
      <c r="DL301" s="1804"/>
      <c r="DM301" s="1804"/>
      <c r="DN301" s="1804"/>
      <c r="DO301" s="1804"/>
      <c r="DP301" s="1804"/>
      <c r="DQ301" s="1804"/>
      <c r="DR301" s="1804"/>
      <c r="DS301" s="1804"/>
      <c r="DT301" s="1804"/>
      <c r="DU301" s="1804"/>
      <c r="DV301" s="1804"/>
      <c r="DW301" s="1804"/>
      <c r="DX301" s="1804"/>
      <c r="DY301" s="1804"/>
      <c r="DZ301" s="1804"/>
      <c r="EA301" s="1804"/>
      <c r="EB301" s="1804"/>
      <c r="EC301" s="1804"/>
      <c r="ED301" s="1804"/>
      <c r="EE301" s="1804"/>
      <c r="EF301" s="1804"/>
      <c r="EG301" s="1804"/>
      <c r="EH301" s="1804"/>
      <c r="EI301" s="1804"/>
      <c r="EJ301" s="1804"/>
      <c r="EK301" s="1804"/>
      <c r="EL301" s="1804"/>
      <c r="EM301" s="1804"/>
      <c r="EN301" s="1804"/>
      <c r="EO301" s="1804"/>
      <c r="EP301" s="1804"/>
      <c r="EQ301" s="1804"/>
      <c r="ER301" s="1804"/>
      <c r="ES301" s="1804"/>
      <c r="ET301" s="1804"/>
      <c r="EU301" s="1804"/>
      <c r="EV301" s="1804"/>
      <c r="EW301" s="1804"/>
      <c r="EX301" s="1804"/>
      <c r="EY301" s="1804"/>
      <c r="EZ301" s="1804"/>
      <c r="FA301" s="1804"/>
      <c r="FB301" s="1804"/>
      <c r="FC301" s="1804"/>
      <c r="FD301" s="1804"/>
      <c r="FE301" s="1804"/>
      <c r="FF301" s="1804"/>
      <c r="FG301" s="1804"/>
      <c r="FH301" s="1804"/>
      <c r="FI301" s="1804"/>
      <c r="FJ301" s="1804"/>
      <c r="FK301" s="1804"/>
      <c r="FL301" s="1804"/>
      <c r="FM301" s="1804"/>
      <c r="FN301" s="1804"/>
      <c r="FO301" s="1804"/>
      <c r="FP301" s="1804"/>
      <c r="FQ301" s="1804"/>
      <c r="FR301" s="1804"/>
      <c r="FS301" s="1804"/>
      <c r="FT301" s="1804"/>
      <c r="FU301" s="1804"/>
      <c r="FV301" s="1804"/>
      <c r="FW301" s="1804"/>
      <c r="FX301" s="1804"/>
      <c r="FY301" s="1804"/>
      <c r="FZ301" s="1804"/>
      <c r="GA301" s="1804"/>
      <c r="GB301" s="1804"/>
      <c r="GC301" s="1804"/>
      <c r="GD301" s="1804"/>
      <c r="GE301" s="1804"/>
      <c r="GF301" s="1804"/>
      <c r="GG301" s="1804"/>
      <c r="GH301" s="1804"/>
      <c r="GI301" s="1804"/>
      <c r="GJ301" s="1804"/>
      <c r="GK301" s="1804"/>
      <c r="GL301" s="1804"/>
      <c r="GM301" s="1804"/>
      <c r="GN301" s="1804"/>
      <c r="GO301" s="1804"/>
      <c r="GP301" s="1804"/>
      <c r="GQ301" s="1804"/>
      <c r="GR301" s="1804"/>
      <c r="GS301" s="1804"/>
      <c r="GT301" s="1804"/>
      <c r="GU301" s="1804"/>
      <c r="GV301" s="1804"/>
      <c r="GW301" s="1804"/>
      <c r="GX301" s="1804"/>
      <c r="GY301" s="1804"/>
      <c r="GZ301" s="1804"/>
      <c r="HA301" s="1804"/>
      <c r="HB301" s="1804"/>
      <c r="HC301" s="1804"/>
      <c r="HD301" s="1804"/>
      <c r="HE301" s="1804"/>
      <c r="HF301" s="1804"/>
      <c r="HG301" s="1804"/>
      <c r="HH301" s="1804"/>
      <c r="HI301" s="1804"/>
      <c r="HJ301" s="1804"/>
      <c r="HK301" s="1804"/>
      <c r="HL301" s="1804"/>
      <c r="HM301" s="1804"/>
      <c r="HN301" s="1804"/>
      <c r="HO301" s="1804"/>
      <c r="HP301" s="1804"/>
      <c r="HQ301" s="1804"/>
      <c r="HR301" s="1804"/>
      <c r="HS301" s="1804"/>
      <c r="HT301" s="1804"/>
      <c r="HU301" s="1804"/>
      <c r="HV301" s="1804"/>
      <c r="HW301" s="1804"/>
      <c r="HX301" s="1804"/>
      <c r="HY301" s="1804"/>
      <c r="HZ301" s="1804"/>
      <c r="IA301" s="1804"/>
      <c r="IB301" s="1804"/>
      <c r="IC301" s="1804"/>
      <c r="ID301" s="1804"/>
      <c r="IE301" s="1804"/>
      <c r="IF301" s="1804"/>
      <c r="IG301" s="1804"/>
      <c r="IH301" s="1804"/>
      <c r="II301" s="1804"/>
      <c r="IJ301" s="1804"/>
      <c r="IK301" s="1804"/>
      <c r="IL301" s="1804"/>
      <c r="IM301" s="1804"/>
      <c r="IN301" s="1804"/>
      <c r="IO301" s="1804"/>
      <c r="IP301" s="1804"/>
      <c r="IQ301" s="1804"/>
      <c r="IR301" s="1804"/>
      <c r="IS301" s="1804"/>
      <c r="IT301" s="1804"/>
      <c r="IU301" s="1804"/>
      <c r="IV301" s="1804"/>
      <c r="IW301" s="1804"/>
    </row>
    <row r="302" spans="3:257" s="888" customFormat="1" ht="21" x14ac:dyDescent="0.45">
      <c r="C302" s="1803" t="s">
        <v>710</v>
      </c>
      <c r="D302" s="1803" t="s">
        <v>867</v>
      </c>
      <c r="E302" s="1804"/>
      <c r="F302" s="1804"/>
      <c r="G302" s="1804"/>
      <c r="H302" s="1804"/>
      <c r="I302" s="1804"/>
      <c r="J302" s="1804"/>
      <c r="K302" s="1804"/>
      <c r="L302" s="1804"/>
      <c r="M302" s="1804"/>
      <c r="N302" s="1804"/>
      <c r="O302" s="1804"/>
      <c r="P302" s="1804"/>
      <c r="Q302" s="1804"/>
      <c r="R302" s="1804"/>
      <c r="S302" s="1804"/>
      <c r="T302" s="1804"/>
      <c r="U302" s="1804"/>
      <c r="V302" s="1804"/>
      <c r="W302" s="1804"/>
      <c r="X302" s="1804"/>
      <c r="Y302" s="1804"/>
      <c r="Z302" s="1804"/>
      <c r="AA302" s="1804"/>
      <c r="AB302" s="1804"/>
      <c r="AC302" s="1804"/>
      <c r="AD302" s="1804"/>
      <c r="AE302" s="1804"/>
      <c r="AF302" s="1804"/>
      <c r="AG302" s="1804"/>
      <c r="AH302" s="1804"/>
      <c r="AI302" s="1804"/>
      <c r="AJ302" s="1804"/>
      <c r="AK302" s="1804"/>
      <c r="AL302" s="1804"/>
      <c r="AM302" s="1804"/>
      <c r="AN302" s="1804"/>
      <c r="AO302" s="1808"/>
      <c r="AP302" s="1804"/>
      <c r="AQ302" s="1804"/>
      <c r="AR302" s="1804"/>
      <c r="AS302" s="1804"/>
      <c r="AT302" s="1804"/>
      <c r="AU302" s="1804"/>
      <c r="AV302" s="1804"/>
      <c r="AW302" s="1804"/>
      <c r="AX302" s="1804"/>
      <c r="AY302" s="1804"/>
      <c r="AZ302" s="1804"/>
      <c r="BA302" s="1804"/>
      <c r="BB302" s="1804"/>
      <c r="BC302" s="1804"/>
      <c r="BD302" s="1804"/>
      <c r="BE302" s="1804"/>
      <c r="BF302" s="1804"/>
      <c r="BG302" s="1804"/>
      <c r="BH302" s="1804"/>
      <c r="BI302" s="1804"/>
      <c r="BJ302" s="1804"/>
      <c r="BK302" s="1804"/>
      <c r="BL302" s="1804"/>
      <c r="BM302" s="1804"/>
      <c r="BN302" s="1804"/>
      <c r="BO302" s="1804"/>
      <c r="BP302" s="1804"/>
      <c r="BQ302" s="1804"/>
      <c r="BR302" s="1804"/>
      <c r="BS302" s="1804"/>
      <c r="BT302" s="1804"/>
      <c r="BU302" s="1804"/>
      <c r="BV302" s="1804"/>
      <c r="BW302" s="1804"/>
      <c r="BX302" s="1804"/>
      <c r="BY302" s="1804"/>
      <c r="BZ302" s="1804"/>
      <c r="CA302" s="1804"/>
      <c r="CB302" s="1804"/>
      <c r="CC302" s="1804"/>
      <c r="CD302" s="1804"/>
      <c r="CE302" s="1804"/>
      <c r="CF302" s="1804"/>
      <c r="CG302" s="1804"/>
      <c r="CH302" s="1804"/>
      <c r="CI302" s="1804"/>
      <c r="CJ302" s="1804"/>
      <c r="CK302" s="1804"/>
      <c r="CL302" s="1804"/>
      <c r="CM302" s="1804"/>
      <c r="CN302" s="1804"/>
      <c r="CO302" s="1804"/>
      <c r="CP302" s="1804"/>
      <c r="CQ302" s="1804"/>
      <c r="CR302" s="1804"/>
      <c r="CS302" s="1804"/>
      <c r="CT302" s="1804"/>
      <c r="CU302" s="1804"/>
      <c r="CV302" s="1804"/>
      <c r="CW302" s="1804"/>
      <c r="CX302" s="1804"/>
      <c r="CY302" s="1804"/>
      <c r="CZ302" s="1804"/>
      <c r="DA302" s="1804"/>
      <c r="DB302" s="1804"/>
      <c r="DC302" s="1804"/>
      <c r="DD302" s="1804"/>
      <c r="DE302" s="1804"/>
      <c r="DF302" s="1804"/>
      <c r="DG302" s="1804"/>
      <c r="DH302" s="1804"/>
      <c r="DI302" s="1804"/>
      <c r="DJ302" s="1804"/>
      <c r="DK302" s="1804"/>
      <c r="DL302" s="1804"/>
      <c r="DM302" s="1804"/>
      <c r="DN302" s="1804"/>
      <c r="DO302" s="1804"/>
      <c r="DP302" s="1804"/>
      <c r="DQ302" s="1804"/>
      <c r="DR302" s="1804"/>
      <c r="DS302" s="1804"/>
      <c r="DT302" s="1804"/>
      <c r="DU302" s="1804"/>
      <c r="DV302" s="1804"/>
      <c r="DW302" s="1804"/>
      <c r="DX302" s="1804"/>
      <c r="DY302" s="1804"/>
      <c r="DZ302" s="1804"/>
      <c r="EA302" s="1804"/>
      <c r="EB302" s="1804"/>
      <c r="EC302" s="1804"/>
      <c r="ED302" s="1804"/>
      <c r="EE302" s="1804"/>
      <c r="EF302" s="1804"/>
      <c r="EG302" s="1804"/>
      <c r="EH302" s="1804"/>
      <c r="EI302" s="1804"/>
      <c r="EJ302" s="1804"/>
      <c r="EK302" s="1804"/>
      <c r="EL302" s="1804"/>
      <c r="EM302" s="1804"/>
      <c r="EN302" s="1804"/>
      <c r="EO302" s="1804"/>
      <c r="EP302" s="1804"/>
      <c r="EQ302" s="1804"/>
      <c r="ER302" s="1804"/>
      <c r="ES302" s="1804"/>
      <c r="ET302" s="1804"/>
      <c r="EU302" s="1804"/>
      <c r="EV302" s="1804"/>
      <c r="EW302" s="1804"/>
      <c r="EX302" s="1804"/>
      <c r="EY302" s="1804"/>
      <c r="EZ302" s="1804"/>
      <c r="FA302" s="1804"/>
      <c r="FB302" s="1804"/>
      <c r="FC302" s="1804"/>
      <c r="FD302" s="1804"/>
      <c r="FE302" s="1804"/>
      <c r="FF302" s="1804"/>
      <c r="FG302" s="1804"/>
      <c r="FH302" s="1804"/>
      <c r="FI302" s="1804"/>
      <c r="FJ302" s="1804"/>
      <c r="FK302" s="1804"/>
      <c r="FL302" s="1804"/>
      <c r="FM302" s="1804"/>
      <c r="FN302" s="1804"/>
      <c r="FO302" s="1804"/>
      <c r="FP302" s="1804"/>
      <c r="FQ302" s="1804"/>
      <c r="FR302" s="1804"/>
      <c r="FS302" s="1804"/>
      <c r="FT302" s="1804"/>
      <c r="FU302" s="1804"/>
      <c r="FV302" s="1804"/>
      <c r="FW302" s="1804"/>
      <c r="FX302" s="1804"/>
      <c r="FY302" s="1804"/>
      <c r="FZ302" s="1804"/>
      <c r="GA302" s="1804"/>
      <c r="GB302" s="1804"/>
      <c r="GC302" s="1804"/>
      <c r="GD302" s="1804"/>
      <c r="GE302" s="1804"/>
      <c r="GF302" s="1804"/>
      <c r="GG302" s="1804"/>
      <c r="GH302" s="1804"/>
      <c r="GI302" s="1804"/>
      <c r="GJ302" s="1804"/>
      <c r="GK302" s="1804"/>
      <c r="GL302" s="1804"/>
      <c r="GM302" s="1804"/>
      <c r="GN302" s="1804"/>
      <c r="GO302" s="1804"/>
      <c r="GP302" s="1804"/>
      <c r="GQ302" s="1804"/>
      <c r="GR302" s="1804"/>
      <c r="GS302" s="1804"/>
      <c r="GT302" s="1804"/>
      <c r="GU302" s="1804"/>
      <c r="GV302" s="1804"/>
      <c r="GW302" s="1804"/>
      <c r="GX302" s="1804"/>
      <c r="GY302" s="1804"/>
      <c r="GZ302" s="1804"/>
      <c r="HA302" s="1804"/>
      <c r="HB302" s="1804"/>
      <c r="HC302" s="1804"/>
      <c r="HD302" s="1804"/>
      <c r="HE302" s="1804"/>
      <c r="HF302" s="1804"/>
      <c r="HG302" s="1804"/>
      <c r="HH302" s="1804"/>
      <c r="HI302" s="1804"/>
      <c r="HJ302" s="1804"/>
      <c r="HK302" s="1804"/>
      <c r="HL302" s="1804"/>
      <c r="HM302" s="1804"/>
      <c r="HN302" s="1804"/>
      <c r="HO302" s="1804"/>
      <c r="HP302" s="1804"/>
      <c r="HQ302" s="1804"/>
      <c r="HR302" s="1804"/>
      <c r="HS302" s="1804"/>
      <c r="HT302" s="1804"/>
      <c r="HU302" s="1804"/>
      <c r="HV302" s="1804"/>
      <c r="HW302" s="1804"/>
      <c r="HX302" s="1804"/>
      <c r="HY302" s="1804"/>
      <c r="HZ302" s="1804"/>
      <c r="IA302" s="1804"/>
      <c r="IB302" s="1804"/>
      <c r="IC302" s="1804"/>
      <c r="ID302" s="1804"/>
      <c r="IE302" s="1804"/>
      <c r="IF302" s="1804"/>
      <c r="IG302" s="1804"/>
      <c r="IH302" s="1804"/>
      <c r="II302" s="1804"/>
      <c r="IJ302" s="1804"/>
      <c r="IK302" s="1804"/>
      <c r="IL302" s="1804"/>
      <c r="IM302" s="1804"/>
      <c r="IN302" s="1804"/>
      <c r="IO302" s="1804"/>
      <c r="IP302" s="1804"/>
      <c r="IQ302" s="1804"/>
      <c r="IR302" s="1804"/>
      <c r="IS302" s="1804"/>
      <c r="IT302" s="1804"/>
      <c r="IU302" s="1804"/>
      <c r="IV302" s="1804"/>
      <c r="IW302" s="1804"/>
    </row>
    <row r="303" spans="3:257" s="888" customFormat="1" ht="14.65" thickBot="1" x14ac:dyDescent="0.5">
      <c r="C303" s="1804"/>
      <c r="D303" s="1804"/>
      <c r="E303" s="1804"/>
      <c r="F303" s="1804"/>
      <c r="G303" s="1804"/>
      <c r="H303" s="1804"/>
      <c r="I303" s="1804"/>
      <c r="J303" s="1804"/>
      <c r="K303" s="1804"/>
      <c r="L303" s="1804"/>
      <c r="M303" s="1804"/>
      <c r="N303" s="1804"/>
      <c r="O303" s="1804"/>
      <c r="P303" s="1804"/>
      <c r="Q303" s="1804"/>
      <c r="R303" s="1804"/>
      <c r="S303" s="1804"/>
      <c r="T303" s="1804"/>
      <c r="U303" s="1804"/>
      <c r="V303" s="1804"/>
      <c r="W303" s="1804"/>
      <c r="X303" s="1804"/>
      <c r="Y303" s="1804"/>
      <c r="Z303" s="1804"/>
      <c r="AA303" s="1804"/>
      <c r="AB303" s="1804"/>
      <c r="AC303" s="1804"/>
      <c r="AD303" s="1804"/>
      <c r="AE303" s="1804"/>
      <c r="AF303" s="1804"/>
      <c r="AG303" s="1804"/>
      <c r="AH303" s="1804"/>
      <c r="AI303" s="1804"/>
      <c r="AJ303" s="1804"/>
      <c r="AK303" s="1804"/>
      <c r="AL303" s="1804"/>
      <c r="AM303" s="1804"/>
      <c r="AN303" s="1804"/>
      <c r="AO303" s="1804"/>
      <c r="AP303" s="1804"/>
      <c r="AQ303" s="1804"/>
      <c r="AR303" s="1804"/>
      <c r="AS303" s="1804"/>
      <c r="AT303" s="1804"/>
      <c r="AU303" s="1804"/>
      <c r="AV303" s="1804"/>
      <c r="AW303" s="1804"/>
      <c r="AX303" s="1804"/>
      <c r="AY303" s="1804"/>
      <c r="AZ303" s="1804"/>
      <c r="BA303" s="1804"/>
      <c r="BB303" s="1804"/>
      <c r="BC303" s="1804"/>
      <c r="BD303" s="1804"/>
      <c r="BE303" s="1804"/>
      <c r="BF303" s="1804"/>
      <c r="BG303" s="1804"/>
      <c r="BH303" s="1804"/>
      <c r="BI303" s="1804"/>
      <c r="BJ303" s="1804"/>
      <c r="BK303" s="1804"/>
      <c r="BL303" s="1804"/>
      <c r="BM303" s="1804"/>
      <c r="BN303" s="1804"/>
      <c r="BO303" s="1804"/>
      <c r="BP303" s="1804"/>
      <c r="BQ303" s="1804"/>
      <c r="BR303" s="1804"/>
      <c r="BS303" s="1804"/>
      <c r="BT303" s="1804"/>
      <c r="BU303" s="1804"/>
      <c r="BV303" s="1804"/>
      <c r="BW303" s="1804"/>
      <c r="BX303" s="1804"/>
      <c r="BY303" s="1804"/>
      <c r="BZ303" s="1804"/>
      <c r="CA303" s="1804"/>
      <c r="CB303" s="1804"/>
      <c r="CC303" s="1804"/>
      <c r="CD303" s="1804"/>
      <c r="CE303" s="1804"/>
      <c r="CF303" s="1804"/>
      <c r="CG303" s="1804"/>
      <c r="CH303" s="1804"/>
      <c r="CI303" s="1804"/>
      <c r="CJ303" s="1804"/>
      <c r="CK303" s="1804"/>
      <c r="CL303" s="1804"/>
      <c r="CM303" s="1804"/>
      <c r="CN303" s="1804"/>
      <c r="CO303" s="1804"/>
      <c r="CP303" s="1804"/>
      <c r="CQ303" s="1804"/>
      <c r="CR303" s="1804"/>
      <c r="CS303" s="1804"/>
      <c r="CT303" s="1804"/>
      <c r="CU303" s="1804"/>
      <c r="CV303" s="1804"/>
      <c r="CW303" s="1804"/>
      <c r="CX303" s="1804"/>
      <c r="CY303" s="1804"/>
      <c r="CZ303" s="1804"/>
      <c r="DA303" s="1804"/>
      <c r="DB303" s="1804"/>
      <c r="DC303" s="1804"/>
      <c r="DD303" s="1804"/>
      <c r="DE303" s="1804"/>
      <c r="DF303" s="1804"/>
      <c r="DG303" s="1804"/>
      <c r="DH303" s="1804"/>
      <c r="DI303" s="1804"/>
      <c r="DJ303" s="1804"/>
      <c r="DK303" s="1804"/>
      <c r="DL303" s="1804"/>
      <c r="DM303" s="1804"/>
      <c r="DN303" s="1804"/>
      <c r="DO303" s="1804"/>
      <c r="DP303" s="1804"/>
      <c r="DQ303" s="1804"/>
      <c r="DR303" s="1804"/>
      <c r="DS303" s="1804"/>
      <c r="DT303" s="1804"/>
      <c r="DU303" s="1804"/>
      <c r="DV303" s="1804"/>
      <c r="DW303" s="1804"/>
      <c r="DX303" s="1804"/>
      <c r="DY303" s="1804"/>
      <c r="DZ303" s="1804"/>
      <c r="EA303" s="1804"/>
      <c r="EB303" s="1804"/>
      <c r="EC303" s="1804"/>
      <c r="ED303" s="1804"/>
      <c r="EE303" s="1804"/>
      <c r="EF303" s="1804"/>
      <c r="EG303" s="1804"/>
      <c r="EH303" s="1804"/>
      <c r="EI303" s="1804"/>
      <c r="EJ303" s="1804"/>
      <c r="EK303" s="1804"/>
      <c r="EL303" s="1804"/>
      <c r="EM303" s="1804"/>
      <c r="EN303" s="1804"/>
      <c r="EO303" s="1804"/>
      <c r="EP303" s="1804"/>
      <c r="EQ303" s="1804"/>
      <c r="ER303" s="1804"/>
      <c r="ES303" s="1804"/>
      <c r="ET303" s="1804"/>
      <c r="EU303" s="1804"/>
      <c r="EV303" s="1804"/>
      <c r="EW303" s="1804"/>
      <c r="EX303" s="1804"/>
      <c r="EY303" s="1804"/>
      <c r="EZ303" s="1804"/>
      <c r="FA303" s="1804"/>
      <c r="FB303" s="1804"/>
      <c r="FC303" s="1804"/>
      <c r="FD303" s="1804"/>
      <c r="FE303" s="1804"/>
      <c r="FF303" s="1804"/>
      <c r="FG303" s="1804"/>
      <c r="FH303" s="1804"/>
      <c r="FI303" s="1804"/>
      <c r="FJ303" s="1804"/>
      <c r="FK303" s="1804"/>
      <c r="FL303" s="1804"/>
      <c r="FM303" s="1804"/>
      <c r="FN303" s="1804"/>
      <c r="FO303" s="1804"/>
      <c r="FP303" s="1804"/>
      <c r="FQ303" s="1804"/>
      <c r="FR303" s="1804"/>
      <c r="FS303" s="1804"/>
      <c r="FT303" s="1804"/>
      <c r="FU303" s="1804"/>
      <c r="FV303" s="1804"/>
      <c r="FW303" s="1804"/>
      <c r="FX303" s="1804"/>
      <c r="FY303" s="1804"/>
      <c r="FZ303" s="1804"/>
      <c r="GA303" s="1804"/>
      <c r="GB303" s="1804"/>
      <c r="GC303" s="1804"/>
      <c r="GD303" s="1804"/>
      <c r="GE303" s="1804"/>
      <c r="GF303" s="1804"/>
      <c r="GG303" s="1804"/>
      <c r="GH303" s="1804"/>
      <c r="GI303" s="1804"/>
      <c r="GJ303" s="1804"/>
      <c r="GK303" s="1804"/>
      <c r="GL303" s="1804"/>
      <c r="GM303" s="1804"/>
      <c r="GN303" s="1804"/>
      <c r="GO303" s="1804"/>
      <c r="GP303" s="1804"/>
      <c r="GQ303" s="1804"/>
      <c r="GR303" s="1804"/>
      <c r="GS303" s="1804"/>
      <c r="GT303" s="1804"/>
      <c r="GU303" s="1804"/>
      <c r="GV303" s="1804"/>
      <c r="GW303" s="1804"/>
      <c r="GX303" s="1804"/>
      <c r="GY303" s="1804"/>
      <c r="GZ303" s="1804"/>
      <c r="HA303" s="1804"/>
      <c r="HB303" s="1804"/>
      <c r="HC303" s="1804"/>
      <c r="HD303" s="1804"/>
      <c r="HE303" s="1804"/>
      <c r="HF303" s="1804"/>
      <c r="HG303" s="1804"/>
      <c r="HH303" s="1804"/>
      <c r="HI303" s="1804"/>
      <c r="HJ303" s="1804"/>
      <c r="HK303" s="1804"/>
      <c r="HL303" s="1804"/>
      <c r="HM303" s="1804"/>
      <c r="HN303" s="1804"/>
      <c r="HO303" s="1804"/>
      <c r="HP303" s="1804"/>
      <c r="HQ303" s="1804"/>
      <c r="HR303" s="1804"/>
      <c r="HS303" s="1804"/>
      <c r="HT303" s="1804"/>
      <c r="HU303" s="1804"/>
      <c r="HV303" s="1804"/>
      <c r="HW303" s="1804"/>
      <c r="HX303" s="1804"/>
      <c r="HY303" s="1804"/>
      <c r="HZ303" s="1804"/>
      <c r="IA303" s="1804"/>
      <c r="IB303" s="1804"/>
      <c r="IC303" s="1804"/>
      <c r="ID303" s="1804"/>
      <c r="IE303" s="1804"/>
      <c r="IF303" s="1804"/>
      <c r="IG303" s="1804"/>
      <c r="IH303" s="1804"/>
      <c r="II303" s="1804"/>
      <c r="IJ303" s="1804"/>
      <c r="IK303" s="1804"/>
      <c r="IL303" s="1804"/>
      <c r="IM303" s="1804"/>
      <c r="IN303" s="1804"/>
      <c r="IO303" s="1804"/>
      <c r="IP303" s="1804"/>
      <c r="IQ303" s="1804"/>
      <c r="IR303" s="1804"/>
      <c r="IS303" s="1804"/>
      <c r="IT303" s="1804"/>
      <c r="IU303" s="1804"/>
      <c r="IV303" s="1804"/>
      <c r="IW303" s="1804"/>
    </row>
    <row r="304" spans="3:257" s="888" customFormat="1" x14ac:dyDescent="0.45">
      <c r="C304" s="51" t="s">
        <v>618</v>
      </c>
      <c r="D304" s="52" t="s">
        <v>619</v>
      </c>
      <c r="E304" s="116" t="s">
        <v>620</v>
      </c>
      <c r="F304" s="2368" t="s">
        <v>624</v>
      </c>
      <c r="G304" s="2369"/>
      <c r="H304" s="2369"/>
      <c r="I304" s="2369"/>
      <c r="J304" s="2369"/>
      <c r="K304" s="2369"/>
      <c r="L304" s="2370"/>
      <c r="M304" s="2370"/>
      <c r="N304" s="2064" t="s">
        <v>667</v>
      </c>
      <c r="O304" s="2052"/>
      <c r="P304" s="1804"/>
      <c r="Q304" s="1804"/>
      <c r="R304" s="1804"/>
      <c r="S304" s="1804"/>
      <c r="T304" s="1804"/>
      <c r="U304" s="1804"/>
      <c r="V304" s="1804"/>
      <c r="W304" s="1804"/>
      <c r="X304" s="1804"/>
      <c r="Y304" s="1804"/>
      <c r="Z304" s="1804"/>
      <c r="AA304" s="1804"/>
      <c r="AB304" s="1804"/>
      <c r="AC304" s="1804"/>
      <c r="AD304" s="1804"/>
      <c r="AE304" s="1804"/>
      <c r="AF304" s="1804"/>
      <c r="AG304" s="1804"/>
      <c r="AH304" s="1804"/>
      <c r="AI304" s="1804"/>
      <c r="AJ304" s="1804"/>
      <c r="AK304" s="1804"/>
      <c r="AL304" s="1804"/>
      <c r="AM304" s="1804"/>
      <c r="AN304" s="1804"/>
      <c r="AO304" s="1804"/>
      <c r="AP304" s="1804"/>
      <c r="AQ304" s="1804"/>
      <c r="AR304" s="1804"/>
      <c r="AS304" s="1804"/>
      <c r="AT304" s="1804"/>
      <c r="AU304" s="1804"/>
      <c r="AV304" s="1804"/>
      <c r="AW304" s="1804"/>
      <c r="AX304" s="1804"/>
      <c r="AY304" s="1804"/>
      <c r="AZ304" s="1804"/>
      <c r="BA304" s="1804"/>
      <c r="BB304" s="1804"/>
      <c r="BC304" s="1804"/>
      <c r="BD304" s="1804"/>
      <c r="BE304" s="1804"/>
      <c r="BF304" s="1804"/>
      <c r="BG304" s="1804"/>
      <c r="BH304" s="1804"/>
      <c r="BI304" s="1804"/>
      <c r="BJ304" s="1804"/>
      <c r="BK304" s="1804"/>
      <c r="BL304" s="1804"/>
      <c r="BM304" s="1804"/>
      <c r="BN304" s="1804"/>
      <c r="BO304" s="1804"/>
      <c r="BP304" s="1804"/>
      <c r="BQ304" s="1804"/>
      <c r="BR304" s="1804"/>
      <c r="BS304" s="1804"/>
      <c r="BT304" s="1804"/>
      <c r="BU304" s="1804"/>
      <c r="BV304" s="1804"/>
      <c r="BW304" s="1804"/>
      <c r="BX304" s="1804"/>
      <c r="BY304" s="1804"/>
      <c r="BZ304" s="1804"/>
      <c r="CA304" s="1804"/>
      <c r="CB304" s="1804"/>
      <c r="CC304" s="1804"/>
      <c r="CD304" s="1804"/>
      <c r="CE304" s="1804"/>
      <c r="CF304" s="1804"/>
      <c r="CG304" s="1804"/>
      <c r="CH304" s="1804"/>
      <c r="CI304" s="1804"/>
      <c r="CJ304" s="1804"/>
      <c r="CK304" s="1804"/>
      <c r="CL304" s="1804"/>
      <c r="CM304" s="1804"/>
      <c r="CN304" s="1804"/>
      <c r="CO304" s="1804"/>
      <c r="CP304" s="1804"/>
      <c r="CQ304" s="1804"/>
      <c r="CR304" s="1804"/>
      <c r="CS304" s="1804"/>
      <c r="CT304" s="1804"/>
      <c r="CU304" s="1804"/>
      <c r="CV304" s="1804"/>
      <c r="CW304" s="1804"/>
      <c r="CX304" s="1804"/>
      <c r="CY304" s="1804"/>
      <c r="CZ304" s="1804"/>
      <c r="DA304" s="1804"/>
      <c r="DB304" s="1804"/>
      <c r="DC304" s="1804"/>
      <c r="DD304" s="1804"/>
      <c r="DE304" s="1804"/>
      <c r="DF304" s="1804"/>
      <c r="DG304" s="1804"/>
      <c r="DH304" s="1804"/>
      <c r="DI304" s="1804"/>
      <c r="DJ304" s="1804"/>
      <c r="DK304" s="1804"/>
      <c r="DL304" s="1804"/>
      <c r="DM304" s="1804"/>
      <c r="DN304" s="1804"/>
      <c r="DO304" s="1804"/>
      <c r="DP304" s="1804"/>
      <c r="DQ304" s="1804"/>
      <c r="DR304" s="1804"/>
      <c r="DS304" s="1804"/>
      <c r="DT304" s="1804"/>
      <c r="DU304" s="1804"/>
      <c r="DV304" s="1804"/>
      <c r="DW304" s="1804"/>
      <c r="DX304" s="1804"/>
      <c r="DY304" s="1804"/>
      <c r="DZ304" s="1804"/>
      <c r="EA304" s="1804"/>
      <c r="EB304" s="1804"/>
      <c r="EC304" s="1804"/>
      <c r="ED304" s="1804"/>
      <c r="EE304" s="1804"/>
      <c r="EF304" s="1804"/>
      <c r="EG304" s="1804"/>
      <c r="EH304" s="1804"/>
      <c r="EI304" s="1804"/>
      <c r="EJ304" s="1804"/>
      <c r="EK304" s="1804"/>
      <c r="EL304" s="1804"/>
      <c r="EM304" s="1804"/>
      <c r="EN304" s="1804"/>
      <c r="EO304" s="1804"/>
      <c r="EP304" s="1804"/>
      <c r="EQ304" s="1804"/>
      <c r="ER304" s="1804"/>
      <c r="ES304" s="1804"/>
      <c r="ET304" s="1804"/>
      <c r="EU304" s="1804"/>
      <c r="EV304" s="1804"/>
      <c r="EW304" s="1804"/>
      <c r="EX304" s="1804"/>
      <c r="EY304" s="1804"/>
      <c r="EZ304" s="1804"/>
      <c r="FA304" s="1804"/>
      <c r="FB304" s="1804"/>
      <c r="FC304" s="1804"/>
      <c r="FD304" s="1804"/>
      <c r="FE304" s="1804"/>
      <c r="FF304" s="1804"/>
      <c r="FG304" s="1804"/>
      <c r="FH304" s="1804"/>
      <c r="FI304" s="1804"/>
      <c r="FJ304" s="1804"/>
      <c r="FK304" s="1804"/>
      <c r="FL304" s="1804"/>
      <c r="FM304" s="1804"/>
      <c r="FN304" s="1804"/>
      <c r="FO304" s="1804"/>
      <c r="FP304" s="1804"/>
      <c r="FQ304" s="1804"/>
      <c r="FR304" s="1804"/>
      <c r="FS304" s="1804"/>
      <c r="FT304" s="1804"/>
      <c r="FU304" s="1804"/>
      <c r="FV304" s="1804"/>
      <c r="FW304" s="1804"/>
      <c r="FX304" s="1804"/>
      <c r="FY304" s="1804"/>
      <c r="FZ304" s="1804"/>
      <c r="GA304" s="1804"/>
      <c r="GB304" s="1804"/>
      <c r="GC304" s="1804"/>
      <c r="GD304" s="1804"/>
      <c r="GE304" s="1804"/>
      <c r="GF304" s="1804"/>
      <c r="GG304" s="1804"/>
      <c r="GH304" s="1804"/>
      <c r="GI304" s="1804"/>
      <c r="GJ304" s="1804"/>
      <c r="GK304" s="1804"/>
      <c r="GL304" s="1804"/>
      <c r="GM304" s="1804"/>
      <c r="GN304" s="1804"/>
      <c r="GO304" s="1804"/>
      <c r="GP304" s="1804"/>
      <c r="GQ304" s="1804"/>
      <c r="GR304" s="1804"/>
      <c r="GS304" s="1804"/>
      <c r="GT304" s="1804"/>
      <c r="GU304" s="1804"/>
      <c r="GV304" s="1804"/>
      <c r="GW304" s="1804"/>
      <c r="GX304" s="1804"/>
      <c r="GY304" s="1804"/>
      <c r="GZ304" s="1804"/>
      <c r="HA304" s="1804"/>
      <c r="HB304" s="1804"/>
      <c r="HC304" s="1804"/>
      <c r="HD304" s="1804"/>
      <c r="HE304" s="1804"/>
      <c r="HF304" s="1804"/>
      <c r="HG304" s="1804"/>
      <c r="HH304" s="1804"/>
      <c r="HI304" s="1804"/>
      <c r="HJ304" s="1804"/>
      <c r="HK304" s="1804"/>
      <c r="HL304" s="1804"/>
      <c r="HM304" s="1804"/>
      <c r="HN304" s="1804"/>
      <c r="HO304" s="1804"/>
      <c r="HP304" s="1804"/>
      <c r="HQ304" s="1804"/>
      <c r="HR304" s="1804"/>
      <c r="HS304" s="1804"/>
      <c r="HT304" s="1804"/>
      <c r="HU304" s="1804"/>
      <c r="HV304" s="1804"/>
      <c r="HW304" s="1804"/>
      <c r="HX304" s="1804"/>
      <c r="HY304" s="1804"/>
      <c r="HZ304" s="1804"/>
      <c r="IA304" s="1804"/>
      <c r="IB304" s="1804"/>
      <c r="IC304" s="1804"/>
      <c r="ID304" s="1804"/>
      <c r="IE304" s="1804"/>
      <c r="IF304" s="1804"/>
      <c r="IG304" s="1804"/>
      <c r="IH304" s="1804"/>
      <c r="II304" s="1804"/>
      <c r="IJ304" s="1804"/>
      <c r="IK304" s="1804"/>
      <c r="IL304" s="1804"/>
      <c r="IM304" s="1804"/>
      <c r="IN304" s="1804"/>
      <c r="IO304" s="1804"/>
      <c r="IP304" s="1804"/>
      <c r="IQ304" s="1804"/>
      <c r="IR304" s="1804"/>
      <c r="IS304" s="1804"/>
      <c r="IT304" s="1804"/>
      <c r="IU304" s="1804"/>
      <c r="IV304" s="1804"/>
      <c r="IW304" s="1804"/>
    </row>
    <row r="305" spans="3:257" s="888" customFormat="1" x14ac:dyDescent="0.45">
      <c r="C305" s="54"/>
      <c r="D305" s="55"/>
      <c r="E305" s="56"/>
      <c r="F305" s="2364" t="s">
        <v>267</v>
      </c>
      <c r="G305" s="2365"/>
      <c r="H305" s="2366"/>
      <c r="I305" s="2367"/>
      <c r="J305" s="2364" t="s">
        <v>711</v>
      </c>
      <c r="K305" s="2365"/>
      <c r="L305" s="2366"/>
      <c r="M305" s="2366"/>
      <c r="N305" s="2054"/>
      <c r="O305" s="2053"/>
      <c r="P305" s="1804"/>
      <c r="Q305" s="1804"/>
      <c r="R305" s="1804"/>
      <c r="S305" s="1804"/>
      <c r="T305" s="1804"/>
      <c r="U305" s="1804"/>
      <c r="V305" s="1804"/>
      <c r="W305" s="1804"/>
      <c r="X305" s="1804"/>
      <c r="Y305" s="1804"/>
      <c r="Z305" s="1804"/>
      <c r="AA305" s="1804"/>
      <c r="AB305" s="1804"/>
      <c r="AC305" s="1804"/>
      <c r="AD305" s="1804"/>
      <c r="AE305" s="1804"/>
      <c r="AF305" s="1804"/>
      <c r="AG305" s="1804"/>
      <c r="AH305" s="1804"/>
      <c r="AI305" s="1804"/>
      <c r="AJ305" s="1804"/>
      <c r="AK305" s="1804"/>
      <c r="AL305" s="1804"/>
      <c r="AM305" s="1804"/>
      <c r="AN305" s="1804"/>
      <c r="AO305" s="1804"/>
      <c r="AP305" s="1804"/>
      <c r="AQ305" s="1804"/>
      <c r="AR305" s="1804"/>
      <c r="AS305" s="1804"/>
      <c r="AT305" s="1804"/>
      <c r="AU305" s="1804"/>
      <c r="AV305" s="1804"/>
      <c r="AW305" s="1804"/>
      <c r="AX305" s="1804"/>
      <c r="AY305" s="1804"/>
      <c r="AZ305" s="1804"/>
      <c r="BA305" s="1804"/>
      <c r="BB305" s="1804"/>
      <c r="BC305" s="1804"/>
      <c r="BD305" s="1804"/>
      <c r="BE305" s="1804"/>
      <c r="BF305" s="1804"/>
      <c r="BG305" s="1804"/>
      <c r="BH305" s="1804"/>
      <c r="BI305" s="1804"/>
      <c r="BJ305" s="1804"/>
      <c r="BK305" s="1804"/>
      <c r="BL305" s="1804"/>
      <c r="BM305" s="1804"/>
      <c r="BN305" s="1804"/>
      <c r="BO305" s="1804"/>
      <c r="BP305" s="1804"/>
      <c r="BQ305" s="1804"/>
      <c r="BR305" s="1804"/>
      <c r="BS305" s="1804"/>
      <c r="BT305" s="1804"/>
      <c r="BU305" s="1804"/>
      <c r="BV305" s="1804"/>
      <c r="BW305" s="1804"/>
      <c r="BX305" s="1804"/>
      <c r="BY305" s="1804"/>
      <c r="BZ305" s="1804"/>
      <c r="CA305" s="1804"/>
      <c r="CB305" s="1804"/>
      <c r="CC305" s="1804"/>
      <c r="CD305" s="1804"/>
      <c r="CE305" s="1804"/>
      <c r="CF305" s="1804"/>
      <c r="CG305" s="1804"/>
      <c r="CH305" s="1804"/>
      <c r="CI305" s="1804"/>
      <c r="CJ305" s="1804"/>
      <c r="CK305" s="1804"/>
      <c r="CL305" s="1804"/>
      <c r="CM305" s="1804"/>
      <c r="CN305" s="1804"/>
      <c r="CO305" s="1804"/>
      <c r="CP305" s="1804"/>
      <c r="CQ305" s="1804"/>
      <c r="CR305" s="1804"/>
      <c r="CS305" s="1804"/>
      <c r="CT305" s="1804"/>
      <c r="CU305" s="1804"/>
      <c r="CV305" s="1804"/>
      <c r="CW305" s="1804"/>
      <c r="CX305" s="1804"/>
      <c r="CY305" s="1804"/>
      <c r="CZ305" s="1804"/>
      <c r="DA305" s="1804"/>
      <c r="DB305" s="1804"/>
      <c r="DC305" s="1804"/>
      <c r="DD305" s="1804"/>
      <c r="DE305" s="1804"/>
      <c r="DF305" s="1804"/>
      <c r="DG305" s="1804"/>
      <c r="DH305" s="1804"/>
      <c r="DI305" s="1804"/>
      <c r="DJ305" s="1804"/>
      <c r="DK305" s="1804"/>
      <c r="DL305" s="1804"/>
      <c r="DM305" s="1804"/>
      <c r="DN305" s="1804"/>
      <c r="DO305" s="1804"/>
      <c r="DP305" s="1804"/>
      <c r="DQ305" s="1804"/>
      <c r="DR305" s="1804"/>
      <c r="DS305" s="1804"/>
      <c r="DT305" s="1804"/>
      <c r="DU305" s="1804"/>
      <c r="DV305" s="1804"/>
      <c r="DW305" s="1804"/>
      <c r="DX305" s="1804"/>
      <c r="DY305" s="1804"/>
      <c r="DZ305" s="1804"/>
      <c r="EA305" s="1804"/>
      <c r="EB305" s="1804"/>
      <c r="EC305" s="1804"/>
      <c r="ED305" s="1804"/>
      <c r="EE305" s="1804"/>
      <c r="EF305" s="1804"/>
      <c r="EG305" s="1804"/>
      <c r="EH305" s="1804"/>
      <c r="EI305" s="1804"/>
      <c r="EJ305" s="1804"/>
      <c r="EK305" s="1804"/>
      <c r="EL305" s="1804"/>
      <c r="EM305" s="1804"/>
      <c r="EN305" s="1804"/>
      <c r="EO305" s="1804"/>
      <c r="EP305" s="1804"/>
      <c r="EQ305" s="1804"/>
      <c r="ER305" s="1804"/>
      <c r="ES305" s="1804"/>
      <c r="ET305" s="1804"/>
      <c r="EU305" s="1804"/>
      <c r="EV305" s="1804"/>
      <c r="EW305" s="1804"/>
      <c r="EX305" s="1804"/>
      <c r="EY305" s="1804"/>
      <c r="EZ305" s="1804"/>
      <c r="FA305" s="1804"/>
      <c r="FB305" s="1804"/>
      <c r="FC305" s="1804"/>
      <c r="FD305" s="1804"/>
      <c r="FE305" s="1804"/>
      <c r="FF305" s="1804"/>
      <c r="FG305" s="1804"/>
      <c r="FH305" s="1804"/>
      <c r="FI305" s="1804"/>
      <c r="FJ305" s="1804"/>
      <c r="FK305" s="1804"/>
      <c r="FL305" s="1804"/>
      <c r="FM305" s="1804"/>
      <c r="FN305" s="1804"/>
      <c r="FO305" s="1804"/>
      <c r="FP305" s="1804"/>
      <c r="FQ305" s="1804"/>
      <c r="FR305" s="1804"/>
      <c r="FS305" s="1804"/>
      <c r="FT305" s="1804"/>
      <c r="FU305" s="1804"/>
      <c r="FV305" s="1804"/>
      <c r="FW305" s="1804"/>
      <c r="FX305" s="1804"/>
      <c r="FY305" s="1804"/>
      <c r="FZ305" s="1804"/>
      <c r="GA305" s="1804"/>
      <c r="GB305" s="1804"/>
      <c r="GC305" s="1804"/>
      <c r="GD305" s="1804"/>
      <c r="GE305" s="1804"/>
      <c r="GF305" s="1804"/>
      <c r="GG305" s="1804"/>
      <c r="GH305" s="1804"/>
      <c r="GI305" s="1804"/>
      <c r="GJ305" s="1804"/>
      <c r="GK305" s="1804"/>
      <c r="GL305" s="1804"/>
      <c r="GM305" s="1804"/>
      <c r="GN305" s="1804"/>
      <c r="GO305" s="1804"/>
      <c r="GP305" s="1804"/>
      <c r="GQ305" s="1804"/>
      <c r="GR305" s="1804"/>
      <c r="GS305" s="1804"/>
      <c r="GT305" s="1804"/>
      <c r="GU305" s="1804"/>
      <c r="GV305" s="1804"/>
      <c r="GW305" s="1804"/>
      <c r="GX305" s="1804"/>
      <c r="GY305" s="1804"/>
      <c r="GZ305" s="1804"/>
      <c r="HA305" s="1804"/>
      <c r="HB305" s="1804"/>
      <c r="HC305" s="1804"/>
      <c r="HD305" s="1804"/>
      <c r="HE305" s="1804"/>
      <c r="HF305" s="1804"/>
      <c r="HG305" s="1804"/>
      <c r="HH305" s="1804"/>
      <c r="HI305" s="1804"/>
      <c r="HJ305" s="1804"/>
      <c r="HK305" s="1804"/>
      <c r="HL305" s="1804"/>
      <c r="HM305" s="1804"/>
      <c r="HN305" s="1804"/>
      <c r="HO305" s="1804"/>
      <c r="HP305" s="1804"/>
      <c r="HQ305" s="1804"/>
      <c r="HR305" s="1804"/>
      <c r="HS305" s="1804"/>
      <c r="HT305" s="1804"/>
      <c r="HU305" s="1804"/>
      <c r="HV305" s="1804"/>
      <c r="HW305" s="1804"/>
      <c r="HX305" s="1804"/>
      <c r="HY305" s="1804"/>
      <c r="HZ305" s="1804"/>
      <c r="IA305" s="1804"/>
      <c r="IB305" s="1804"/>
      <c r="IC305" s="1804"/>
      <c r="ID305" s="1804"/>
      <c r="IE305" s="1804"/>
      <c r="IF305" s="1804"/>
      <c r="IG305" s="1804"/>
      <c r="IH305" s="1804"/>
      <c r="II305" s="1804"/>
      <c r="IJ305" s="1804"/>
      <c r="IK305" s="1804"/>
      <c r="IL305" s="1804"/>
      <c r="IM305" s="1804"/>
      <c r="IN305" s="1804"/>
      <c r="IO305" s="1804"/>
      <c r="IP305" s="1804"/>
      <c r="IQ305" s="1804"/>
      <c r="IR305" s="1804"/>
      <c r="IS305" s="1804"/>
      <c r="IT305" s="1804"/>
      <c r="IU305" s="1804"/>
      <c r="IV305" s="1804"/>
      <c r="IW305" s="1804"/>
    </row>
    <row r="306" spans="3:257" s="888" customFormat="1" ht="15.75" thickBot="1" x14ac:dyDescent="0.6">
      <c r="C306" s="60"/>
      <c r="D306" s="61"/>
      <c r="E306" s="62"/>
      <c r="F306" s="117" t="s">
        <v>115</v>
      </c>
      <c r="G306" s="117" t="s">
        <v>621</v>
      </c>
      <c r="H306" s="117" t="s">
        <v>2324</v>
      </c>
      <c r="I306" s="117" t="s">
        <v>2325</v>
      </c>
      <c r="J306" s="117" t="s">
        <v>115</v>
      </c>
      <c r="K306" s="117" t="s">
        <v>621</v>
      </c>
      <c r="L306" s="117" t="s">
        <v>2324</v>
      </c>
      <c r="M306" s="2063" t="s">
        <v>2325</v>
      </c>
      <c r="N306" s="2067" t="s">
        <v>2326</v>
      </c>
      <c r="O306" s="2068" t="s">
        <v>2327</v>
      </c>
      <c r="P306" s="1804"/>
      <c r="Q306" s="1804"/>
      <c r="R306" s="1804"/>
      <c r="S306" s="1804"/>
      <c r="T306" s="1804"/>
      <c r="U306" s="1804"/>
      <c r="V306" s="1804"/>
      <c r="W306" s="1804"/>
      <c r="X306" s="1804"/>
      <c r="Y306" s="1804"/>
      <c r="Z306" s="1804"/>
      <c r="AA306" s="1804"/>
      <c r="AB306" s="1804"/>
      <c r="AC306" s="1804"/>
      <c r="AD306" s="1804"/>
      <c r="AE306" s="1804"/>
      <c r="AF306" s="1804"/>
      <c r="AG306" s="1804"/>
      <c r="AH306" s="1804"/>
      <c r="AI306" s="1804"/>
      <c r="AJ306" s="1804"/>
      <c r="AK306" s="1804"/>
      <c r="AL306" s="1804"/>
      <c r="AM306" s="1804"/>
      <c r="AN306" s="1804"/>
      <c r="AO306" s="1804"/>
      <c r="AP306" s="1804"/>
      <c r="AQ306" s="1804"/>
      <c r="AR306" s="1804"/>
      <c r="AS306" s="1804"/>
      <c r="AT306" s="1804"/>
      <c r="AU306" s="1804"/>
      <c r="AV306" s="1804"/>
      <c r="AW306" s="1804"/>
      <c r="AX306" s="1804"/>
      <c r="AY306" s="1804"/>
      <c r="AZ306" s="1804"/>
      <c r="BA306" s="1804"/>
      <c r="BB306" s="1804"/>
      <c r="BC306" s="1804"/>
      <c r="BD306" s="1804"/>
      <c r="BE306" s="1804"/>
      <c r="BF306" s="1804"/>
      <c r="BG306" s="1804"/>
      <c r="BH306" s="1804"/>
      <c r="BI306" s="1804"/>
      <c r="BJ306" s="1804"/>
      <c r="BK306" s="1804"/>
      <c r="BL306" s="1804"/>
      <c r="BM306" s="1804"/>
      <c r="BN306" s="1804"/>
      <c r="BO306" s="1804"/>
      <c r="BP306" s="1804"/>
      <c r="BQ306" s="1804"/>
      <c r="BR306" s="1804"/>
      <c r="BS306" s="1804"/>
      <c r="BT306" s="1804"/>
      <c r="BU306" s="1804"/>
      <c r="BV306" s="1804"/>
      <c r="BW306" s="1804"/>
      <c r="BX306" s="1804"/>
      <c r="BY306" s="1804"/>
      <c r="BZ306" s="1804"/>
      <c r="CA306" s="1804"/>
      <c r="CB306" s="1804"/>
      <c r="CC306" s="1804"/>
      <c r="CD306" s="1804"/>
      <c r="CE306" s="1804"/>
      <c r="CF306" s="1804"/>
      <c r="CG306" s="1804"/>
      <c r="CH306" s="1804"/>
      <c r="CI306" s="1804"/>
      <c r="CJ306" s="1804"/>
      <c r="CK306" s="1804"/>
      <c r="CL306" s="1804"/>
      <c r="CM306" s="1804"/>
      <c r="CN306" s="1804"/>
      <c r="CO306" s="1804"/>
      <c r="CP306" s="1804"/>
      <c r="CQ306" s="1804"/>
      <c r="CR306" s="1804"/>
      <c r="CS306" s="1804"/>
      <c r="CT306" s="1804"/>
      <c r="CU306" s="1804"/>
      <c r="CV306" s="1804"/>
      <c r="CW306" s="1804"/>
      <c r="CX306" s="1804"/>
      <c r="CY306" s="1804"/>
      <c r="CZ306" s="1804"/>
      <c r="DA306" s="1804"/>
      <c r="DB306" s="1804"/>
      <c r="DC306" s="1804"/>
      <c r="DD306" s="1804"/>
      <c r="DE306" s="1804"/>
      <c r="DF306" s="1804"/>
      <c r="DG306" s="1804"/>
      <c r="DH306" s="1804"/>
      <c r="DI306" s="1804"/>
      <c r="DJ306" s="1804"/>
      <c r="DK306" s="1804"/>
      <c r="DL306" s="1804"/>
      <c r="DM306" s="1804"/>
      <c r="DN306" s="1804"/>
      <c r="DO306" s="1804"/>
      <c r="DP306" s="1804"/>
      <c r="DQ306" s="1804"/>
      <c r="DR306" s="1804"/>
      <c r="DS306" s="1804"/>
      <c r="DT306" s="1804"/>
      <c r="DU306" s="1804"/>
      <c r="DV306" s="1804"/>
      <c r="DW306" s="1804"/>
      <c r="DX306" s="1804"/>
      <c r="DY306" s="1804"/>
      <c r="DZ306" s="1804"/>
      <c r="EA306" s="1804"/>
      <c r="EB306" s="1804"/>
      <c r="EC306" s="1804"/>
      <c r="ED306" s="1804"/>
      <c r="EE306" s="1804"/>
      <c r="EF306" s="1804"/>
      <c r="EG306" s="1804"/>
      <c r="EH306" s="1804"/>
      <c r="EI306" s="1804"/>
      <c r="EJ306" s="1804"/>
      <c r="EK306" s="1804"/>
      <c r="EL306" s="1804"/>
      <c r="EM306" s="1804"/>
      <c r="EN306" s="1804"/>
      <c r="EO306" s="1804"/>
      <c r="EP306" s="1804"/>
      <c r="EQ306" s="1804"/>
      <c r="ER306" s="1804"/>
      <c r="ES306" s="1804"/>
      <c r="ET306" s="1804"/>
      <c r="EU306" s="1804"/>
      <c r="EV306" s="1804"/>
      <c r="EW306" s="1804"/>
      <c r="EX306" s="1804"/>
      <c r="EY306" s="1804"/>
      <c r="EZ306" s="1804"/>
      <c r="FA306" s="1804"/>
      <c r="FB306" s="1804"/>
      <c r="FC306" s="1804"/>
      <c r="FD306" s="1804"/>
      <c r="FE306" s="1804"/>
      <c r="FF306" s="1804"/>
      <c r="FG306" s="1804"/>
      <c r="FH306" s="1804"/>
      <c r="FI306" s="1804"/>
      <c r="FJ306" s="1804"/>
      <c r="FK306" s="1804"/>
      <c r="FL306" s="1804"/>
      <c r="FM306" s="1804"/>
      <c r="FN306" s="1804"/>
      <c r="FO306" s="1804"/>
      <c r="FP306" s="1804"/>
      <c r="FQ306" s="1804"/>
      <c r="FR306" s="1804"/>
      <c r="FS306" s="1804"/>
      <c r="FT306" s="1804"/>
      <c r="FU306" s="1804"/>
      <c r="FV306" s="1804"/>
      <c r="FW306" s="1804"/>
      <c r="FX306" s="1804"/>
      <c r="FY306" s="1804"/>
      <c r="FZ306" s="1804"/>
      <c r="GA306" s="1804"/>
      <c r="GB306" s="1804"/>
      <c r="GC306" s="1804"/>
      <c r="GD306" s="1804"/>
      <c r="GE306" s="1804"/>
      <c r="GF306" s="1804"/>
      <c r="GG306" s="1804"/>
      <c r="GH306" s="1804"/>
      <c r="GI306" s="1804"/>
      <c r="GJ306" s="1804"/>
      <c r="GK306" s="1804"/>
      <c r="GL306" s="1804"/>
      <c r="GM306" s="1804"/>
      <c r="GN306" s="1804"/>
      <c r="GO306" s="1804"/>
      <c r="GP306" s="1804"/>
      <c r="GQ306" s="1804"/>
      <c r="GR306" s="1804"/>
      <c r="GS306" s="1804"/>
      <c r="GT306" s="1804"/>
      <c r="GU306" s="1804"/>
      <c r="GV306" s="1804"/>
      <c r="GW306" s="1804"/>
      <c r="GX306" s="1804"/>
      <c r="GY306" s="1804"/>
      <c r="GZ306" s="1804"/>
      <c r="HA306" s="1804"/>
      <c r="HB306" s="1804"/>
      <c r="HC306" s="1804"/>
      <c r="HD306" s="1804"/>
      <c r="HE306" s="1804"/>
      <c r="HF306" s="1804"/>
      <c r="HG306" s="1804"/>
      <c r="HH306" s="1804"/>
      <c r="HI306" s="1804"/>
      <c r="HJ306" s="1804"/>
      <c r="HK306" s="1804"/>
      <c r="HL306" s="1804"/>
      <c r="HM306" s="1804"/>
      <c r="HN306" s="1804"/>
      <c r="HO306" s="1804"/>
      <c r="HP306" s="1804"/>
      <c r="HQ306" s="1804"/>
      <c r="HR306" s="1804"/>
      <c r="HS306" s="1804"/>
      <c r="HT306" s="1804"/>
      <c r="HU306" s="1804"/>
      <c r="HV306" s="1804"/>
      <c r="HW306" s="1804"/>
      <c r="HX306" s="1804"/>
      <c r="HY306" s="1804"/>
      <c r="HZ306" s="1804"/>
      <c r="IA306" s="1804"/>
      <c r="IB306" s="1804"/>
      <c r="IC306" s="1804"/>
      <c r="ID306" s="1804"/>
      <c r="IE306" s="1804"/>
      <c r="IF306" s="1804"/>
      <c r="IG306" s="1804"/>
      <c r="IH306" s="1804"/>
      <c r="II306" s="1804"/>
      <c r="IJ306" s="1804"/>
      <c r="IK306" s="1804"/>
      <c r="IL306" s="1804"/>
      <c r="IM306" s="1804"/>
      <c r="IN306" s="1804"/>
      <c r="IO306" s="1804"/>
      <c r="IP306" s="1804"/>
      <c r="IQ306" s="1804"/>
      <c r="IR306" s="1804"/>
      <c r="IS306" s="1804"/>
      <c r="IT306" s="1804"/>
      <c r="IU306" s="1804"/>
      <c r="IV306" s="1804"/>
      <c r="IW306" s="1804"/>
    </row>
    <row r="307" spans="3:257" s="888" customFormat="1" x14ac:dyDescent="0.45">
      <c r="C307" s="67" t="s">
        <v>528</v>
      </c>
      <c r="D307" s="68" t="s">
        <v>630</v>
      </c>
      <c r="E307" s="69"/>
      <c r="F307" s="2066">
        <v>7664842.9494701037</v>
      </c>
      <c r="G307" s="118">
        <v>4499.262811338951</v>
      </c>
      <c r="H307" s="2062">
        <v>0.11941827832092156</v>
      </c>
      <c r="I307" s="2062">
        <v>0.22496314056694755</v>
      </c>
      <c r="J307" s="119">
        <v>27481.557496971109</v>
      </c>
      <c r="K307" s="120">
        <v>16.131674250722039</v>
      </c>
      <c r="L307" s="120">
        <v>4.1839901228331181E-4</v>
      </c>
      <c r="M307" s="2069">
        <v>8.0658371253610232E-4</v>
      </c>
      <c r="N307" s="2070">
        <f>F307+J307</f>
        <v>7692324.5069670752</v>
      </c>
      <c r="O307" s="2071">
        <f>SUM(G307:I307)+SUM(K307:M307)</f>
        <v>4515.7400919912852</v>
      </c>
      <c r="P307" s="1838"/>
      <c r="Q307" s="1838"/>
      <c r="R307" s="1804"/>
      <c r="S307" s="1804"/>
      <c r="T307" s="1804"/>
      <c r="U307" s="1804"/>
      <c r="V307" s="1804"/>
      <c r="W307" s="1804"/>
      <c r="X307" s="1804"/>
      <c r="Y307" s="1804"/>
      <c r="Z307" s="1804"/>
      <c r="AA307" s="1804"/>
      <c r="AB307" s="1804"/>
      <c r="AC307" s="1804"/>
      <c r="AD307" s="1804"/>
      <c r="AE307" s="1804"/>
      <c r="AF307" s="1804"/>
      <c r="AG307" s="1804"/>
      <c r="AH307" s="1804"/>
      <c r="AI307" s="1804"/>
      <c r="AJ307" s="1804"/>
      <c r="AK307" s="1804"/>
      <c r="AL307" s="1804"/>
      <c r="AM307" s="1804"/>
      <c r="AN307" s="1804"/>
      <c r="AO307" s="1804"/>
      <c r="AP307" s="1804"/>
      <c r="AQ307" s="1804"/>
      <c r="AR307" s="1804"/>
      <c r="AS307" s="1804"/>
      <c r="AT307" s="1804"/>
      <c r="AU307" s="1804"/>
      <c r="AV307" s="1804"/>
      <c r="AW307" s="1804"/>
      <c r="AX307" s="1804"/>
      <c r="AY307" s="1804"/>
      <c r="AZ307" s="1804"/>
      <c r="BA307" s="1804"/>
      <c r="BB307" s="1804"/>
      <c r="BC307" s="1804"/>
      <c r="BD307" s="1804"/>
      <c r="BE307" s="1804"/>
      <c r="BF307" s="1804"/>
      <c r="BG307" s="1804"/>
      <c r="BH307" s="1804"/>
      <c r="BI307" s="1804"/>
      <c r="BJ307" s="1804"/>
      <c r="BK307" s="1804"/>
      <c r="BL307" s="1804"/>
      <c r="BM307" s="1804"/>
      <c r="BN307" s="1804"/>
      <c r="BO307" s="1804"/>
      <c r="BP307" s="1804"/>
      <c r="BQ307" s="1804"/>
      <c r="BR307" s="1804"/>
      <c r="BS307" s="1804"/>
      <c r="BT307" s="1804"/>
      <c r="BU307" s="1804"/>
      <c r="BV307" s="1804"/>
      <c r="BW307" s="1804"/>
      <c r="BX307" s="1804"/>
      <c r="BY307" s="1804"/>
      <c r="BZ307" s="1804"/>
      <c r="CA307" s="1804"/>
      <c r="CB307" s="1804"/>
      <c r="CC307" s="1804"/>
      <c r="CD307" s="1804"/>
      <c r="CE307" s="1804"/>
      <c r="CF307" s="1804"/>
      <c r="CG307" s="1804"/>
      <c r="CH307" s="1804"/>
      <c r="CI307" s="1804"/>
      <c r="CJ307" s="1804"/>
      <c r="CK307" s="1804"/>
      <c r="CL307" s="1804"/>
      <c r="CM307" s="1804"/>
      <c r="CN307" s="1804"/>
      <c r="CO307" s="1804"/>
      <c r="CP307" s="1804"/>
      <c r="CQ307" s="1804"/>
      <c r="CR307" s="1804"/>
      <c r="CS307" s="1804"/>
      <c r="CT307" s="1804"/>
      <c r="CU307" s="1804"/>
      <c r="CV307" s="1804"/>
      <c r="CW307" s="1804"/>
      <c r="CX307" s="1804"/>
      <c r="CY307" s="1804"/>
      <c r="CZ307" s="1804"/>
      <c r="DA307" s="1804"/>
      <c r="DB307" s="1804"/>
      <c r="DC307" s="1804"/>
      <c r="DD307" s="1804"/>
      <c r="DE307" s="1804"/>
      <c r="DF307" s="1804"/>
      <c r="DG307" s="1804"/>
      <c r="DH307" s="1804"/>
      <c r="DI307" s="1804"/>
      <c r="DJ307" s="1804"/>
      <c r="DK307" s="1804"/>
      <c r="DL307" s="1804"/>
      <c r="DM307" s="1804"/>
      <c r="DN307" s="1804"/>
      <c r="DO307" s="1804"/>
      <c r="DP307" s="1804"/>
      <c r="DQ307" s="1804"/>
      <c r="DR307" s="1804"/>
      <c r="DS307" s="1804"/>
      <c r="DT307" s="1804"/>
      <c r="DU307" s="1804"/>
      <c r="DV307" s="1804"/>
      <c r="DW307" s="1804"/>
      <c r="DX307" s="1804"/>
      <c r="DY307" s="1804"/>
      <c r="DZ307" s="1804"/>
      <c r="EA307" s="1804"/>
      <c r="EB307" s="1804"/>
      <c r="EC307" s="1804"/>
      <c r="ED307" s="1804"/>
      <c r="EE307" s="1804"/>
      <c r="EF307" s="1804"/>
      <c r="EG307" s="1804"/>
      <c r="EH307" s="1804"/>
      <c r="EI307" s="1804"/>
      <c r="EJ307" s="1804"/>
      <c r="EK307" s="1804"/>
      <c r="EL307" s="1804"/>
      <c r="EM307" s="1804"/>
      <c r="EN307" s="1804"/>
      <c r="EO307" s="1804"/>
      <c r="EP307" s="1804"/>
      <c r="EQ307" s="1804"/>
      <c r="ER307" s="1804"/>
      <c r="ES307" s="1804"/>
      <c r="ET307" s="1804"/>
      <c r="EU307" s="1804"/>
      <c r="EV307" s="1804"/>
      <c r="EW307" s="1804"/>
      <c r="EX307" s="1804"/>
      <c r="EY307" s="1804"/>
      <c r="EZ307" s="1804"/>
      <c r="FA307" s="1804"/>
      <c r="FB307" s="1804"/>
      <c r="FC307" s="1804"/>
      <c r="FD307" s="1804"/>
      <c r="FE307" s="1804"/>
      <c r="FF307" s="1804"/>
      <c r="FG307" s="1804"/>
      <c r="FH307" s="1804"/>
      <c r="FI307" s="1804"/>
      <c r="FJ307" s="1804"/>
      <c r="FK307" s="1804"/>
      <c r="FL307" s="1804"/>
      <c r="FM307" s="1804"/>
      <c r="FN307" s="1804"/>
      <c r="FO307" s="1804"/>
      <c r="FP307" s="1804"/>
      <c r="FQ307" s="1804"/>
      <c r="FR307" s="1804"/>
      <c r="FS307" s="1804"/>
      <c r="FT307" s="1804"/>
      <c r="FU307" s="1804"/>
      <c r="FV307" s="1804"/>
      <c r="FW307" s="1804"/>
      <c r="FX307" s="1804"/>
      <c r="FY307" s="1804"/>
      <c r="FZ307" s="1804"/>
      <c r="GA307" s="1804"/>
      <c r="GB307" s="1804"/>
      <c r="GC307" s="1804"/>
      <c r="GD307" s="1804"/>
      <c r="GE307" s="1804"/>
      <c r="GF307" s="1804"/>
      <c r="GG307" s="1804"/>
      <c r="GH307" s="1804"/>
      <c r="GI307" s="1804"/>
      <c r="GJ307" s="1804"/>
      <c r="GK307" s="1804"/>
      <c r="GL307" s="1804"/>
      <c r="GM307" s="1804"/>
      <c r="GN307" s="1804"/>
      <c r="GO307" s="1804"/>
      <c r="GP307" s="1804"/>
      <c r="GQ307" s="1804"/>
      <c r="GR307" s="1804"/>
      <c r="GS307" s="1804"/>
      <c r="GT307" s="1804"/>
      <c r="GU307" s="1804"/>
      <c r="GV307" s="1804"/>
      <c r="GW307" s="1804"/>
      <c r="GX307" s="1804"/>
      <c r="GY307" s="1804"/>
      <c r="GZ307" s="1804"/>
      <c r="HA307" s="1804"/>
      <c r="HB307" s="1804"/>
      <c r="HC307" s="1804"/>
      <c r="HD307" s="1804"/>
      <c r="HE307" s="1804"/>
      <c r="HF307" s="1804"/>
      <c r="HG307" s="1804"/>
      <c r="HH307" s="1804"/>
      <c r="HI307" s="1804"/>
      <c r="HJ307" s="1804"/>
      <c r="HK307" s="1804"/>
      <c r="HL307" s="1804"/>
      <c r="HM307" s="1804"/>
      <c r="HN307" s="1804"/>
      <c r="HO307" s="1804"/>
      <c r="HP307" s="1804"/>
      <c r="HQ307" s="1804"/>
      <c r="HR307" s="1804"/>
      <c r="HS307" s="1804"/>
      <c r="HT307" s="1804"/>
      <c r="HU307" s="1804"/>
      <c r="HV307" s="1804"/>
      <c r="HW307" s="1804"/>
      <c r="HX307" s="1804"/>
      <c r="HY307" s="1804"/>
      <c r="HZ307" s="1804"/>
      <c r="IA307" s="1804"/>
      <c r="IB307" s="1804"/>
      <c r="IC307" s="1804"/>
      <c r="ID307" s="1804"/>
      <c r="IE307" s="1804"/>
      <c r="IF307" s="1804"/>
      <c r="IG307" s="1804"/>
      <c r="IH307" s="1804"/>
      <c r="II307" s="1804"/>
      <c r="IJ307" s="1804"/>
      <c r="IK307" s="1804"/>
      <c r="IL307" s="1804"/>
      <c r="IM307" s="1804"/>
      <c r="IN307" s="1804"/>
      <c r="IO307" s="1804"/>
      <c r="IP307" s="1804"/>
      <c r="IQ307" s="1804"/>
      <c r="IR307" s="1804"/>
      <c r="IS307" s="1804"/>
      <c r="IT307" s="1804"/>
      <c r="IU307" s="1804"/>
      <c r="IV307" s="1804"/>
      <c r="IW307" s="1804"/>
    </row>
    <row r="308" spans="3:257" s="888" customFormat="1" x14ac:dyDescent="0.45">
      <c r="C308" s="67" t="s">
        <v>529</v>
      </c>
      <c r="D308" s="68" t="s">
        <v>631</v>
      </c>
      <c r="E308" s="69"/>
      <c r="F308" s="2066">
        <v>0</v>
      </c>
      <c r="G308" s="118">
        <v>0</v>
      </c>
      <c r="H308" s="2062"/>
      <c r="I308" s="2062"/>
      <c r="J308" s="119">
        <v>0</v>
      </c>
      <c r="K308" s="120">
        <v>0</v>
      </c>
      <c r="L308" s="120"/>
      <c r="M308" s="2069"/>
      <c r="N308" s="2072">
        <f t="shared" ref="N308:N339" si="52">F308+J308</f>
        <v>0</v>
      </c>
      <c r="O308" s="2073">
        <f t="shared" ref="O308:O339" si="53">SUM(G308:I308)+SUM(K308:M308)</f>
        <v>0</v>
      </c>
      <c r="P308" s="1838"/>
      <c r="Q308" s="1838"/>
      <c r="R308" s="1804"/>
      <c r="S308" s="1804"/>
      <c r="T308" s="1804"/>
      <c r="U308" s="1804"/>
      <c r="V308" s="1804"/>
      <c r="W308" s="1804"/>
      <c r="X308" s="1804"/>
      <c r="Y308" s="1804"/>
      <c r="Z308" s="1804"/>
      <c r="AA308" s="1804"/>
      <c r="AB308" s="1804"/>
      <c r="AC308" s="1804"/>
      <c r="AD308" s="1804"/>
      <c r="AE308" s="1804"/>
      <c r="AF308" s="1804"/>
      <c r="AG308" s="1804"/>
      <c r="AH308" s="1804"/>
      <c r="AI308" s="1804"/>
      <c r="AJ308" s="1804"/>
      <c r="AK308" s="1804"/>
      <c r="AL308" s="1804"/>
      <c r="AM308" s="1804"/>
      <c r="AN308" s="1804"/>
      <c r="AO308" s="1804"/>
      <c r="AP308" s="1804"/>
      <c r="AQ308" s="1804"/>
      <c r="AR308" s="1804"/>
      <c r="AS308" s="1804"/>
      <c r="AT308" s="1804"/>
      <c r="AU308" s="1804"/>
      <c r="AV308" s="1804"/>
      <c r="AW308" s="1804"/>
      <c r="AX308" s="1804"/>
      <c r="AY308" s="1804"/>
      <c r="AZ308" s="1804"/>
      <c r="BA308" s="1804"/>
      <c r="BB308" s="1804"/>
      <c r="BC308" s="1804"/>
      <c r="BD308" s="1804"/>
      <c r="BE308" s="1804"/>
      <c r="BF308" s="1804"/>
      <c r="BG308" s="1804"/>
      <c r="BH308" s="1804"/>
      <c r="BI308" s="1804"/>
      <c r="BJ308" s="1804"/>
      <c r="BK308" s="1804"/>
      <c r="BL308" s="1804"/>
      <c r="BM308" s="1804"/>
      <c r="BN308" s="1804"/>
      <c r="BO308" s="1804"/>
      <c r="BP308" s="1804"/>
      <c r="BQ308" s="1804"/>
      <c r="BR308" s="1804"/>
      <c r="BS308" s="1804"/>
      <c r="BT308" s="1804"/>
      <c r="BU308" s="1804"/>
      <c r="BV308" s="1804"/>
      <c r="BW308" s="1804"/>
      <c r="BX308" s="1804"/>
      <c r="BY308" s="1804"/>
      <c r="BZ308" s="1804"/>
      <c r="CA308" s="1804"/>
      <c r="CB308" s="1804"/>
      <c r="CC308" s="1804"/>
      <c r="CD308" s="1804"/>
      <c r="CE308" s="1804"/>
      <c r="CF308" s="1804"/>
      <c r="CG308" s="1804"/>
      <c r="CH308" s="1804"/>
      <c r="CI308" s="1804"/>
      <c r="CJ308" s="1804"/>
      <c r="CK308" s="1804"/>
      <c r="CL308" s="1804"/>
      <c r="CM308" s="1804"/>
      <c r="CN308" s="1804"/>
      <c r="CO308" s="1804"/>
      <c r="CP308" s="1804"/>
      <c r="CQ308" s="1804"/>
      <c r="CR308" s="1804"/>
      <c r="CS308" s="1804"/>
      <c r="CT308" s="1804"/>
      <c r="CU308" s="1804"/>
      <c r="CV308" s="1804"/>
      <c r="CW308" s="1804"/>
      <c r="CX308" s="1804"/>
      <c r="CY308" s="1804"/>
      <c r="CZ308" s="1804"/>
      <c r="DA308" s="1804"/>
      <c r="DB308" s="1804"/>
      <c r="DC308" s="1804"/>
      <c r="DD308" s="1804"/>
      <c r="DE308" s="1804"/>
      <c r="DF308" s="1804"/>
      <c r="DG308" s="1804"/>
      <c r="DH308" s="1804"/>
      <c r="DI308" s="1804"/>
      <c r="DJ308" s="1804"/>
      <c r="DK308" s="1804"/>
      <c r="DL308" s="1804"/>
      <c r="DM308" s="1804"/>
      <c r="DN308" s="1804"/>
      <c r="DO308" s="1804"/>
      <c r="DP308" s="1804"/>
      <c r="DQ308" s="1804"/>
      <c r="DR308" s="1804"/>
      <c r="DS308" s="1804"/>
      <c r="DT308" s="1804"/>
      <c r="DU308" s="1804"/>
      <c r="DV308" s="1804"/>
      <c r="DW308" s="1804"/>
      <c r="DX308" s="1804"/>
      <c r="DY308" s="1804"/>
      <c r="DZ308" s="1804"/>
      <c r="EA308" s="1804"/>
      <c r="EB308" s="1804"/>
      <c r="EC308" s="1804"/>
      <c r="ED308" s="1804"/>
      <c r="EE308" s="1804"/>
      <c r="EF308" s="1804"/>
      <c r="EG308" s="1804"/>
      <c r="EH308" s="1804"/>
      <c r="EI308" s="1804"/>
      <c r="EJ308" s="1804"/>
      <c r="EK308" s="1804"/>
      <c r="EL308" s="1804"/>
      <c r="EM308" s="1804"/>
      <c r="EN308" s="1804"/>
      <c r="EO308" s="1804"/>
      <c r="EP308" s="1804"/>
      <c r="EQ308" s="1804"/>
      <c r="ER308" s="1804"/>
      <c r="ES308" s="1804"/>
      <c r="ET308" s="1804"/>
      <c r="EU308" s="1804"/>
      <c r="EV308" s="1804"/>
      <c r="EW308" s="1804"/>
      <c r="EX308" s="1804"/>
      <c r="EY308" s="1804"/>
      <c r="EZ308" s="1804"/>
      <c r="FA308" s="1804"/>
      <c r="FB308" s="1804"/>
      <c r="FC308" s="1804"/>
      <c r="FD308" s="1804"/>
      <c r="FE308" s="1804"/>
      <c r="FF308" s="1804"/>
      <c r="FG308" s="1804"/>
      <c r="FH308" s="1804"/>
      <c r="FI308" s="1804"/>
      <c r="FJ308" s="1804"/>
      <c r="FK308" s="1804"/>
      <c r="FL308" s="1804"/>
      <c r="FM308" s="1804"/>
      <c r="FN308" s="1804"/>
      <c r="FO308" s="1804"/>
      <c r="FP308" s="1804"/>
      <c r="FQ308" s="1804"/>
      <c r="FR308" s="1804"/>
      <c r="FS308" s="1804"/>
      <c r="FT308" s="1804"/>
      <c r="FU308" s="1804"/>
      <c r="FV308" s="1804"/>
      <c r="FW308" s="1804"/>
      <c r="FX308" s="1804"/>
      <c r="FY308" s="1804"/>
      <c r="FZ308" s="1804"/>
      <c r="GA308" s="1804"/>
      <c r="GB308" s="1804"/>
      <c r="GC308" s="1804"/>
      <c r="GD308" s="1804"/>
      <c r="GE308" s="1804"/>
      <c r="GF308" s="1804"/>
      <c r="GG308" s="1804"/>
      <c r="GH308" s="1804"/>
      <c r="GI308" s="1804"/>
      <c r="GJ308" s="1804"/>
      <c r="GK308" s="1804"/>
      <c r="GL308" s="1804"/>
      <c r="GM308" s="1804"/>
      <c r="GN308" s="1804"/>
      <c r="GO308" s="1804"/>
      <c r="GP308" s="1804"/>
      <c r="GQ308" s="1804"/>
      <c r="GR308" s="1804"/>
      <c r="GS308" s="1804"/>
      <c r="GT308" s="1804"/>
      <c r="GU308" s="1804"/>
      <c r="GV308" s="1804"/>
      <c r="GW308" s="1804"/>
      <c r="GX308" s="1804"/>
      <c r="GY308" s="1804"/>
      <c r="GZ308" s="1804"/>
      <c r="HA308" s="1804"/>
      <c r="HB308" s="1804"/>
      <c r="HC308" s="1804"/>
      <c r="HD308" s="1804"/>
      <c r="HE308" s="1804"/>
      <c r="HF308" s="1804"/>
      <c r="HG308" s="1804"/>
      <c r="HH308" s="1804"/>
      <c r="HI308" s="1804"/>
      <c r="HJ308" s="1804"/>
      <c r="HK308" s="1804"/>
      <c r="HL308" s="1804"/>
      <c r="HM308" s="1804"/>
      <c r="HN308" s="1804"/>
      <c r="HO308" s="1804"/>
      <c r="HP308" s="1804"/>
      <c r="HQ308" s="1804"/>
      <c r="HR308" s="1804"/>
      <c r="HS308" s="1804"/>
      <c r="HT308" s="1804"/>
      <c r="HU308" s="1804"/>
      <c r="HV308" s="1804"/>
      <c r="HW308" s="1804"/>
      <c r="HX308" s="1804"/>
      <c r="HY308" s="1804"/>
      <c r="HZ308" s="1804"/>
      <c r="IA308" s="1804"/>
      <c r="IB308" s="1804"/>
      <c r="IC308" s="1804"/>
      <c r="ID308" s="1804"/>
      <c r="IE308" s="1804"/>
      <c r="IF308" s="1804"/>
      <c r="IG308" s="1804"/>
      <c r="IH308" s="1804"/>
      <c r="II308" s="1804"/>
      <c r="IJ308" s="1804"/>
      <c r="IK308" s="1804"/>
      <c r="IL308" s="1804"/>
      <c r="IM308" s="1804"/>
      <c r="IN308" s="1804"/>
      <c r="IO308" s="1804"/>
      <c r="IP308" s="1804"/>
      <c r="IQ308" s="1804"/>
      <c r="IR308" s="1804"/>
      <c r="IS308" s="1804"/>
      <c r="IT308" s="1804"/>
      <c r="IU308" s="1804"/>
      <c r="IV308" s="1804"/>
      <c r="IW308" s="1804"/>
    </row>
    <row r="309" spans="3:257" s="888" customFormat="1" x14ac:dyDescent="0.45">
      <c r="C309" s="67" t="s">
        <v>530</v>
      </c>
      <c r="D309" s="68" t="s">
        <v>632</v>
      </c>
      <c r="E309" s="69"/>
      <c r="F309" s="2066">
        <v>3797997.8463517674</v>
      </c>
      <c r="G309" s="118">
        <v>2229.4247358084876</v>
      </c>
      <c r="H309" s="2062">
        <v>6.7751521406786822E-2</v>
      </c>
      <c r="I309" s="2062">
        <v>0.11147123679042437</v>
      </c>
      <c r="J309" s="119">
        <v>17797.778015344484</v>
      </c>
      <c r="K309" s="120">
        <v>10.447295695007213</v>
      </c>
      <c r="L309" s="120">
        <v>2.9392823494254247E-4</v>
      </c>
      <c r="M309" s="2069">
        <v>5.2236478475036049E-4</v>
      </c>
      <c r="N309" s="2072">
        <f t="shared" si="52"/>
        <v>3815795.6243671118</v>
      </c>
      <c r="O309" s="2073">
        <f t="shared" si="53"/>
        <v>2240.0520705547119</v>
      </c>
      <c r="P309" s="1838"/>
      <c r="Q309" s="1838"/>
      <c r="R309" s="1804"/>
      <c r="S309" s="1804"/>
      <c r="T309" s="1804"/>
      <c r="U309" s="1804"/>
      <c r="V309" s="1804"/>
      <c r="W309" s="1804"/>
      <c r="X309" s="1804"/>
      <c r="Y309" s="1804"/>
      <c r="Z309" s="1804"/>
      <c r="AA309" s="1804"/>
      <c r="AB309" s="1804"/>
      <c r="AC309" s="1804"/>
      <c r="AD309" s="1804"/>
      <c r="AE309" s="1804"/>
      <c r="AF309" s="1804"/>
      <c r="AG309" s="1804"/>
      <c r="AH309" s="1804"/>
      <c r="AI309" s="1804"/>
      <c r="AJ309" s="1804"/>
      <c r="AK309" s="1804"/>
      <c r="AL309" s="1804"/>
      <c r="AM309" s="1804"/>
      <c r="AN309" s="1804"/>
      <c r="AO309" s="1804"/>
      <c r="AP309" s="1804"/>
      <c r="AQ309" s="1804"/>
      <c r="AR309" s="1804"/>
      <c r="AS309" s="1804"/>
      <c r="AT309" s="1804"/>
      <c r="AU309" s="1804"/>
      <c r="AV309" s="1804"/>
      <c r="AW309" s="1804"/>
      <c r="AX309" s="1804"/>
      <c r="AY309" s="1804"/>
      <c r="AZ309" s="1804"/>
      <c r="BA309" s="1804"/>
      <c r="BB309" s="1804"/>
      <c r="BC309" s="1804"/>
      <c r="BD309" s="1804"/>
      <c r="BE309" s="1804"/>
      <c r="BF309" s="1804"/>
      <c r="BG309" s="1804"/>
      <c r="BH309" s="1804"/>
      <c r="BI309" s="1804"/>
      <c r="BJ309" s="1804"/>
      <c r="BK309" s="1804"/>
      <c r="BL309" s="1804"/>
      <c r="BM309" s="1804"/>
      <c r="BN309" s="1804"/>
      <c r="BO309" s="1804"/>
      <c r="BP309" s="1804"/>
      <c r="BQ309" s="1804"/>
      <c r="BR309" s="1804"/>
      <c r="BS309" s="1804"/>
      <c r="BT309" s="1804"/>
      <c r="BU309" s="1804"/>
      <c r="BV309" s="1804"/>
      <c r="BW309" s="1804"/>
      <c r="BX309" s="1804"/>
      <c r="BY309" s="1804"/>
      <c r="BZ309" s="1804"/>
      <c r="CA309" s="1804"/>
      <c r="CB309" s="1804"/>
      <c r="CC309" s="1804"/>
      <c r="CD309" s="1804"/>
      <c r="CE309" s="1804"/>
      <c r="CF309" s="1804"/>
      <c r="CG309" s="1804"/>
      <c r="CH309" s="1804"/>
      <c r="CI309" s="1804"/>
      <c r="CJ309" s="1804"/>
      <c r="CK309" s="1804"/>
      <c r="CL309" s="1804"/>
      <c r="CM309" s="1804"/>
      <c r="CN309" s="1804"/>
      <c r="CO309" s="1804"/>
      <c r="CP309" s="1804"/>
      <c r="CQ309" s="1804"/>
      <c r="CR309" s="1804"/>
      <c r="CS309" s="1804"/>
      <c r="CT309" s="1804"/>
      <c r="CU309" s="1804"/>
      <c r="CV309" s="1804"/>
      <c r="CW309" s="1804"/>
      <c r="CX309" s="1804"/>
      <c r="CY309" s="1804"/>
      <c r="CZ309" s="1804"/>
      <c r="DA309" s="1804"/>
      <c r="DB309" s="1804"/>
      <c r="DC309" s="1804"/>
      <c r="DD309" s="1804"/>
      <c r="DE309" s="1804"/>
      <c r="DF309" s="1804"/>
      <c r="DG309" s="1804"/>
      <c r="DH309" s="1804"/>
      <c r="DI309" s="1804"/>
      <c r="DJ309" s="1804"/>
      <c r="DK309" s="1804"/>
      <c r="DL309" s="1804"/>
      <c r="DM309" s="1804"/>
      <c r="DN309" s="1804"/>
      <c r="DO309" s="1804"/>
      <c r="DP309" s="1804"/>
      <c r="DQ309" s="1804"/>
      <c r="DR309" s="1804"/>
      <c r="DS309" s="1804"/>
      <c r="DT309" s="1804"/>
      <c r="DU309" s="1804"/>
      <c r="DV309" s="1804"/>
      <c r="DW309" s="1804"/>
      <c r="DX309" s="1804"/>
      <c r="DY309" s="1804"/>
      <c r="DZ309" s="1804"/>
      <c r="EA309" s="1804"/>
      <c r="EB309" s="1804"/>
      <c r="EC309" s="1804"/>
      <c r="ED309" s="1804"/>
      <c r="EE309" s="1804"/>
      <c r="EF309" s="1804"/>
      <c r="EG309" s="1804"/>
      <c r="EH309" s="1804"/>
      <c r="EI309" s="1804"/>
      <c r="EJ309" s="1804"/>
      <c r="EK309" s="1804"/>
      <c r="EL309" s="1804"/>
      <c r="EM309" s="1804"/>
      <c r="EN309" s="1804"/>
      <c r="EO309" s="1804"/>
      <c r="EP309" s="1804"/>
      <c r="EQ309" s="1804"/>
      <c r="ER309" s="1804"/>
      <c r="ES309" s="1804"/>
      <c r="ET309" s="1804"/>
      <c r="EU309" s="1804"/>
      <c r="EV309" s="1804"/>
      <c r="EW309" s="1804"/>
      <c r="EX309" s="1804"/>
      <c r="EY309" s="1804"/>
      <c r="EZ309" s="1804"/>
      <c r="FA309" s="1804"/>
      <c r="FB309" s="1804"/>
      <c r="FC309" s="1804"/>
      <c r="FD309" s="1804"/>
      <c r="FE309" s="1804"/>
      <c r="FF309" s="1804"/>
      <c r="FG309" s="1804"/>
      <c r="FH309" s="1804"/>
      <c r="FI309" s="1804"/>
      <c r="FJ309" s="1804"/>
      <c r="FK309" s="1804"/>
      <c r="FL309" s="1804"/>
      <c r="FM309" s="1804"/>
      <c r="FN309" s="1804"/>
      <c r="FO309" s="1804"/>
      <c r="FP309" s="1804"/>
      <c r="FQ309" s="1804"/>
      <c r="FR309" s="1804"/>
      <c r="FS309" s="1804"/>
      <c r="FT309" s="1804"/>
      <c r="FU309" s="1804"/>
      <c r="FV309" s="1804"/>
      <c r="FW309" s="1804"/>
      <c r="FX309" s="1804"/>
      <c r="FY309" s="1804"/>
      <c r="FZ309" s="1804"/>
      <c r="GA309" s="1804"/>
      <c r="GB309" s="1804"/>
      <c r="GC309" s="1804"/>
      <c r="GD309" s="1804"/>
      <c r="GE309" s="1804"/>
      <c r="GF309" s="1804"/>
      <c r="GG309" s="1804"/>
      <c r="GH309" s="1804"/>
      <c r="GI309" s="1804"/>
      <c r="GJ309" s="1804"/>
      <c r="GK309" s="1804"/>
      <c r="GL309" s="1804"/>
      <c r="GM309" s="1804"/>
      <c r="GN309" s="1804"/>
      <c r="GO309" s="1804"/>
      <c r="GP309" s="1804"/>
      <c r="GQ309" s="1804"/>
      <c r="GR309" s="1804"/>
      <c r="GS309" s="1804"/>
      <c r="GT309" s="1804"/>
      <c r="GU309" s="1804"/>
      <c r="GV309" s="1804"/>
      <c r="GW309" s="1804"/>
      <c r="GX309" s="1804"/>
      <c r="GY309" s="1804"/>
      <c r="GZ309" s="1804"/>
      <c r="HA309" s="1804"/>
      <c r="HB309" s="1804"/>
      <c r="HC309" s="1804"/>
      <c r="HD309" s="1804"/>
      <c r="HE309" s="1804"/>
      <c r="HF309" s="1804"/>
      <c r="HG309" s="1804"/>
      <c r="HH309" s="1804"/>
      <c r="HI309" s="1804"/>
      <c r="HJ309" s="1804"/>
      <c r="HK309" s="1804"/>
      <c r="HL309" s="1804"/>
      <c r="HM309" s="1804"/>
      <c r="HN309" s="1804"/>
      <c r="HO309" s="1804"/>
      <c r="HP309" s="1804"/>
      <c r="HQ309" s="1804"/>
      <c r="HR309" s="1804"/>
      <c r="HS309" s="1804"/>
      <c r="HT309" s="1804"/>
      <c r="HU309" s="1804"/>
      <c r="HV309" s="1804"/>
      <c r="HW309" s="1804"/>
      <c r="HX309" s="1804"/>
      <c r="HY309" s="1804"/>
      <c r="HZ309" s="1804"/>
      <c r="IA309" s="1804"/>
      <c r="IB309" s="1804"/>
      <c r="IC309" s="1804"/>
      <c r="ID309" s="1804"/>
      <c r="IE309" s="1804"/>
      <c r="IF309" s="1804"/>
      <c r="IG309" s="1804"/>
      <c r="IH309" s="1804"/>
      <c r="II309" s="1804"/>
      <c r="IJ309" s="1804"/>
      <c r="IK309" s="1804"/>
      <c r="IL309" s="1804"/>
      <c r="IM309" s="1804"/>
      <c r="IN309" s="1804"/>
      <c r="IO309" s="1804"/>
      <c r="IP309" s="1804"/>
      <c r="IQ309" s="1804"/>
      <c r="IR309" s="1804"/>
      <c r="IS309" s="1804"/>
      <c r="IT309" s="1804"/>
      <c r="IU309" s="1804"/>
      <c r="IV309" s="1804"/>
      <c r="IW309" s="1804"/>
    </row>
    <row r="310" spans="3:257" s="888" customFormat="1" x14ac:dyDescent="0.45">
      <c r="C310" s="67" t="s">
        <v>531</v>
      </c>
      <c r="D310" s="68" t="s">
        <v>633</v>
      </c>
      <c r="E310" s="69"/>
      <c r="F310" s="2066">
        <v>0</v>
      </c>
      <c r="G310" s="118">
        <v>0</v>
      </c>
      <c r="H310" s="2062"/>
      <c r="I310" s="2062"/>
      <c r="J310" s="119">
        <v>0</v>
      </c>
      <c r="K310" s="120">
        <v>0</v>
      </c>
      <c r="L310" s="120"/>
      <c r="M310" s="2069"/>
      <c r="N310" s="2072">
        <f t="shared" si="52"/>
        <v>0</v>
      </c>
      <c r="O310" s="2073">
        <f t="shared" si="53"/>
        <v>0</v>
      </c>
      <c r="P310" s="1838"/>
      <c r="Q310" s="1838"/>
      <c r="R310" s="1804"/>
      <c r="S310" s="1804"/>
      <c r="T310" s="1804"/>
      <c r="U310" s="1804"/>
      <c r="V310" s="1804"/>
      <c r="W310" s="1804"/>
      <c r="X310" s="1804"/>
      <c r="Y310" s="1804"/>
      <c r="Z310" s="1804"/>
      <c r="AA310" s="1804"/>
      <c r="AB310" s="1804"/>
      <c r="AC310" s="1804"/>
      <c r="AD310" s="1804"/>
      <c r="AE310" s="1804"/>
      <c r="AF310" s="1804"/>
      <c r="AG310" s="1804"/>
      <c r="AH310" s="1804"/>
      <c r="AI310" s="1804"/>
      <c r="AJ310" s="1804"/>
      <c r="AK310" s="1804"/>
      <c r="AL310" s="1804"/>
      <c r="AM310" s="1804"/>
      <c r="AN310" s="1804"/>
      <c r="AO310" s="1804"/>
      <c r="AP310" s="1804"/>
      <c r="AQ310" s="1804"/>
      <c r="AR310" s="1804"/>
      <c r="AS310" s="1804"/>
      <c r="AT310" s="1804"/>
      <c r="AU310" s="1804"/>
      <c r="AV310" s="1804"/>
      <c r="AW310" s="1804"/>
      <c r="AX310" s="1804"/>
      <c r="AY310" s="1804"/>
      <c r="AZ310" s="1804"/>
      <c r="BA310" s="1804"/>
      <c r="BB310" s="1804"/>
      <c r="BC310" s="1804"/>
      <c r="BD310" s="1804"/>
      <c r="BE310" s="1804"/>
      <c r="BF310" s="1804"/>
      <c r="BG310" s="1804"/>
      <c r="BH310" s="1804"/>
      <c r="BI310" s="1804"/>
      <c r="BJ310" s="1804"/>
      <c r="BK310" s="1804"/>
      <c r="BL310" s="1804"/>
      <c r="BM310" s="1804"/>
      <c r="BN310" s="1804"/>
      <c r="BO310" s="1804"/>
      <c r="BP310" s="1804"/>
      <c r="BQ310" s="1804"/>
      <c r="BR310" s="1804"/>
      <c r="BS310" s="1804"/>
      <c r="BT310" s="1804"/>
      <c r="BU310" s="1804"/>
      <c r="BV310" s="1804"/>
      <c r="BW310" s="1804"/>
      <c r="BX310" s="1804"/>
      <c r="BY310" s="1804"/>
      <c r="BZ310" s="1804"/>
      <c r="CA310" s="1804"/>
      <c r="CB310" s="1804"/>
      <c r="CC310" s="1804"/>
      <c r="CD310" s="1804"/>
      <c r="CE310" s="1804"/>
      <c r="CF310" s="1804"/>
      <c r="CG310" s="1804"/>
      <c r="CH310" s="1804"/>
      <c r="CI310" s="1804"/>
      <c r="CJ310" s="1804"/>
      <c r="CK310" s="1804"/>
      <c r="CL310" s="1804"/>
      <c r="CM310" s="1804"/>
      <c r="CN310" s="1804"/>
      <c r="CO310" s="1804"/>
      <c r="CP310" s="1804"/>
      <c r="CQ310" s="1804"/>
      <c r="CR310" s="1804"/>
      <c r="CS310" s="1804"/>
      <c r="CT310" s="1804"/>
      <c r="CU310" s="1804"/>
      <c r="CV310" s="1804"/>
      <c r="CW310" s="1804"/>
      <c r="CX310" s="1804"/>
      <c r="CY310" s="1804"/>
      <c r="CZ310" s="1804"/>
      <c r="DA310" s="1804"/>
      <c r="DB310" s="1804"/>
      <c r="DC310" s="1804"/>
      <c r="DD310" s="1804"/>
      <c r="DE310" s="1804"/>
      <c r="DF310" s="1804"/>
      <c r="DG310" s="1804"/>
      <c r="DH310" s="1804"/>
      <c r="DI310" s="1804"/>
      <c r="DJ310" s="1804"/>
      <c r="DK310" s="1804"/>
      <c r="DL310" s="1804"/>
      <c r="DM310" s="1804"/>
      <c r="DN310" s="1804"/>
      <c r="DO310" s="1804"/>
      <c r="DP310" s="1804"/>
      <c r="DQ310" s="1804"/>
      <c r="DR310" s="1804"/>
      <c r="DS310" s="1804"/>
      <c r="DT310" s="1804"/>
      <c r="DU310" s="1804"/>
      <c r="DV310" s="1804"/>
      <c r="DW310" s="1804"/>
      <c r="DX310" s="1804"/>
      <c r="DY310" s="1804"/>
      <c r="DZ310" s="1804"/>
      <c r="EA310" s="1804"/>
      <c r="EB310" s="1804"/>
      <c r="EC310" s="1804"/>
      <c r="ED310" s="1804"/>
      <c r="EE310" s="1804"/>
      <c r="EF310" s="1804"/>
      <c r="EG310" s="1804"/>
      <c r="EH310" s="1804"/>
      <c r="EI310" s="1804"/>
      <c r="EJ310" s="1804"/>
      <c r="EK310" s="1804"/>
      <c r="EL310" s="1804"/>
      <c r="EM310" s="1804"/>
      <c r="EN310" s="1804"/>
      <c r="EO310" s="1804"/>
      <c r="EP310" s="1804"/>
      <c r="EQ310" s="1804"/>
      <c r="ER310" s="1804"/>
      <c r="ES310" s="1804"/>
      <c r="ET310" s="1804"/>
      <c r="EU310" s="1804"/>
      <c r="EV310" s="1804"/>
      <c r="EW310" s="1804"/>
      <c r="EX310" s="1804"/>
      <c r="EY310" s="1804"/>
      <c r="EZ310" s="1804"/>
      <c r="FA310" s="1804"/>
      <c r="FB310" s="1804"/>
      <c r="FC310" s="1804"/>
      <c r="FD310" s="1804"/>
      <c r="FE310" s="1804"/>
      <c r="FF310" s="1804"/>
      <c r="FG310" s="1804"/>
      <c r="FH310" s="1804"/>
      <c r="FI310" s="1804"/>
      <c r="FJ310" s="1804"/>
      <c r="FK310" s="1804"/>
      <c r="FL310" s="1804"/>
      <c r="FM310" s="1804"/>
      <c r="FN310" s="1804"/>
      <c r="FO310" s="1804"/>
      <c r="FP310" s="1804"/>
      <c r="FQ310" s="1804"/>
      <c r="FR310" s="1804"/>
      <c r="FS310" s="1804"/>
      <c r="FT310" s="1804"/>
      <c r="FU310" s="1804"/>
      <c r="FV310" s="1804"/>
      <c r="FW310" s="1804"/>
      <c r="FX310" s="1804"/>
      <c r="FY310" s="1804"/>
      <c r="FZ310" s="1804"/>
      <c r="GA310" s="1804"/>
      <c r="GB310" s="1804"/>
      <c r="GC310" s="1804"/>
      <c r="GD310" s="1804"/>
      <c r="GE310" s="1804"/>
      <c r="GF310" s="1804"/>
      <c r="GG310" s="1804"/>
      <c r="GH310" s="1804"/>
      <c r="GI310" s="1804"/>
      <c r="GJ310" s="1804"/>
      <c r="GK310" s="1804"/>
      <c r="GL310" s="1804"/>
      <c r="GM310" s="1804"/>
      <c r="GN310" s="1804"/>
      <c r="GO310" s="1804"/>
      <c r="GP310" s="1804"/>
      <c r="GQ310" s="1804"/>
      <c r="GR310" s="1804"/>
      <c r="GS310" s="1804"/>
      <c r="GT310" s="1804"/>
      <c r="GU310" s="1804"/>
      <c r="GV310" s="1804"/>
      <c r="GW310" s="1804"/>
      <c r="GX310" s="1804"/>
      <c r="GY310" s="1804"/>
      <c r="GZ310" s="1804"/>
      <c r="HA310" s="1804"/>
      <c r="HB310" s="1804"/>
      <c r="HC310" s="1804"/>
      <c r="HD310" s="1804"/>
      <c r="HE310" s="1804"/>
      <c r="HF310" s="1804"/>
      <c r="HG310" s="1804"/>
      <c r="HH310" s="1804"/>
      <c r="HI310" s="1804"/>
      <c r="HJ310" s="1804"/>
      <c r="HK310" s="1804"/>
      <c r="HL310" s="1804"/>
      <c r="HM310" s="1804"/>
      <c r="HN310" s="1804"/>
      <c r="HO310" s="1804"/>
      <c r="HP310" s="1804"/>
      <c r="HQ310" s="1804"/>
      <c r="HR310" s="1804"/>
      <c r="HS310" s="1804"/>
      <c r="HT310" s="1804"/>
      <c r="HU310" s="1804"/>
      <c r="HV310" s="1804"/>
      <c r="HW310" s="1804"/>
      <c r="HX310" s="1804"/>
      <c r="HY310" s="1804"/>
      <c r="HZ310" s="1804"/>
      <c r="IA310" s="1804"/>
      <c r="IB310" s="1804"/>
      <c r="IC310" s="1804"/>
      <c r="ID310" s="1804"/>
      <c r="IE310" s="1804"/>
      <c r="IF310" s="1804"/>
      <c r="IG310" s="1804"/>
      <c r="IH310" s="1804"/>
      <c r="II310" s="1804"/>
      <c r="IJ310" s="1804"/>
      <c r="IK310" s="1804"/>
      <c r="IL310" s="1804"/>
      <c r="IM310" s="1804"/>
      <c r="IN310" s="1804"/>
      <c r="IO310" s="1804"/>
      <c r="IP310" s="1804"/>
      <c r="IQ310" s="1804"/>
      <c r="IR310" s="1804"/>
      <c r="IS310" s="1804"/>
      <c r="IT310" s="1804"/>
      <c r="IU310" s="1804"/>
      <c r="IV310" s="1804"/>
      <c r="IW310" s="1804"/>
    </row>
    <row r="311" spans="3:257" s="888" customFormat="1" x14ac:dyDescent="0.45">
      <c r="C311" s="67" t="s">
        <v>532</v>
      </c>
      <c r="D311" s="68" t="s">
        <v>634</v>
      </c>
      <c r="E311" s="69"/>
      <c r="F311" s="2066">
        <v>0</v>
      </c>
      <c r="G311" s="118">
        <v>0</v>
      </c>
      <c r="H311" s="2062"/>
      <c r="I311" s="2062"/>
      <c r="J311" s="119">
        <v>0</v>
      </c>
      <c r="K311" s="120">
        <v>0</v>
      </c>
      <c r="L311" s="120"/>
      <c r="M311" s="2069"/>
      <c r="N311" s="2072">
        <f t="shared" si="52"/>
        <v>0</v>
      </c>
      <c r="O311" s="2073">
        <f t="shared" si="53"/>
        <v>0</v>
      </c>
      <c r="P311" s="1838"/>
      <c r="Q311" s="1838"/>
      <c r="R311" s="1804"/>
      <c r="S311" s="1804"/>
      <c r="T311" s="1804"/>
      <c r="U311" s="1804"/>
      <c r="V311" s="1804"/>
      <c r="W311" s="1804"/>
      <c r="X311" s="1804"/>
      <c r="Y311" s="1804"/>
      <c r="Z311" s="1804"/>
      <c r="AA311" s="1804"/>
      <c r="AB311" s="1804"/>
      <c r="AC311" s="1804"/>
      <c r="AD311" s="1804"/>
      <c r="AE311" s="1804"/>
      <c r="AF311" s="1804"/>
      <c r="AG311" s="1804"/>
      <c r="AH311" s="1804"/>
      <c r="AI311" s="1804"/>
      <c r="AJ311" s="1804"/>
      <c r="AK311" s="1804"/>
      <c r="AL311" s="1804"/>
      <c r="AM311" s="1804"/>
      <c r="AN311" s="1804"/>
      <c r="AO311" s="1804"/>
      <c r="AP311" s="1804"/>
      <c r="AQ311" s="1804"/>
      <c r="AR311" s="1804"/>
      <c r="AS311" s="1804"/>
      <c r="AT311" s="1804"/>
      <c r="AU311" s="1804"/>
      <c r="AV311" s="1804"/>
      <c r="AW311" s="1804"/>
      <c r="AX311" s="1804"/>
      <c r="AY311" s="1804"/>
      <c r="AZ311" s="1804"/>
      <c r="BA311" s="1804"/>
      <c r="BB311" s="1804"/>
      <c r="BC311" s="1804"/>
      <c r="BD311" s="1804"/>
      <c r="BE311" s="1804"/>
      <c r="BF311" s="1804"/>
      <c r="BG311" s="1804"/>
      <c r="BH311" s="1804"/>
      <c r="BI311" s="1804"/>
      <c r="BJ311" s="1804"/>
      <c r="BK311" s="1804"/>
      <c r="BL311" s="1804"/>
      <c r="BM311" s="1804"/>
      <c r="BN311" s="1804"/>
      <c r="BO311" s="1804"/>
      <c r="BP311" s="1804"/>
      <c r="BQ311" s="1804"/>
      <c r="BR311" s="1804"/>
      <c r="BS311" s="1804"/>
      <c r="BT311" s="1804"/>
      <c r="BU311" s="1804"/>
      <c r="BV311" s="1804"/>
      <c r="BW311" s="1804"/>
      <c r="BX311" s="1804"/>
      <c r="BY311" s="1804"/>
      <c r="BZ311" s="1804"/>
      <c r="CA311" s="1804"/>
      <c r="CB311" s="1804"/>
      <c r="CC311" s="1804"/>
      <c r="CD311" s="1804"/>
      <c r="CE311" s="1804"/>
      <c r="CF311" s="1804"/>
      <c r="CG311" s="1804"/>
      <c r="CH311" s="1804"/>
      <c r="CI311" s="1804"/>
      <c r="CJ311" s="1804"/>
      <c r="CK311" s="1804"/>
      <c r="CL311" s="1804"/>
      <c r="CM311" s="1804"/>
      <c r="CN311" s="1804"/>
      <c r="CO311" s="1804"/>
      <c r="CP311" s="1804"/>
      <c r="CQ311" s="1804"/>
      <c r="CR311" s="1804"/>
      <c r="CS311" s="1804"/>
      <c r="CT311" s="1804"/>
      <c r="CU311" s="1804"/>
      <c r="CV311" s="1804"/>
      <c r="CW311" s="1804"/>
      <c r="CX311" s="1804"/>
      <c r="CY311" s="1804"/>
      <c r="CZ311" s="1804"/>
      <c r="DA311" s="1804"/>
      <c r="DB311" s="1804"/>
      <c r="DC311" s="1804"/>
      <c r="DD311" s="1804"/>
      <c r="DE311" s="1804"/>
      <c r="DF311" s="1804"/>
      <c r="DG311" s="1804"/>
      <c r="DH311" s="1804"/>
      <c r="DI311" s="1804"/>
      <c r="DJ311" s="1804"/>
      <c r="DK311" s="1804"/>
      <c r="DL311" s="1804"/>
      <c r="DM311" s="1804"/>
      <c r="DN311" s="1804"/>
      <c r="DO311" s="1804"/>
      <c r="DP311" s="1804"/>
      <c r="DQ311" s="1804"/>
      <c r="DR311" s="1804"/>
      <c r="DS311" s="1804"/>
      <c r="DT311" s="1804"/>
      <c r="DU311" s="1804"/>
      <c r="DV311" s="1804"/>
      <c r="DW311" s="1804"/>
      <c r="DX311" s="1804"/>
      <c r="DY311" s="1804"/>
      <c r="DZ311" s="1804"/>
      <c r="EA311" s="1804"/>
      <c r="EB311" s="1804"/>
      <c r="EC311" s="1804"/>
      <c r="ED311" s="1804"/>
      <c r="EE311" s="1804"/>
      <c r="EF311" s="1804"/>
      <c r="EG311" s="1804"/>
      <c r="EH311" s="1804"/>
      <c r="EI311" s="1804"/>
      <c r="EJ311" s="1804"/>
      <c r="EK311" s="1804"/>
      <c r="EL311" s="1804"/>
      <c r="EM311" s="1804"/>
      <c r="EN311" s="1804"/>
      <c r="EO311" s="1804"/>
      <c r="EP311" s="1804"/>
      <c r="EQ311" s="1804"/>
      <c r="ER311" s="1804"/>
      <c r="ES311" s="1804"/>
      <c r="ET311" s="1804"/>
      <c r="EU311" s="1804"/>
      <c r="EV311" s="1804"/>
      <c r="EW311" s="1804"/>
      <c r="EX311" s="1804"/>
      <c r="EY311" s="1804"/>
      <c r="EZ311" s="1804"/>
      <c r="FA311" s="1804"/>
      <c r="FB311" s="1804"/>
      <c r="FC311" s="1804"/>
      <c r="FD311" s="1804"/>
      <c r="FE311" s="1804"/>
      <c r="FF311" s="1804"/>
      <c r="FG311" s="1804"/>
      <c r="FH311" s="1804"/>
      <c r="FI311" s="1804"/>
      <c r="FJ311" s="1804"/>
      <c r="FK311" s="1804"/>
      <c r="FL311" s="1804"/>
      <c r="FM311" s="1804"/>
      <c r="FN311" s="1804"/>
      <c r="FO311" s="1804"/>
      <c r="FP311" s="1804"/>
      <c r="FQ311" s="1804"/>
      <c r="FR311" s="1804"/>
      <c r="FS311" s="1804"/>
      <c r="FT311" s="1804"/>
      <c r="FU311" s="1804"/>
      <c r="FV311" s="1804"/>
      <c r="FW311" s="1804"/>
      <c r="FX311" s="1804"/>
      <c r="FY311" s="1804"/>
      <c r="FZ311" s="1804"/>
      <c r="GA311" s="1804"/>
      <c r="GB311" s="1804"/>
      <c r="GC311" s="1804"/>
      <c r="GD311" s="1804"/>
      <c r="GE311" s="1804"/>
      <c r="GF311" s="1804"/>
      <c r="GG311" s="1804"/>
      <c r="GH311" s="1804"/>
      <c r="GI311" s="1804"/>
      <c r="GJ311" s="1804"/>
      <c r="GK311" s="1804"/>
      <c r="GL311" s="1804"/>
      <c r="GM311" s="1804"/>
      <c r="GN311" s="1804"/>
      <c r="GO311" s="1804"/>
      <c r="GP311" s="1804"/>
      <c r="GQ311" s="1804"/>
      <c r="GR311" s="1804"/>
      <c r="GS311" s="1804"/>
      <c r="GT311" s="1804"/>
      <c r="GU311" s="1804"/>
      <c r="GV311" s="1804"/>
      <c r="GW311" s="1804"/>
      <c r="GX311" s="1804"/>
      <c r="GY311" s="1804"/>
      <c r="GZ311" s="1804"/>
      <c r="HA311" s="1804"/>
      <c r="HB311" s="1804"/>
      <c r="HC311" s="1804"/>
      <c r="HD311" s="1804"/>
      <c r="HE311" s="1804"/>
      <c r="HF311" s="1804"/>
      <c r="HG311" s="1804"/>
      <c r="HH311" s="1804"/>
      <c r="HI311" s="1804"/>
      <c r="HJ311" s="1804"/>
      <c r="HK311" s="1804"/>
      <c r="HL311" s="1804"/>
      <c r="HM311" s="1804"/>
      <c r="HN311" s="1804"/>
      <c r="HO311" s="1804"/>
      <c r="HP311" s="1804"/>
      <c r="HQ311" s="1804"/>
      <c r="HR311" s="1804"/>
      <c r="HS311" s="1804"/>
      <c r="HT311" s="1804"/>
      <c r="HU311" s="1804"/>
      <c r="HV311" s="1804"/>
      <c r="HW311" s="1804"/>
      <c r="HX311" s="1804"/>
      <c r="HY311" s="1804"/>
      <c r="HZ311" s="1804"/>
      <c r="IA311" s="1804"/>
      <c r="IB311" s="1804"/>
      <c r="IC311" s="1804"/>
      <c r="ID311" s="1804"/>
      <c r="IE311" s="1804"/>
      <c r="IF311" s="1804"/>
      <c r="IG311" s="1804"/>
      <c r="IH311" s="1804"/>
      <c r="II311" s="1804"/>
      <c r="IJ311" s="1804"/>
      <c r="IK311" s="1804"/>
      <c r="IL311" s="1804"/>
      <c r="IM311" s="1804"/>
      <c r="IN311" s="1804"/>
      <c r="IO311" s="1804"/>
      <c r="IP311" s="1804"/>
      <c r="IQ311" s="1804"/>
      <c r="IR311" s="1804"/>
      <c r="IS311" s="1804"/>
      <c r="IT311" s="1804"/>
      <c r="IU311" s="1804"/>
      <c r="IV311" s="1804"/>
      <c r="IW311" s="1804"/>
    </row>
    <row r="312" spans="3:257" s="888" customFormat="1" x14ac:dyDescent="0.45">
      <c r="C312" s="67" t="s">
        <v>533</v>
      </c>
      <c r="D312" s="68" t="s">
        <v>635</v>
      </c>
      <c r="E312" s="69"/>
      <c r="F312" s="2066">
        <v>0</v>
      </c>
      <c r="G312" s="118">
        <v>0</v>
      </c>
      <c r="H312" s="2062"/>
      <c r="I312" s="2062"/>
      <c r="J312" s="119">
        <v>0</v>
      </c>
      <c r="K312" s="120">
        <v>0</v>
      </c>
      <c r="L312" s="120"/>
      <c r="M312" s="2069"/>
      <c r="N312" s="2072">
        <f t="shared" si="52"/>
        <v>0</v>
      </c>
      <c r="O312" s="2073">
        <f t="shared" si="53"/>
        <v>0</v>
      </c>
      <c r="P312" s="1838"/>
      <c r="Q312" s="1838"/>
      <c r="R312" s="1804"/>
      <c r="S312" s="1804"/>
      <c r="T312" s="1804"/>
      <c r="U312" s="1804"/>
      <c r="V312" s="1804"/>
      <c r="W312" s="1804"/>
      <c r="X312" s="1804"/>
      <c r="Y312" s="1804"/>
      <c r="Z312" s="1804"/>
      <c r="AA312" s="1804"/>
      <c r="AB312" s="1804"/>
      <c r="AC312" s="1804"/>
      <c r="AD312" s="1804"/>
      <c r="AE312" s="1804"/>
      <c r="AF312" s="1804"/>
      <c r="AG312" s="1804"/>
      <c r="AH312" s="1804"/>
      <c r="AI312" s="1804"/>
      <c r="AJ312" s="1804"/>
      <c r="AK312" s="1804"/>
      <c r="AL312" s="1804"/>
      <c r="AM312" s="1804"/>
      <c r="AN312" s="1804"/>
      <c r="AO312" s="1804"/>
      <c r="AP312" s="1804"/>
      <c r="AQ312" s="1804"/>
      <c r="AR312" s="1804"/>
      <c r="AS312" s="1804"/>
      <c r="AT312" s="1804"/>
      <c r="AU312" s="1804"/>
      <c r="AV312" s="1804"/>
      <c r="AW312" s="1804"/>
      <c r="AX312" s="1804"/>
      <c r="AY312" s="1804"/>
      <c r="AZ312" s="1804"/>
      <c r="BA312" s="1804"/>
      <c r="BB312" s="1804"/>
      <c r="BC312" s="1804"/>
      <c r="BD312" s="1804"/>
      <c r="BE312" s="1804"/>
      <c r="BF312" s="1804"/>
      <c r="BG312" s="1804"/>
      <c r="BH312" s="1804"/>
      <c r="BI312" s="1804"/>
      <c r="BJ312" s="1804"/>
      <c r="BK312" s="1804"/>
      <c r="BL312" s="1804"/>
      <c r="BM312" s="1804"/>
      <c r="BN312" s="1804"/>
      <c r="BO312" s="1804"/>
      <c r="BP312" s="1804"/>
      <c r="BQ312" s="1804"/>
      <c r="BR312" s="1804"/>
      <c r="BS312" s="1804"/>
      <c r="BT312" s="1804"/>
      <c r="BU312" s="1804"/>
      <c r="BV312" s="1804"/>
      <c r="BW312" s="1804"/>
      <c r="BX312" s="1804"/>
      <c r="BY312" s="1804"/>
      <c r="BZ312" s="1804"/>
      <c r="CA312" s="1804"/>
      <c r="CB312" s="1804"/>
      <c r="CC312" s="1804"/>
      <c r="CD312" s="1804"/>
      <c r="CE312" s="1804"/>
      <c r="CF312" s="1804"/>
      <c r="CG312" s="1804"/>
      <c r="CH312" s="1804"/>
      <c r="CI312" s="1804"/>
      <c r="CJ312" s="1804"/>
      <c r="CK312" s="1804"/>
      <c r="CL312" s="1804"/>
      <c r="CM312" s="1804"/>
      <c r="CN312" s="1804"/>
      <c r="CO312" s="1804"/>
      <c r="CP312" s="1804"/>
      <c r="CQ312" s="1804"/>
      <c r="CR312" s="1804"/>
      <c r="CS312" s="1804"/>
      <c r="CT312" s="1804"/>
      <c r="CU312" s="1804"/>
      <c r="CV312" s="1804"/>
      <c r="CW312" s="1804"/>
      <c r="CX312" s="1804"/>
      <c r="CY312" s="1804"/>
      <c r="CZ312" s="1804"/>
      <c r="DA312" s="1804"/>
      <c r="DB312" s="1804"/>
      <c r="DC312" s="1804"/>
      <c r="DD312" s="1804"/>
      <c r="DE312" s="1804"/>
      <c r="DF312" s="1804"/>
      <c r="DG312" s="1804"/>
      <c r="DH312" s="1804"/>
      <c r="DI312" s="1804"/>
      <c r="DJ312" s="1804"/>
      <c r="DK312" s="1804"/>
      <c r="DL312" s="1804"/>
      <c r="DM312" s="1804"/>
      <c r="DN312" s="1804"/>
      <c r="DO312" s="1804"/>
      <c r="DP312" s="1804"/>
      <c r="DQ312" s="1804"/>
      <c r="DR312" s="1804"/>
      <c r="DS312" s="1804"/>
      <c r="DT312" s="1804"/>
      <c r="DU312" s="1804"/>
      <c r="DV312" s="1804"/>
      <c r="DW312" s="1804"/>
      <c r="DX312" s="1804"/>
      <c r="DY312" s="1804"/>
      <c r="DZ312" s="1804"/>
      <c r="EA312" s="1804"/>
      <c r="EB312" s="1804"/>
      <c r="EC312" s="1804"/>
      <c r="ED312" s="1804"/>
      <c r="EE312" s="1804"/>
      <c r="EF312" s="1804"/>
      <c r="EG312" s="1804"/>
      <c r="EH312" s="1804"/>
      <c r="EI312" s="1804"/>
      <c r="EJ312" s="1804"/>
      <c r="EK312" s="1804"/>
      <c r="EL312" s="1804"/>
      <c r="EM312" s="1804"/>
      <c r="EN312" s="1804"/>
      <c r="EO312" s="1804"/>
      <c r="EP312" s="1804"/>
      <c r="EQ312" s="1804"/>
      <c r="ER312" s="1804"/>
      <c r="ES312" s="1804"/>
      <c r="ET312" s="1804"/>
      <c r="EU312" s="1804"/>
      <c r="EV312" s="1804"/>
      <c r="EW312" s="1804"/>
      <c r="EX312" s="1804"/>
      <c r="EY312" s="1804"/>
      <c r="EZ312" s="1804"/>
      <c r="FA312" s="1804"/>
      <c r="FB312" s="1804"/>
      <c r="FC312" s="1804"/>
      <c r="FD312" s="1804"/>
      <c r="FE312" s="1804"/>
      <c r="FF312" s="1804"/>
      <c r="FG312" s="1804"/>
      <c r="FH312" s="1804"/>
      <c r="FI312" s="1804"/>
      <c r="FJ312" s="1804"/>
      <c r="FK312" s="1804"/>
      <c r="FL312" s="1804"/>
      <c r="FM312" s="1804"/>
      <c r="FN312" s="1804"/>
      <c r="FO312" s="1804"/>
      <c r="FP312" s="1804"/>
      <c r="FQ312" s="1804"/>
      <c r="FR312" s="1804"/>
      <c r="FS312" s="1804"/>
      <c r="FT312" s="1804"/>
      <c r="FU312" s="1804"/>
      <c r="FV312" s="1804"/>
      <c r="FW312" s="1804"/>
      <c r="FX312" s="1804"/>
      <c r="FY312" s="1804"/>
      <c r="FZ312" s="1804"/>
      <c r="GA312" s="1804"/>
      <c r="GB312" s="1804"/>
      <c r="GC312" s="1804"/>
      <c r="GD312" s="1804"/>
      <c r="GE312" s="1804"/>
      <c r="GF312" s="1804"/>
      <c r="GG312" s="1804"/>
      <c r="GH312" s="1804"/>
      <c r="GI312" s="1804"/>
      <c r="GJ312" s="1804"/>
      <c r="GK312" s="1804"/>
      <c r="GL312" s="1804"/>
      <c r="GM312" s="1804"/>
      <c r="GN312" s="1804"/>
      <c r="GO312" s="1804"/>
      <c r="GP312" s="1804"/>
      <c r="GQ312" s="1804"/>
      <c r="GR312" s="1804"/>
      <c r="GS312" s="1804"/>
      <c r="GT312" s="1804"/>
      <c r="GU312" s="1804"/>
      <c r="GV312" s="1804"/>
      <c r="GW312" s="1804"/>
      <c r="GX312" s="1804"/>
      <c r="GY312" s="1804"/>
      <c r="GZ312" s="1804"/>
      <c r="HA312" s="1804"/>
      <c r="HB312" s="1804"/>
      <c r="HC312" s="1804"/>
      <c r="HD312" s="1804"/>
      <c r="HE312" s="1804"/>
      <c r="HF312" s="1804"/>
      <c r="HG312" s="1804"/>
      <c r="HH312" s="1804"/>
      <c r="HI312" s="1804"/>
      <c r="HJ312" s="1804"/>
      <c r="HK312" s="1804"/>
      <c r="HL312" s="1804"/>
      <c r="HM312" s="1804"/>
      <c r="HN312" s="1804"/>
      <c r="HO312" s="1804"/>
      <c r="HP312" s="1804"/>
      <c r="HQ312" s="1804"/>
      <c r="HR312" s="1804"/>
      <c r="HS312" s="1804"/>
      <c r="HT312" s="1804"/>
      <c r="HU312" s="1804"/>
      <c r="HV312" s="1804"/>
      <c r="HW312" s="1804"/>
      <c r="HX312" s="1804"/>
      <c r="HY312" s="1804"/>
      <c r="HZ312" s="1804"/>
      <c r="IA312" s="1804"/>
      <c r="IB312" s="1804"/>
      <c r="IC312" s="1804"/>
      <c r="ID312" s="1804"/>
      <c r="IE312" s="1804"/>
      <c r="IF312" s="1804"/>
      <c r="IG312" s="1804"/>
      <c r="IH312" s="1804"/>
      <c r="II312" s="1804"/>
      <c r="IJ312" s="1804"/>
      <c r="IK312" s="1804"/>
      <c r="IL312" s="1804"/>
      <c r="IM312" s="1804"/>
      <c r="IN312" s="1804"/>
      <c r="IO312" s="1804"/>
      <c r="IP312" s="1804"/>
      <c r="IQ312" s="1804"/>
      <c r="IR312" s="1804"/>
      <c r="IS312" s="1804"/>
      <c r="IT312" s="1804"/>
      <c r="IU312" s="1804"/>
      <c r="IV312" s="1804"/>
      <c r="IW312" s="1804"/>
    </row>
    <row r="313" spans="3:257" s="888" customFormat="1" x14ac:dyDescent="0.45">
      <c r="C313" s="67" t="s">
        <v>534</v>
      </c>
      <c r="D313" s="68" t="s">
        <v>636</v>
      </c>
      <c r="E313" s="69"/>
      <c r="F313" s="2066">
        <v>682796.425474355</v>
      </c>
      <c r="G313" s="118">
        <v>400.80150175344642</v>
      </c>
      <c r="H313" s="2062">
        <v>1.2623697105866671E-2</v>
      </c>
      <c r="I313" s="2062">
        <v>2.0040075087672322E-2</v>
      </c>
      <c r="J313" s="119">
        <v>8210892.2596014123</v>
      </c>
      <c r="K313" s="120">
        <v>4819.7937563860296</v>
      </c>
      <c r="L313" s="120">
        <v>0.23983093396391517</v>
      </c>
      <c r="M313" s="2069">
        <v>0.24098968781930144</v>
      </c>
      <c r="N313" s="2072">
        <f t="shared" si="52"/>
        <v>8893688.6850757673</v>
      </c>
      <c r="O313" s="2073">
        <f t="shared" si="53"/>
        <v>5221.1087425334526</v>
      </c>
      <c r="P313" s="1838"/>
      <c r="Q313" s="1838"/>
      <c r="R313" s="1804"/>
      <c r="S313" s="1804"/>
      <c r="T313" s="1804"/>
      <c r="U313" s="1804"/>
      <c r="V313" s="1804"/>
      <c r="W313" s="1804"/>
      <c r="X313" s="1804"/>
      <c r="Y313" s="1804"/>
      <c r="Z313" s="1804"/>
      <c r="AA313" s="1804"/>
      <c r="AB313" s="1804"/>
      <c r="AC313" s="1804"/>
      <c r="AD313" s="1804"/>
      <c r="AE313" s="1804"/>
      <c r="AF313" s="1804"/>
      <c r="AG313" s="1804"/>
      <c r="AH313" s="1804"/>
      <c r="AI313" s="1804"/>
      <c r="AJ313" s="1804"/>
      <c r="AK313" s="1804"/>
      <c r="AL313" s="1804"/>
      <c r="AM313" s="1804"/>
      <c r="AN313" s="1804"/>
      <c r="AO313" s="1804"/>
      <c r="AP313" s="1804"/>
      <c r="AQ313" s="1804"/>
      <c r="AR313" s="1804"/>
      <c r="AS313" s="1804"/>
      <c r="AT313" s="1804"/>
      <c r="AU313" s="1804"/>
      <c r="AV313" s="1804"/>
      <c r="AW313" s="1804"/>
      <c r="AX313" s="1804"/>
      <c r="AY313" s="1804"/>
      <c r="AZ313" s="1804"/>
      <c r="BA313" s="1804"/>
      <c r="BB313" s="1804"/>
      <c r="BC313" s="1804"/>
      <c r="BD313" s="1804"/>
      <c r="BE313" s="1804"/>
      <c r="BF313" s="1804"/>
      <c r="BG313" s="1804"/>
      <c r="BH313" s="1804"/>
      <c r="BI313" s="1804"/>
      <c r="BJ313" s="1804"/>
      <c r="BK313" s="1804"/>
      <c r="BL313" s="1804"/>
      <c r="BM313" s="1804"/>
      <c r="BN313" s="1804"/>
      <c r="BO313" s="1804"/>
      <c r="BP313" s="1804"/>
      <c r="BQ313" s="1804"/>
      <c r="BR313" s="1804"/>
      <c r="BS313" s="1804"/>
      <c r="BT313" s="1804"/>
      <c r="BU313" s="1804"/>
      <c r="BV313" s="1804"/>
      <c r="BW313" s="1804"/>
      <c r="BX313" s="1804"/>
      <c r="BY313" s="1804"/>
      <c r="BZ313" s="1804"/>
      <c r="CA313" s="1804"/>
      <c r="CB313" s="1804"/>
      <c r="CC313" s="1804"/>
      <c r="CD313" s="1804"/>
      <c r="CE313" s="1804"/>
      <c r="CF313" s="1804"/>
      <c r="CG313" s="1804"/>
      <c r="CH313" s="1804"/>
      <c r="CI313" s="1804"/>
      <c r="CJ313" s="1804"/>
      <c r="CK313" s="1804"/>
      <c r="CL313" s="1804"/>
      <c r="CM313" s="1804"/>
      <c r="CN313" s="1804"/>
      <c r="CO313" s="1804"/>
      <c r="CP313" s="1804"/>
      <c r="CQ313" s="1804"/>
      <c r="CR313" s="1804"/>
      <c r="CS313" s="1804"/>
      <c r="CT313" s="1804"/>
      <c r="CU313" s="1804"/>
      <c r="CV313" s="1804"/>
      <c r="CW313" s="1804"/>
      <c r="CX313" s="1804"/>
      <c r="CY313" s="1804"/>
      <c r="CZ313" s="1804"/>
      <c r="DA313" s="1804"/>
      <c r="DB313" s="1804"/>
      <c r="DC313" s="1804"/>
      <c r="DD313" s="1804"/>
      <c r="DE313" s="1804"/>
      <c r="DF313" s="1804"/>
      <c r="DG313" s="1804"/>
      <c r="DH313" s="1804"/>
      <c r="DI313" s="1804"/>
      <c r="DJ313" s="1804"/>
      <c r="DK313" s="1804"/>
      <c r="DL313" s="1804"/>
      <c r="DM313" s="1804"/>
      <c r="DN313" s="1804"/>
      <c r="DO313" s="1804"/>
      <c r="DP313" s="1804"/>
      <c r="DQ313" s="1804"/>
      <c r="DR313" s="1804"/>
      <c r="DS313" s="1804"/>
      <c r="DT313" s="1804"/>
      <c r="DU313" s="1804"/>
      <c r="DV313" s="1804"/>
      <c r="DW313" s="1804"/>
      <c r="DX313" s="1804"/>
      <c r="DY313" s="1804"/>
      <c r="DZ313" s="1804"/>
      <c r="EA313" s="1804"/>
      <c r="EB313" s="1804"/>
      <c r="EC313" s="1804"/>
      <c r="ED313" s="1804"/>
      <c r="EE313" s="1804"/>
      <c r="EF313" s="1804"/>
      <c r="EG313" s="1804"/>
      <c r="EH313" s="1804"/>
      <c r="EI313" s="1804"/>
      <c r="EJ313" s="1804"/>
      <c r="EK313" s="1804"/>
      <c r="EL313" s="1804"/>
      <c r="EM313" s="1804"/>
      <c r="EN313" s="1804"/>
      <c r="EO313" s="1804"/>
      <c r="EP313" s="1804"/>
      <c r="EQ313" s="1804"/>
      <c r="ER313" s="1804"/>
      <c r="ES313" s="1804"/>
      <c r="ET313" s="1804"/>
      <c r="EU313" s="1804"/>
      <c r="EV313" s="1804"/>
      <c r="EW313" s="1804"/>
      <c r="EX313" s="1804"/>
      <c r="EY313" s="1804"/>
      <c r="EZ313" s="1804"/>
      <c r="FA313" s="1804"/>
      <c r="FB313" s="1804"/>
      <c r="FC313" s="1804"/>
      <c r="FD313" s="1804"/>
      <c r="FE313" s="1804"/>
      <c r="FF313" s="1804"/>
      <c r="FG313" s="1804"/>
      <c r="FH313" s="1804"/>
      <c r="FI313" s="1804"/>
      <c r="FJ313" s="1804"/>
      <c r="FK313" s="1804"/>
      <c r="FL313" s="1804"/>
      <c r="FM313" s="1804"/>
      <c r="FN313" s="1804"/>
      <c r="FO313" s="1804"/>
      <c r="FP313" s="1804"/>
      <c r="FQ313" s="1804"/>
      <c r="FR313" s="1804"/>
      <c r="FS313" s="1804"/>
      <c r="FT313" s="1804"/>
      <c r="FU313" s="1804"/>
      <c r="FV313" s="1804"/>
      <c r="FW313" s="1804"/>
      <c r="FX313" s="1804"/>
      <c r="FY313" s="1804"/>
      <c r="FZ313" s="1804"/>
      <c r="GA313" s="1804"/>
      <c r="GB313" s="1804"/>
      <c r="GC313" s="1804"/>
      <c r="GD313" s="1804"/>
      <c r="GE313" s="1804"/>
      <c r="GF313" s="1804"/>
      <c r="GG313" s="1804"/>
      <c r="GH313" s="1804"/>
      <c r="GI313" s="1804"/>
      <c r="GJ313" s="1804"/>
      <c r="GK313" s="1804"/>
      <c r="GL313" s="1804"/>
      <c r="GM313" s="1804"/>
      <c r="GN313" s="1804"/>
      <c r="GO313" s="1804"/>
      <c r="GP313" s="1804"/>
      <c r="GQ313" s="1804"/>
      <c r="GR313" s="1804"/>
      <c r="GS313" s="1804"/>
      <c r="GT313" s="1804"/>
      <c r="GU313" s="1804"/>
      <c r="GV313" s="1804"/>
      <c r="GW313" s="1804"/>
      <c r="GX313" s="1804"/>
      <c r="GY313" s="1804"/>
      <c r="GZ313" s="1804"/>
      <c r="HA313" s="1804"/>
      <c r="HB313" s="1804"/>
      <c r="HC313" s="1804"/>
      <c r="HD313" s="1804"/>
      <c r="HE313" s="1804"/>
      <c r="HF313" s="1804"/>
      <c r="HG313" s="1804"/>
      <c r="HH313" s="1804"/>
      <c r="HI313" s="1804"/>
      <c r="HJ313" s="1804"/>
      <c r="HK313" s="1804"/>
      <c r="HL313" s="1804"/>
      <c r="HM313" s="1804"/>
      <c r="HN313" s="1804"/>
      <c r="HO313" s="1804"/>
      <c r="HP313" s="1804"/>
      <c r="HQ313" s="1804"/>
      <c r="HR313" s="1804"/>
      <c r="HS313" s="1804"/>
      <c r="HT313" s="1804"/>
      <c r="HU313" s="1804"/>
      <c r="HV313" s="1804"/>
      <c r="HW313" s="1804"/>
      <c r="HX313" s="1804"/>
      <c r="HY313" s="1804"/>
      <c r="HZ313" s="1804"/>
      <c r="IA313" s="1804"/>
      <c r="IB313" s="1804"/>
      <c r="IC313" s="1804"/>
      <c r="ID313" s="1804"/>
      <c r="IE313" s="1804"/>
      <c r="IF313" s="1804"/>
      <c r="IG313" s="1804"/>
      <c r="IH313" s="1804"/>
      <c r="II313" s="1804"/>
      <c r="IJ313" s="1804"/>
      <c r="IK313" s="1804"/>
      <c r="IL313" s="1804"/>
      <c r="IM313" s="1804"/>
      <c r="IN313" s="1804"/>
      <c r="IO313" s="1804"/>
      <c r="IP313" s="1804"/>
      <c r="IQ313" s="1804"/>
      <c r="IR313" s="1804"/>
      <c r="IS313" s="1804"/>
      <c r="IT313" s="1804"/>
      <c r="IU313" s="1804"/>
      <c r="IV313" s="1804"/>
      <c r="IW313" s="1804"/>
    </row>
    <row r="314" spans="3:257" s="888" customFormat="1" x14ac:dyDescent="0.45">
      <c r="C314" s="67" t="s">
        <v>535</v>
      </c>
      <c r="D314" s="68" t="s">
        <v>637</v>
      </c>
      <c r="E314" s="69"/>
      <c r="F314" s="2066">
        <v>0</v>
      </c>
      <c r="G314" s="118">
        <v>0</v>
      </c>
      <c r="H314" s="2062"/>
      <c r="I314" s="2062"/>
      <c r="J314" s="119">
        <v>0</v>
      </c>
      <c r="K314" s="120">
        <v>0</v>
      </c>
      <c r="L314" s="120"/>
      <c r="M314" s="2069"/>
      <c r="N314" s="2072">
        <f t="shared" si="52"/>
        <v>0</v>
      </c>
      <c r="O314" s="2073">
        <f t="shared" si="53"/>
        <v>0</v>
      </c>
      <c r="P314" s="1838"/>
      <c r="Q314" s="1838"/>
      <c r="R314" s="1804"/>
      <c r="S314" s="1804"/>
      <c r="T314" s="1804"/>
      <c r="U314" s="1804"/>
      <c r="V314" s="1804"/>
      <c r="W314" s="1804"/>
      <c r="X314" s="1804"/>
      <c r="Y314" s="1804"/>
      <c r="Z314" s="1804"/>
      <c r="AA314" s="1804"/>
      <c r="AB314" s="1804"/>
      <c r="AC314" s="1804"/>
      <c r="AD314" s="1804"/>
      <c r="AE314" s="1804"/>
      <c r="AF314" s="1804"/>
      <c r="AG314" s="1804"/>
      <c r="AH314" s="1804"/>
      <c r="AI314" s="1804"/>
      <c r="AJ314" s="1804"/>
      <c r="AK314" s="1804"/>
      <c r="AL314" s="1804"/>
      <c r="AM314" s="1804"/>
      <c r="AN314" s="1804"/>
      <c r="AO314" s="1804"/>
      <c r="AP314" s="1804"/>
      <c r="AQ314" s="1804"/>
      <c r="AR314" s="1804"/>
      <c r="AS314" s="1804"/>
      <c r="AT314" s="1804"/>
      <c r="AU314" s="1804"/>
      <c r="AV314" s="1804"/>
      <c r="AW314" s="1804"/>
      <c r="AX314" s="1804"/>
      <c r="AY314" s="1804"/>
      <c r="AZ314" s="1804"/>
      <c r="BA314" s="1804"/>
      <c r="BB314" s="1804"/>
      <c r="BC314" s="1804"/>
      <c r="BD314" s="1804"/>
      <c r="BE314" s="1804"/>
      <c r="BF314" s="1804"/>
      <c r="BG314" s="1804"/>
      <c r="BH314" s="1804"/>
      <c r="BI314" s="1804"/>
      <c r="BJ314" s="1804"/>
      <c r="BK314" s="1804"/>
      <c r="BL314" s="1804"/>
      <c r="BM314" s="1804"/>
      <c r="BN314" s="1804"/>
      <c r="BO314" s="1804"/>
      <c r="BP314" s="1804"/>
      <c r="BQ314" s="1804"/>
      <c r="BR314" s="1804"/>
      <c r="BS314" s="1804"/>
      <c r="BT314" s="1804"/>
      <c r="BU314" s="1804"/>
      <c r="BV314" s="1804"/>
      <c r="BW314" s="1804"/>
      <c r="BX314" s="1804"/>
      <c r="BY314" s="1804"/>
      <c r="BZ314" s="1804"/>
      <c r="CA314" s="1804"/>
      <c r="CB314" s="1804"/>
      <c r="CC314" s="1804"/>
      <c r="CD314" s="1804"/>
      <c r="CE314" s="1804"/>
      <c r="CF314" s="1804"/>
      <c r="CG314" s="1804"/>
      <c r="CH314" s="1804"/>
      <c r="CI314" s="1804"/>
      <c r="CJ314" s="1804"/>
      <c r="CK314" s="1804"/>
      <c r="CL314" s="1804"/>
      <c r="CM314" s="1804"/>
      <c r="CN314" s="1804"/>
      <c r="CO314" s="1804"/>
      <c r="CP314" s="1804"/>
      <c r="CQ314" s="1804"/>
      <c r="CR314" s="1804"/>
      <c r="CS314" s="1804"/>
      <c r="CT314" s="1804"/>
      <c r="CU314" s="1804"/>
      <c r="CV314" s="1804"/>
      <c r="CW314" s="1804"/>
      <c r="CX314" s="1804"/>
      <c r="CY314" s="1804"/>
      <c r="CZ314" s="1804"/>
      <c r="DA314" s="1804"/>
      <c r="DB314" s="1804"/>
      <c r="DC314" s="1804"/>
      <c r="DD314" s="1804"/>
      <c r="DE314" s="1804"/>
      <c r="DF314" s="1804"/>
      <c r="DG314" s="1804"/>
      <c r="DH314" s="1804"/>
      <c r="DI314" s="1804"/>
      <c r="DJ314" s="1804"/>
      <c r="DK314" s="1804"/>
      <c r="DL314" s="1804"/>
      <c r="DM314" s="1804"/>
      <c r="DN314" s="1804"/>
      <c r="DO314" s="1804"/>
      <c r="DP314" s="1804"/>
      <c r="DQ314" s="1804"/>
      <c r="DR314" s="1804"/>
      <c r="DS314" s="1804"/>
      <c r="DT314" s="1804"/>
      <c r="DU314" s="1804"/>
      <c r="DV314" s="1804"/>
      <c r="DW314" s="1804"/>
      <c r="DX314" s="1804"/>
      <c r="DY314" s="1804"/>
      <c r="DZ314" s="1804"/>
      <c r="EA314" s="1804"/>
      <c r="EB314" s="1804"/>
      <c r="EC314" s="1804"/>
      <c r="ED314" s="1804"/>
      <c r="EE314" s="1804"/>
      <c r="EF314" s="1804"/>
      <c r="EG314" s="1804"/>
      <c r="EH314" s="1804"/>
      <c r="EI314" s="1804"/>
      <c r="EJ314" s="1804"/>
      <c r="EK314" s="1804"/>
      <c r="EL314" s="1804"/>
      <c r="EM314" s="1804"/>
      <c r="EN314" s="1804"/>
      <c r="EO314" s="1804"/>
      <c r="EP314" s="1804"/>
      <c r="EQ314" s="1804"/>
      <c r="ER314" s="1804"/>
      <c r="ES314" s="1804"/>
      <c r="ET314" s="1804"/>
      <c r="EU314" s="1804"/>
      <c r="EV314" s="1804"/>
      <c r="EW314" s="1804"/>
      <c r="EX314" s="1804"/>
      <c r="EY314" s="1804"/>
      <c r="EZ314" s="1804"/>
      <c r="FA314" s="1804"/>
      <c r="FB314" s="1804"/>
      <c r="FC314" s="1804"/>
      <c r="FD314" s="1804"/>
      <c r="FE314" s="1804"/>
      <c r="FF314" s="1804"/>
      <c r="FG314" s="1804"/>
      <c r="FH314" s="1804"/>
      <c r="FI314" s="1804"/>
      <c r="FJ314" s="1804"/>
      <c r="FK314" s="1804"/>
      <c r="FL314" s="1804"/>
      <c r="FM314" s="1804"/>
      <c r="FN314" s="1804"/>
      <c r="FO314" s="1804"/>
      <c r="FP314" s="1804"/>
      <c r="FQ314" s="1804"/>
      <c r="FR314" s="1804"/>
      <c r="FS314" s="1804"/>
      <c r="FT314" s="1804"/>
      <c r="FU314" s="1804"/>
      <c r="FV314" s="1804"/>
      <c r="FW314" s="1804"/>
      <c r="FX314" s="1804"/>
      <c r="FY314" s="1804"/>
      <c r="FZ314" s="1804"/>
      <c r="GA314" s="1804"/>
      <c r="GB314" s="1804"/>
      <c r="GC314" s="1804"/>
      <c r="GD314" s="1804"/>
      <c r="GE314" s="1804"/>
      <c r="GF314" s="1804"/>
      <c r="GG314" s="1804"/>
      <c r="GH314" s="1804"/>
      <c r="GI314" s="1804"/>
      <c r="GJ314" s="1804"/>
      <c r="GK314" s="1804"/>
      <c r="GL314" s="1804"/>
      <c r="GM314" s="1804"/>
      <c r="GN314" s="1804"/>
      <c r="GO314" s="1804"/>
      <c r="GP314" s="1804"/>
      <c r="GQ314" s="1804"/>
      <c r="GR314" s="1804"/>
      <c r="GS314" s="1804"/>
      <c r="GT314" s="1804"/>
      <c r="GU314" s="1804"/>
      <c r="GV314" s="1804"/>
      <c r="GW314" s="1804"/>
      <c r="GX314" s="1804"/>
      <c r="GY314" s="1804"/>
      <c r="GZ314" s="1804"/>
      <c r="HA314" s="1804"/>
      <c r="HB314" s="1804"/>
      <c r="HC314" s="1804"/>
      <c r="HD314" s="1804"/>
      <c r="HE314" s="1804"/>
      <c r="HF314" s="1804"/>
      <c r="HG314" s="1804"/>
      <c r="HH314" s="1804"/>
      <c r="HI314" s="1804"/>
      <c r="HJ314" s="1804"/>
      <c r="HK314" s="1804"/>
      <c r="HL314" s="1804"/>
      <c r="HM314" s="1804"/>
      <c r="HN314" s="1804"/>
      <c r="HO314" s="1804"/>
      <c r="HP314" s="1804"/>
      <c r="HQ314" s="1804"/>
      <c r="HR314" s="1804"/>
      <c r="HS314" s="1804"/>
      <c r="HT314" s="1804"/>
      <c r="HU314" s="1804"/>
      <c r="HV314" s="1804"/>
      <c r="HW314" s="1804"/>
      <c r="HX314" s="1804"/>
      <c r="HY314" s="1804"/>
      <c r="HZ314" s="1804"/>
      <c r="IA314" s="1804"/>
      <c r="IB314" s="1804"/>
      <c r="IC314" s="1804"/>
      <c r="ID314" s="1804"/>
      <c r="IE314" s="1804"/>
      <c r="IF314" s="1804"/>
      <c r="IG314" s="1804"/>
      <c r="IH314" s="1804"/>
      <c r="II314" s="1804"/>
      <c r="IJ314" s="1804"/>
      <c r="IK314" s="1804"/>
      <c r="IL314" s="1804"/>
      <c r="IM314" s="1804"/>
      <c r="IN314" s="1804"/>
      <c r="IO314" s="1804"/>
      <c r="IP314" s="1804"/>
      <c r="IQ314" s="1804"/>
      <c r="IR314" s="1804"/>
      <c r="IS314" s="1804"/>
      <c r="IT314" s="1804"/>
      <c r="IU314" s="1804"/>
      <c r="IV314" s="1804"/>
      <c r="IW314" s="1804"/>
    </row>
    <row r="315" spans="3:257" s="888" customFormat="1" x14ac:dyDescent="0.45">
      <c r="C315" s="67" t="s">
        <v>536</v>
      </c>
      <c r="D315" s="68" t="s">
        <v>638</v>
      </c>
      <c r="E315" s="69"/>
      <c r="F315" s="2066">
        <v>0</v>
      </c>
      <c r="G315" s="118">
        <v>0</v>
      </c>
      <c r="H315" s="2062"/>
      <c r="I315" s="2062"/>
      <c r="J315" s="119">
        <v>0</v>
      </c>
      <c r="K315" s="120">
        <v>0</v>
      </c>
      <c r="L315" s="120"/>
      <c r="M315" s="2069"/>
      <c r="N315" s="2072">
        <f t="shared" si="52"/>
        <v>0</v>
      </c>
      <c r="O315" s="2073">
        <f t="shared" si="53"/>
        <v>0</v>
      </c>
      <c r="P315" s="1838"/>
      <c r="Q315" s="1838"/>
      <c r="R315" s="1804"/>
      <c r="S315" s="1804"/>
      <c r="T315" s="1804"/>
      <c r="U315" s="1804"/>
      <c r="V315" s="1804"/>
      <c r="W315" s="1804"/>
      <c r="X315" s="1804"/>
      <c r="Y315" s="1804"/>
      <c r="Z315" s="1804"/>
      <c r="AA315" s="1804"/>
      <c r="AB315" s="1804"/>
      <c r="AC315" s="1804"/>
      <c r="AD315" s="1804"/>
      <c r="AE315" s="1804"/>
      <c r="AF315" s="1804"/>
      <c r="AG315" s="1804"/>
      <c r="AH315" s="1804"/>
      <c r="AI315" s="1804"/>
      <c r="AJ315" s="1804"/>
      <c r="AK315" s="1804"/>
      <c r="AL315" s="1804"/>
      <c r="AM315" s="1804"/>
      <c r="AN315" s="1804"/>
      <c r="AO315" s="1804"/>
      <c r="AP315" s="1804"/>
      <c r="AQ315" s="1804"/>
      <c r="AR315" s="1804"/>
      <c r="AS315" s="1804"/>
      <c r="AT315" s="1804"/>
      <c r="AU315" s="1804"/>
      <c r="AV315" s="1804"/>
      <c r="AW315" s="1804"/>
      <c r="AX315" s="1804"/>
      <c r="AY315" s="1804"/>
      <c r="AZ315" s="1804"/>
      <c r="BA315" s="1804"/>
      <c r="BB315" s="1804"/>
      <c r="BC315" s="1804"/>
      <c r="BD315" s="1804"/>
      <c r="BE315" s="1804"/>
      <c r="BF315" s="1804"/>
      <c r="BG315" s="1804"/>
      <c r="BH315" s="1804"/>
      <c r="BI315" s="1804"/>
      <c r="BJ315" s="1804"/>
      <c r="BK315" s="1804"/>
      <c r="BL315" s="1804"/>
      <c r="BM315" s="1804"/>
      <c r="BN315" s="1804"/>
      <c r="BO315" s="1804"/>
      <c r="BP315" s="1804"/>
      <c r="BQ315" s="1804"/>
      <c r="BR315" s="1804"/>
      <c r="BS315" s="1804"/>
      <c r="BT315" s="1804"/>
      <c r="BU315" s="1804"/>
      <c r="BV315" s="1804"/>
      <c r="BW315" s="1804"/>
      <c r="BX315" s="1804"/>
      <c r="BY315" s="1804"/>
      <c r="BZ315" s="1804"/>
      <c r="CA315" s="1804"/>
      <c r="CB315" s="1804"/>
      <c r="CC315" s="1804"/>
      <c r="CD315" s="1804"/>
      <c r="CE315" s="1804"/>
      <c r="CF315" s="1804"/>
      <c r="CG315" s="1804"/>
      <c r="CH315" s="1804"/>
      <c r="CI315" s="1804"/>
      <c r="CJ315" s="1804"/>
      <c r="CK315" s="1804"/>
      <c r="CL315" s="1804"/>
      <c r="CM315" s="1804"/>
      <c r="CN315" s="1804"/>
      <c r="CO315" s="1804"/>
      <c r="CP315" s="1804"/>
      <c r="CQ315" s="1804"/>
      <c r="CR315" s="1804"/>
      <c r="CS315" s="1804"/>
      <c r="CT315" s="1804"/>
      <c r="CU315" s="1804"/>
      <c r="CV315" s="1804"/>
      <c r="CW315" s="1804"/>
      <c r="CX315" s="1804"/>
      <c r="CY315" s="1804"/>
      <c r="CZ315" s="1804"/>
      <c r="DA315" s="1804"/>
      <c r="DB315" s="1804"/>
      <c r="DC315" s="1804"/>
      <c r="DD315" s="1804"/>
      <c r="DE315" s="1804"/>
      <c r="DF315" s="1804"/>
      <c r="DG315" s="1804"/>
      <c r="DH315" s="1804"/>
      <c r="DI315" s="1804"/>
      <c r="DJ315" s="1804"/>
      <c r="DK315" s="1804"/>
      <c r="DL315" s="1804"/>
      <c r="DM315" s="1804"/>
      <c r="DN315" s="1804"/>
      <c r="DO315" s="1804"/>
      <c r="DP315" s="1804"/>
      <c r="DQ315" s="1804"/>
      <c r="DR315" s="1804"/>
      <c r="DS315" s="1804"/>
      <c r="DT315" s="1804"/>
      <c r="DU315" s="1804"/>
      <c r="DV315" s="1804"/>
      <c r="DW315" s="1804"/>
      <c r="DX315" s="1804"/>
      <c r="DY315" s="1804"/>
      <c r="DZ315" s="1804"/>
      <c r="EA315" s="1804"/>
      <c r="EB315" s="1804"/>
      <c r="EC315" s="1804"/>
      <c r="ED315" s="1804"/>
      <c r="EE315" s="1804"/>
      <c r="EF315" s="1804"/>
      <c r="EG315" s="1804"/>
      <c r="EH315" s="1804"/>
      <c r="EI315" s="1804"/>
      <c r="EJ315" s="1804"/>
      <c r="EK315" s="1804"/>
      <c r="EL315" s="1804"/>
      <c r="EM315" s="1804"/>
      <c r="EN315" s="1804"/>
      <c r="EO315" s="1804"/>
      <c r="EP315" s="1804"/>
      <c r="EQ315" s="1804"/>
      <c r="ER315" s="1804"/>
      <c r="ES315" s="1804"/>
      <c r="ET315" s="1804"/>
      <c r="EU315" s="1804"/>
      <c r="EV315" s="1804"/>
      <c r="EW315" s="1804"/>
      <c r="EX315" s="1804"/>
      <c r="EY315" s="1804"/>
      <c r="EZ315" s="1804"/>
      <c r="FA315" s="1804"/>
      <c r="FB315" s="1804"/>
      <c r="FC315" s="1804"/>
      <c r="FD315" s="1804"/>
      <c r="FE315" s="1804"/>
      <c r="FF315" s="1804"/>
      <c r="FG315" s="1804"/>
      <c r="FH315" s="1804"/>
      <c r="FI315" s="1804"/>
      <c r="FJ315" s="1804"/>
      <c r="FK315" s="1804"/>
      <c r="FL315" s="1804"/>
      <c r="FM315" s="1804"/>
      <c r="FN315" s="1804"/>
      <c r="FO315" s="1804"/>
      <c r="FP315" s="1804"/>
      <c r="FQ315" s="1804"/>
      <c r="FR315" s="1804"/>
      <c r="FS315" s="1804"/>
      <c r="FT315" s="1804"/>
      <c r="FU315" s="1804"/>
      <c r="FV315" s="1804"/>
      <c r="FW315" s="1804"/>
      <c r="FX315" s="1804"/>
      <c r="FY315" s="1804"/>
      <c r="FZ315" s="1804"/>
      <c r="GA315" s="1804"/>
      <c r="GB315" s="1804"/>
      <c r="GC315" s="1804"/>
      <c r="GD315" s="1804"/>
      <c r="GE315" s="1804"/>
      <c r="GF315" s="1804"/>
      <c r="GG315" s="1804"/>
      <c r="GH315" s="1804"/>
      <c r="GI315" s="1804"/>
      <c r="GJ315" s="1804"/>
      <c r="GK315" s="1804"/>
      <c r="GL315" s="1804"/>
      <c r="GM315" s="1804"/>
      <c r="GN315" s="1804"/>
      <c r="GO315" s="1804"/>
      <c r="GP315" s="1804"/>
      <c r="GQ315" s="1804"/>
      <c r="GR315" s="1804"/>
      <c r="GS315" s="1804"/>
      <c r="GT315" s="1804"/>
      <c r="GU315" s="1804"/>
      <c r="GV315" s="1804"/>
      <c r="GW315" s="1804"/>
      <c r="GX315" s="1804"/>
      <c r="GY315" s="1804"/>
      <c r="GZ315" s="1804"/>
      <c r="HA315" s="1804"/>
      <c r="HB315" s="1804"/>
      <c r="HC315" s="1804"/>
      <c r="HD315" s="1804"/>
      <c r="HE315" s="1804"/>
      <c r="HF315" s="1804"/>
      <c r="HG315" s="1804"/>
      <c r="HH315" s="1804"/>
      <c r="HI315" s="1804"/>
      <c r="HJ315" s="1804"/>
      <c r="HK315" s="1804"/>
      <c r="HL315" s="1804"/>
      <c r="HM315" s="1804"/>
      <c r="HN315" s="1804"/>
      <c r="HO315" s="1804"/>
      <c r="HP315" s="1804"/>
      <c r="HQ315" s="1804"/>
      <c r="HR315" s="1804"/>
      <c r="HS315" s="1804"/>
      <c r="HT315" s="1804"/>
      <c r="HU315" s="1804"/>
      <c r="HV315" s="1804"/>
      <c r="HW315" s="1804"/>
      <c r="HX315" s="1804"/>
      <c r="HY315" s="1804"/>
      <c r="HZ315" s="1804"/>
      <c r="IA315" s="1804"/>
      <c r="IB315" s="1804"/>
      <c r="IC315" s="1804"/>
      <c r="ID315" s="1804"/>
      <c r="IE315" s="1804"/>
      <c r="IF315" s="1804"/>
      <c r="IG315" s="1804"/>
      <c r="IH315" s="1804"/>
      <c r="II315" s="1804"/>
      <c r="IJ315" s="1804"/>
      <c r="IK315" s="1804"/>
      <c r="IL315" s="1804"/>
      <c r="IM315" s="1804"/>
      <c r="IN315" s="1804"/>
      <c r="IO315" s="1804"/>
      <c r="IP315" s="1804"/>
      <c r="IQ315" s="1804"/>
      <c r="IR315" s="1804"/>
      <c r="IS315" s="1804"/>
      <c r="IT315" s="1804"/>
      <c r="IU315" s="1804"/>
      <c r="IV315" s="1804"/>
      <c r="IW315" s="1804"/>
    </row>
    <row r="316" spans="3:257" s="888" customFormat="1" x14ac:dyDescent="0.45">
      <c r="C316" s="67" t="s">
        <v>537</v>
      </c>
      <c r="D316" s="68" t="s">
        <v>639</v>
      </c>
      <c r="E316" s="69"/>
      <c r="F316" s="2066">
        <v>0</v>
      </c>
      <c r="G316" s="118">
        <v>0</v>
      </c>
      <c r="H316" s="2062"/>
      <c r="I316" s="2062"/>
      <c r="J316" s="119">
        <v>0</v>
      </c>
      <c r="K316" s="120">
        <v>0</v>
      </c>
      <c r="L316" s="120"/>
      <c r="M316" s="2069"/>
      <c r="N316" s="2072">
        <f t="shared" si="52"/>
        <v>0</v>
      </c>
      <c r="O316" s="2073">
        <f t="shared" si="53"/>
        <v>0</v>
      </c>
      <c r="P316" s="1838"/>
      <c r="Q316" s="1838"/>
      <c r="R316" s="1804"/>
      <c r="S316" s="1804"/>
      <c r="T316" s="1804"/>
      <c r="U316" s="1804"/>
      <c r="V316" s="1804"/>
      <c r="W316" s="1804"/>
      <c r="X316" s="1804"/>
      <c r="Y316" s="1804"/>
      <c r="Z316" s="1804"/>
      <c r="AA316" s="1804"/>
      <c r="AB316" s="1804"/>
      <c r="AC316" s="1804"/>
      <c r="AD316" s="1804"/>
      <c r="AE316" s="1804"/>
      <c r="AF316" s="1804"/>
      <c r="AG316" s="1804"/>
      <c r="AH316" s="1804"/>
      <c r="AI316" s="1804"/>
      <c r="AJ316" s="1804"/>
      <c r="AK316" s="1804"/>
      <c r="AL316" s="1804"/>
      <c r="AM316" s="1804"/>
      <c r="AN316" s="1804"/>
      <c r="AO316" s="1804"/>
      <c r="AP316" s="1804"/>
      <c r="AQ316" s="1804"/>
      <c r="AR316" s="1804"/>
      <c r="AS316" s="1804"/>
      <c r="AT316" s="1804"/>
      <c r="AU316" s="1804"/>
      <c r="AV316" s="1804"/>
      <c r="AW316" s="1804"/>
      <c r="AX316" s="1804"/>
      <c r="AY316" s="1804"/>
      <c r="AZ316" s="1804"/>
      <c r="BA316" s="1804"/>
      <c r="BB316" s="1804"/>
      <c r="BC316" s="1804"/>
      <c r="BD316" s="1804"/>
      <c r="BE316" s="1804"/>
      <c r="BF316" s="1804"/>
      <c r="BG316" s="1804"/>
      <c r="BH316" s="1804"/>
      <c r="BI316" s="1804"/>
      <c r="BJ316" s="1804"/>
      <c r="BK316" s="1804"/>
      <c r="BL316" s="1804"/>
      <c r="BM316" s="1804"/>
      <c r="BN316" s="1804"/>
      <c r="BO316" s="1804"/>
      <c r="BP316" s="1804"/>
      <c r="BQ316" s="1804"/>
      <c r="BR316" s="1804"/>
      <c r="BS316" s="1804"/>
      <c r="BT316" s="1804"/>
      <c r="BU316" s="1804"/>
      <c r="BV316" s="1804"/>
      <c r="BW316" s="1804"/>
      <c r="BX316" s="1804"/>
      <c r="BY316" s="1804"/>
      <c r="BZ316" s="1804"/>
      <c r="CA316" s="1804"/>
      <c r="CB316" s="1804"/>
      <c r="CC316" s="1804"/>
      <c r="CD316" s="1804"/>
      <c r="CE316" s="1804"/>
      <c r="CF316" s="1804"/>
      <c r="CG316" s="1804"/>
      <c r="CH316" s="1804"/>
      <c r="CI316" s="1804"/>
      <c r="CJ316" s="1804"/>
      <c r="CK316" s="1804"/>
      <c r="CL316" s="1804"/>
      <c r="CM316" s="1804"/>
      <c r="CN316" s="1804"/>
      <c r="CO316" s="1804"/>
      <c r="CP316" s="1804"/>
      <c r="CQ316" s="1804"/>
      <c r="CR316" s="1804"/>
      <c r="CS316" s="1804"/>
      <c r="CT316" s="1804"/>
      <c r="CU316" s="1804"/>
      <c r="CV316" s="1804"/>
      <c r="CW316" s="1804"/>
      <c r="CX316" s="1804"/>
      <c r="CY316" s="1804"/>
      <c r="CZ316" s="1804"/>
      <c r="DA316" s="1804"/>
      <c r="DB316" s="1804"/>
      <c r="DC316" s="1804"/>
      <c r="DD316" s="1804"/>
      <c r="DE316" s="1804"/>
      <c r="DF316" s="1804"/>
      <c r="DG316" s="1804"/>
      <c r="DH316" s="1804"/>
      <c r="DI316" s="1804"/>
      <c r="DJ316" s="1804"/>
      <c r="DK316" s="1804"/>
      <c r="DL316" s="1804"/>
      <c r="DM316" s="1804"/>
      <c r="DN316" s="1804"/>
      <c r="DO316" s="1804"/>
      <c r="DP316" s="1804"/>
      <c r="DQ316" s="1804"/>
      <c r="DR316" s="1804"/>
      <c r="DS316" s="1804"/>
      <c r="DT316" s="1804"/>
      <c r="DU316" s="1804"/>
      <c r="DV316" s="1804"/>
      <c r="DW316" s="1804"/>
      <c r="DX316" s="1804"/>
      <c r="DY316" s="1804"/>
      <c r="DZ316" s="1804"/>
      <c r="EA316" s="1804"/>
      <c r="EB316" s="1804"/>
      <c r="EC316" s="1804"/>
      <c r="ED316" s="1804"/>
      <c r="EE316" s="1804"/>
      <c r="EF316" s="1804"/>
      <c r="EG316" s="1804"/>
      <c r="EH316" s="1804"/>
      <c r="EI316" s="1804"/>
      <c r="EJ316" s="1804"/>
      <c r="EK316" s="1804"/>
      <c r="EL316" s="1804"/>
      <c r="EM316" s="1804"/>
      <c r="EN316" s="1804"/>
      <c r="EO316" s="1804"/>
      <c r="EP316" s="1804"/>
      <c r="EQ316" s="1804"/>
      <c r="ER316" s="1804"/>
      <c r="ES316" s="1804"/>
      <c r="ET316" s="1804"/>
      <c r="EU316" s="1804"/>
      <c r="EV316" s="1804"/>
      <c r="EW316" s="1804"/>
      <c r="EX316" s="1804"/>
      <c r="EY316" s="1804"/>
      <c r="EZ316" s="1804"/>
      <c r="FA316" s="1804"/>
      <c r="FB316" s="1804"/>
      <c r="FC316" s="1804"/>
      <c r="FD316" s="1804"/>
      <c r="FE316" s="1804"/>
      <c r="FF316" s="1804"/>
      <c r="FG316" s="1804"/>
      <c r="FH316" s="1804"/>
      <c r="FI316" s="1804"/>
      <c r="FJ316" s="1804"/>
      <c r="FK316" s="1804"/>
      <c r="FL316" s="1804"/>
      <c r="FM316" s="1804"/>
      <c r="FN316" s="1804"/>
      <c r="FO316" s="1804"/>
      <c r="FP316" s="1804"/>
      <c r="FQ316" s="1804"/>
      <c r="FR316" s="1804"/>
      <c r="FS316" s="1804"/>
      <c r="FT316" s="1804"/>
      <c r="FU316" s="1804"/>
      <c r="FV316" s="1804"/>
      <c r="FW316" s="1804"/>
      <c r="FX316" s="1804"/>
      <c r="FY316" s="1804"/>
      <c r="FZ316" s="1804"/>
      <c r="GA316" s="1804"/>
      <c r="GB316" s="1804"/>
      <c r="GC316" s="1804"/>
      <c r="GD316" s="1804"/>
      <c r="GE316" s="1804"/>
      <c r="GF316" s="1804"/>
      <c r="GG316" s="1804"/>
      <c r="GH316" s="1804"/>
      <c r="GI316" s="1804"/>
      <c r="GJ316" s="1804"/>
      <c r="GK316" s="1804"/>
      <c r="GL316" s="1804"/>
      <c r="GM316" s="1804"/>
      <c r="GN316" s="1804"/>
      <c r="GO316" s="1804"/>
      <c r="GP316" s="1804"/>
      <c r="GQ316" s="1804"/>
      <c r="GR316" s="1804"/>
      <c r="GS316" s="1804"/>
      <c r="GT316" s="1804"/>
      <c r="GU316" s="1804"/>
      <c r="GV316" s="1804"/>
      <c r="GW316" s="1804"/>
      <c r="GX316" s="1804"/>
      <c r="GY316" s="1804"/>
      <c r="GZ316" s="1804"/>
      <c r="HA316" s="1804"/>
      <c r="HB316" s="1804"/>
      <c r="HC316" s="1804"/>
      <c r="HD316" s="1804"/>
      <c r="HE316" s="1804"/>
      <c r="HF316" s="1804"/>
      <c r="HG316" s="1804"/>
      <c r="HH316" s="1804"/>
      <c r="HI316" s="1804"/>
      <c r="HJ316" s="1804"/>
      <c r="HK316" s="1804"/>
      <c r="HL316" s="1804"/>
      <c r="HM316" s="1804"/>
      <c r="HN316" s="1804"/>
      <c r="HO316" s="1804"/>
      <c r="HP316" s="1804"/>
      <c r="HQ316" s="1804"/>
      <c r="HR316" s="1804"/>
      <c r="HS316" s="1804"/>
      <c r="HT316" s="1804"/>
      <c r="HU316" s="1804"/>
      <c r="HV316" s="1804"/>
      <c r="HW316" s="1804"/>
      <c r="HX316" s="1804"/>
      <c r="HY316" s="1804"/>
      <c r="HZ316" s="1804"/>
      <c r="IA316" s="1804"/>
      <c r="IB316" s="1804"/>
      <c r="IC316" s="1804"/>
      <c r="ID316" s="1804"/>
      <c r="IE316" s="1804"/>
      <c r="IF316" s="1804"/>
      <c r="IG316" s="1804"/>
      <c r="IH316" s="1804"/>
      <c r="II316" s="1804"/>
      <c r="IJ316" s="1804"/>
      <c r="IK316" s="1804"/>
      <c r="IL316" s="1804"/>
      <c r="IM316" s="1804"/>
      <c r="IN316" s="1804"/>
      <c r="IO316" s="1804"/>
      <c r="IP316" s="1804"/>
      <c r="IQ316" s="1804"/>
      <c r="IR316" s="1804"/>
      <c r="IS316" s="1804"/>
      <c r="IT316" s="1804"/>
      <c r="IU316" s="1804"/>
      <c r="IV316" s="1804"/>
      <c r="IW316" s="1804"/>
    </row>
    <row r="317" spans="3:257" s="888" customFormat="1" x14ac:dyDescent="0.45">
      <c r="C317" s="67" t="s">
        <v>538</v>
      </c>
      <c r="D317" s="68" t="s">
        <v>640</v>
      </c>
      <c r="E317" s="69"/>
      <c r="F317" s="2066">
        <v>4628822.4357724022</v>
      </c>
      <c r="G317" s="118">
        <v>2717.1187697984001</v>
      </c>
      <c r="H317" s="2062">
        <v>8.7496933060250484E-2</v>
      </c>
      <c r="I317" s="2062">
        <v>0.13585593848992003</v>
      </c>
      <c r="J317" s="119">
        <v>1612428.3610547462</v>
      </c>
      <c r="K317" s="120">
        <v>946.49544793913606</v>
      </c>
      <c r="L317" s="120">
        <v>3.2340201419865239E-2</v>
      </c>
      <c r="M317" s="2069">
        <v>4.7324772396956809E-2</v>
      </c>
      <c r="N317" s="2072">
        <f t="shared" si="52"/>
        <v>6241250.7968271486</v>
      </c>
      <c r="O317" s="2073">
        <f t="shared" si="53"/>
        <v>3663.9172355829032</v>
      </c>
      <c r="P317" s="1838"/>
      <c r="Q317" s="1838"/>
      <c r="R317" s="1804"/>
      <c r="S317" s="1804"/>
      <c r="T317" s="1804"/>
      <c r="U317" s="1804"/>
      <c r="V317" s="1804"/>
      <c r="W317" s="1804"/>
      <c r="X317" s="1804"/>
      <c r="Y317" s="1804"/>
      <c r="Z317" s="1804"/>
      <c r="AA317" s="1804"/>
      <c r="AB317" s="1804"/>
      <c r="AC317" s="1804"/>
      <c r="AD317" s="1804"/>
      <c r="AE317" s="1804"/>
      <c r="AF317" s="1804"/>
      <c r="AG317" s="1804"/>
      <c r="AH317" s="1804"/>
      <c r="AI317" s="1804"/>
      <c r="AJ317" s="1804"/>
      <c r="AK317" s="1804"/>
      <c r="AL317" s="1804"/>
      <c r="AM317" s="1804"/>
      <c r="AN317" s="1804"/>
      <c r="AO317" s="1804"/>
      <c r="AP317" s="1804"/>
      <c r="AQ317" s="1804"/>
      <c r="AR317" s="1804"/>
      <c r="AS317" s="1804"/>
      <c r="AT317" s="1804"/>
      <c r="AU317" s="1804"/>
      <c r="AV317" s="1804"/>
      <c r="AW317" s="1804"/>
      <c r="AX317" s="1804"/>
      <c r="AY317" s="1804"/>
      <c r="AZ317" s="1804"/>
      <c r="BA317" s="1804"/>
      <c r="BB317" s="1804"/>
      <c r="BC317" s="1804"/>
      <c r="BD317" s="1804"/>
      <c r="BE317" s="1804"/>
      <c r="BF317" s="1804"/>
      <c r="BG317" s="1804"/>
      <c r="BH317" s="1804"/>
      <c r="BI317" s="1804"/>
      <c r="BJ317" s="1804"/>
      <c r="BK317" s="1804"/>
      <c r="BL317" s="1804"/>
      <c r="BM317" s="1804"/>
      <c r="BN317" s="1804"/>
      <c r="BO317" s="1804"/>
      <c r="BP317" s="1804"/>
      <c r="BQ317" s="1804"/>
      <c r="BR317" s="1804"/>
      <c r="BS317" s="1804"/>
      <c r="BT317" s="1804"/>
      <c r="BU317" s="1804"/>
      <c r="BV317" s="1804"/>
      <c r="BW317" s="1804"/>
      <c r="BX317" s="1804"/>
      <c r="BY317" s="1804"/>
      <c r="BZ317" s="1804"/>
      <c r="CA317" s="1804"/>
      <c r="CB317" s="1804"/>
      <c r="CC317" s="1804"/>
      <c r="CD317" s="1804"/>
      <c r="CE317" s="1804"/>
      <c r="CF317" s="1804"/>
      <c r="CG317" s="1804"/>
      <c r="CH317" s="1804"/>
      <c r="CI317" s="1804"/>
      <c r="CJ317" s="1804"/>
      <c r="CK317" s="1804"/>
      <c r="CL317" s="1804"/>
      <c r="CM317" s="1804"/>
      <c r="CN317" s="1804"/>
      <c r="CO317" s="1804"/>
      <c r="CP317" s="1804"/>
      <c r="CQ317" s="1804"/>
      <c r="CR317" s="1804"/>
      <c r="CS317" s="1804"/>
      <c r="CT317" s="1804"/>
      <c r="CU317" s="1804"/>
      <c r="CV317" s="1804"/>
      <c r="CW317" s="1804"/>
      <c r="CX317" s="1804"/>
      <c r="CY317" s="1804"/>
      <c r="CZ317" s="1804"/>
      <c r="DA317" s="1804"/>
      <c r="DB317" s="1804"/>
      <c r="DC317" s="1804"/>
      <c r="DD317" s="1804"/>
      <c r="DE317" s="1804"/>
      <c r="DF317" s="1804"/>
      <c r="DG317" s="1804"/>
      <c r="DH317" s="1804"/>
      <c r="DI317" s="1804"/>
      <c r="DJ317" s="1804"/>
      <c r="DK317" s="1804"/>
      <c r="DL317" s="1804"/>
      <c r="DM317" s="1804"/>
      <c r="DN317" s="1804"/>
      <c r="DO317" s="1804"/>
      <c r="DP317" s="1804"/>
      <c r="DQ317" s="1804"/>
      <c r="DR317" s="1804"/>
      <c r="DS317" s="1804"/>
      <c r="DT317" s="1804"/>
      <c r="DU317" s="1804"/>
      <c r="DV317" s="1804"/>
      <c r="DW317" s="1804"/>
      <c r="DX317" s="1804"/>
      <c r="DY317" s="1804"/>
      <c r="DZ317" s="1804"/>
      <c r="EA317" s="1804"/>
      <c r="EB317" s="1804"/>
      <c r="EC317" s="1804"/>
      <c r="ED317" s="1804"/>
      <c r="EE317" s="1804"/>
      <c r="EF317" s="1804"/>
      <c r="EG317" s="1804"/>
      <c r="EH317" s="1804"/>
      <c r="EI317" s="1804"/>
      <c r="EJ317" s="1804"/>
      <c r="EK317" s="1804"/>
      <c r="EL317" s="1804"/>
      <c r="EM317" s="1804"/>
      <c r="EN317" s="1804"/>
      <c r="EO317" s="1804"/>
      <c r="EP317" s="1804"/>
      <c r="EQ317" s="1804"/>
      <c r="ER317" s="1804"/>
      <c r="ES317" s="1804"/>
      <c r="ET317" s="1804"/>
      <c r="EU317" s="1804"/>
      <c r="EV317" s="1804"/>
      <c r="EW317" s="1804"/>
      <c r="EX317" s="1804"/>
      <c r="EY317" s="1804"/>
      <c r="EZ317" s="1804"/>
      <c r="FA317" s="1804"/>
      <c r="FB317" s="1804"/>
      <c r="FC317" s="1804"/>
      <c r="FD317" s="1804"/>
      <c r="FE317" s="1804"/>
      <c r="FF317" s="1804"/>
      <c r="FG317" s="1804"/>
      <c r="FH317" s="1804"/>
      <c r="FI317" s="1804"/>
      <c r="FJ317" s="1804"/>
      <c r="FK317" s="1804"/>
      <c r="FL317" s="1804"/>
      <c r="FM317" s="1804"/>
      <c r="FN317" s="1804"/>
      <c r="FO317" s="1804"/>
      <c r="FP317" s="1804"/>
      <c r="FQ317" s="1804"/>
      <c r="FR317" s="1804"/>
      <c r="FS317" s="1804"/>
      <c r="FT317" s="1804"/>
      <c r="FU317" s="1804"/>
      <c r="FV317" s="1804"/>
      <c r="FW317" s="1804"/>
      <c r="FX317" s="1804"/>
      <c r="FY317" s="1804"/>
      <c r="FZ317" s="1804"/>
      <c r="GA317" s="1804"/>
      <c r="GB317" s="1804"/>
      <c r="GC317" s="1804"/>
      <c r="GD317" s="1804"/>
      <c r="GE317" s="1804"/>
      <c r="GF317" s="1804"/>
      <c r="GG317" s="1804"/>
      <c r="GH317" s="1804"/>
      <c r="GI317" s="1804"/>
      <c r="GJ317" s="1804"/>
      <c r="GK317" s="1804"/>
      <c r="GL317" s="1804"/>
      <c r="GM317" s="1804"/>
      <c r="GN317" s="1804"/>
      <c r="GO317" s="1804"/>
      <c r="GP317" s="1804"/>
      <c r="GQ317" s="1804"/>
      <c r="GR317" s="1804"/>
      <c r="GS317" s="1804"/>
      <c r="GT317" s="1804"/>
      <c r="GU317" s="1804"/>
      <c r="GV317" s="1804"/>
      <c r="GW317" s="1804"/>
      <c r="GX317" s="1804"/>
      <c r="GY317" s="1804"/>
      <c r="GZ317" s="1804"/>
      <c r="HA317" s="1804"/>
      <c r="HB317" s="1804"/>
      <c r="HC317" s="1804"/>
      <c r="HD317" s="1804"/>
      <c r="HE317" s="1804"/>
      <c r="HF317" s="1804"/>
      <c r="HG317" s="1804"/>
      <c r="HH317" s="1804"/>
      <c r="HI317" s="1804"/>
      <c r="HJ317" s="1804"/>
      <c r="HK317" s="1804"/>
      <c r="HL317" s="1804"/>
      <c r="HM317" s="1804"/>
      <c r="HN317" s="1804"/>
      <c r="HO317" s="1804"/>
      <c r="HP317" s="1804"/>
      <c r="HQ317" s="1804"/>
      <c r="HR317" s="1804"/>
      <c r="HS317" s="1804"/>
      <c r="HT317" s="1804"/>
      <c r="HU317" s="1804"/>
      <c r="HV317" s="1804"/>
      <c r="HW317" s="1804"/>
      <c r="HX317" s="1804"/>
      <c r="HY317" s="1804"/>
      <c r="HZ317" s="1804"/>
      <c r="IA317" s="1804"/>
      <c r="IB317" s="1804"/>
      <c r="IC317" s="1804"/>
      <c r="ID317" s="1804"/>
      <c r="IE317" s="1804"/>
      <c r="IF317" s="1804"/>
      <c r="IG317" s="1804"/>
      <c r="IH317" s="1804"/>
      <c r="II317" s="1804"/>
      <c r="IJ317" s="1804"/>
      <c r="IK317" s="1804"/>
      <c r="IL317" s="1804"/>
      <c r="IM317" s="1804"/>
      <c r="IN317" s="1804"/>
      <c r="IO317" s="1804"/>
      <c r="IP317" s="1804"/>
      <c r="IQ317" s="1804"/>
      <c r="IR317" s="1804"/>
      <c r="IS317" s="1804"/>
      <c r="IT317" s="1804"/>
      <c r="IU317" s="1804"/>
      <c r="IV317" s="1804"/>
      <c r="IW317" s="1804"/>
    </row>
    <row r="318" spans="3:257" s="888" customFormat="1" x14ac:dyDescent="0.45">
      <c r="C318" s="67" t="s">
        <v>539</v>
      </c>
      <c r="D318" s="68" t="s">
        <v>641</v>
      </c>
      <c r="E318" s="69"/>
      <c r="F318" s="2066">
        <v>0</v>
      </c>
      <c r="G318" s="118">
        <v>0</v>
      </c>
      <c r="H318" s="2062"/>
      <c r="I318" s="2062"/>
      <c r="J318" s="119">
        <v>0</v>
      </c>
      <c r="K318" s="120">
        <v>0</v>
      </c>
      <c r="L318" s="120"/>
      <c r="M318" s="2069"/>
      <c r="N318" s="2072">
        <f t="shared" si="52"/>
        <v>0</v>
      </c>
      <c r="O318" s="2073">
        <f t="shared" si="53"/>
        <v>0</v>
      </c>
      <c r="P318" s="1838"/>
      <c r="Q318" s="1838"/>
      <c r="R318" s="1804"/>
      <c r="S318" s="1804"/>
      <c r="T318" s="1804"/>
      <c r="U318" s="1804"/>
      <c r="V318" s="1804"/>
      <c r="W318" s="1804"/>
      <c r="X318" s="1804"/>
      <c r="Y318" s="1804"/>
      <c r="Z318" s="1804"/>
      <c r="AA318" s="1804"/>
      <c r="AB318" s="1804"/>
      <c r="AC318" s="1804"/>
      <c r="AD318" s="1804"/>
      <c r="AE318" s="1804"/>
      <c r="AF318" s="1804"/>
      <c r="AG318" s="1804"/>
      <c r="AH318" s="1804"/>
      <c r="AI318" s="1804"/>
      <c r="AJ318" s="1804"/>
      <c r="AK318" s="1804"/>
      <c r="AL318" s="1804"/>
      <c r="AM318" s="1804"/>
      <c r="AN318" s="1804"/>
      <c r="AO318" s="1804"/>
      <c r="AP318" s="1804"/>
      <c r="AQ318" s="1804"/>
      <c r="AR318" s="1804"/>
      <c r="AS318" s="1804"/>
      <c r="AT318" s="1804"/>
      <c r="AU318" s="1804"/>
      <c r="AV318" s="1804"/>
      <c r="AW318" s="1804"/>
      <c r="AX318" s="1804"/>
      <c r="AY318" s="1804"/>
      <c r="AZ318" s="1804"/>
      <c r="BA318" s="1804"/>
      <c r="BB318" s="1804"/>
      <c r="BC318" s="1804"/>
      <c r="BD318" s="1804"/>
      <c r="BE318" s="1804"/>
      <c r="BF318" s="1804"/>
      <c r="BG318" s="1804"/>
      <c r="BH318" s="1804"/>
      <c r="BI318" s="1804"/>
      <c r="BJ318" s="1804"/>
      <c r="BK318" s="1804"/>
      <c r="BL318" s="1804"/>
      <c r="BM318" s="1804"/>
      <c r="BN318" s="1804"/>
      <c r="BO318" s="1804"/>
      <c r="BP318" s="1804"/>
      <c r="BQ318" s="1804"/>
      <c r="BR318" s="1804"/>
      <c r="BS318" s="1804"/>
      <c r="BT318" s="1804"/>
      <c r="BU318" s="1804"/>
      <c r="BV318" s="1804"/>
      <c r="BW318" s="1804"/>
      <c r="BX318" s="1804"/>
      <c r="BY318" s="1804"/>
      <c r="BZ318" s="1804"/>
      <c r="CA318" s="1804"/>
      <c r="CB318" s="1804"/>
      <c r="CC318" s="1804"/>
      <c r="CD318" s="1804"/>
      <c r="CE318" s="1804"/>
      <c r="CF318" s="1804"/>
      <c r="CG318" s="1804"/>
      <c r="CH318" s="1804"/>
      <c r="CI318" s="1804"/>
      <c r="CJ318" s="1804"/>
      <c r="CK318" s="1804"/>
      <c r="CL318" s="1804"/>
      <c r="CM318" s="1804"/>
      <c r="CN318" s="1804"/>
      <c r="CO318" s="1804"/>
      <c r="CP318" s="1804"/>
      <c r="CQ318" s="1804"/>
      <c r="CR318" s="1804"/>
      <c r="CS318" s="1804"/>
      <c r="CT318" s="1804"/>
      <c r="CU318" s="1804"/>
      <c r="CV318" s="1804"/>
      <c r="CW318" s="1804"/>
      <c r="CX318" s="1804"/>
      <c r="CY318" s="1804"/>
      <c r="CZ318" s="1804"/>
      <c r="DA318" s="1804"/>
      <c r="DB318" s="1804"/>
      <c r="DC318" s="1804"/>
      <c r="DD318" s="1804"/>
      <c r="DE318" s="1804"/>
      <c r="DF318" s="1804"/>
      <c r="DG318" s="1804"/>
      <c r="DH318" s="1804"/>
      <c r="DI318" s="1804"/>
      <c r="DJ318" s="1804"/>
      <c r="DK318" s="1804"/>
      <c r="DL318" s="1804"/>
      <c r="DM318" s="1804"/>
      <c r="DN318" s="1804"/>
      <c r="DO318" s="1804"/>
      <c r="DP318" s="1804"/>
      <c r="DQ318" s="1804"/>
      <c r="DR318" s="1804"/>
      <c r="DS318" s="1804"/>
      <c r="DT318" s="1804"/>
      <c r="DU318" s="1804"/>
      <c r="DV318" s="1804"/>
      <c r="DW318" s="1804"/>
      <c r="DX318" s="1804"/>
      <c r="DY318" s="1804"/>
      <c r="DZ318" s="1804"/>
      <c r="EA318" s="1804"/>
      <c r="EB318" s="1804"/>
      <c r="EC318" s="1804"/>
      <c r="ED318" s="1804"/>
      <c r="EE318" s="1804"/>
      <c r="EF318" s="1804"/>
      <c r="EG318" s="1804"/>
      <c r="EH318" s="1804"/>
      <c r="EI318" s="1804"/>
      <c r="EJ318" s="1804"/>
      <c r="EK318" s="1804"/>
      <c r="EL318" s="1804"/>
      <c r="EM318" s="1804"/>
      <c r="EN318" s="1804"/>
      <c r="EO318" s="1804"/>
      <c r="EP318" s="1804"/>
      <c r="EQ318" s="1804"/>
      <c r="ER318" s="1804"/>
      <c r="ES318" s="1804"/>
      <c r="ET318" s="1804"/>
      <c r="EU318" s="1804"/>
      <c r="EV318" s="1804"/>
      <c r="EW318" s="1804"/>
      <c r="EX318" s="1804"/>
      <c r="EY318" s="1804"/>
      <c r="EZ318" s="1804"/>
      <c r="FA318" s="1804"/>
      <c r="FB318" s="1804"/>
      <c r="FC318" s="1804"/>
      <c r="FD318" s="1804"/>
      <c r="FE318" s="1804"/>
      <c r="FF318" s="1804"/>
      <c r="FG318" s="1804"/>
      <c r="FH318" s="1804"/>
      <c r="FI318" s="1804"/>
      <c r="FJ318" s="1804"/>
      <c r="FK318" s="1804"/>
      <c r="FL318" s="1804"/>
      <c r="FM318" s="1804"/>
      <c r="FN318" s="1804"/>
      <c r="FO318" s="1804"/>
      <c r="FP318" s="1804"/>
      <c r="FQ318" s="1804"/>
      <c r="FR318" s="1804"/>
      <c r="FS318" s="1804"/>
      <c r="FT318" s="1804"/>
      <c r="FU318" s="1804"/>
      <c r="FV318" s="1804"/>
      <c r="FW318" s="1804"/>
      <c r="FX318" s="1804"/>
      <c r="FY318" s="1804"/>
      <c r="FZ318" s="1804"/>
      <c r="GA318" s="1804"/>
      <c r="GB318" s="1804"/>
      <c r="GC318" s="1804"/>
      <c r="GD318" s="1804"/>
      <c r="GE318" s="1804"/>
      <c r="GF318" s="1804"/>
      <c r="GG318" s="1804"/>
      <c r="GH318" s="1804"/>
      <c r="GI318" s="1804"/>
      <c r="GJ318" s="1804"/>
      <c r="GK318" s="1804"/>
      <c r="GL318" s="1804"/>
      <c r="GM318" s="1804"/>
      <c r="GN318" s="1804"/>
      <c r="GO318" s="1804"/>
      <c r="GP318" s="1804"/>
      <c r="GQ318" s="1804"/>
      <c r="GR318" s="1804"/>
      <c r="GS318" s="1804"/>
      <c r="GT318" s="1804"/>
      <c r="GU318" s="1804"/>
      <c r="GV318" s="1804"/>
      <c r="GW318" s="1804"/>
      <c r="GX318" s="1804"/>
      <c r="GY318" s="1804"/>
      <c r="GZ318" s="1804"/>
      <c r="HA318" s="1804"/>
      <c r="HB318" s="1804"/>
      <c r="HC318" s="1804"/>
      <c r="HD318" s="1804"/>
      <c r="HE318" s="1804"/>
      <c r="HF318" s="1804"/>
      <c r="HG318" s="1804"/>
      <c r="HH318" s="1804"/>
      <c r="HI318" s="1804"/>
      <c r="HJ318" s="1804"/>
      <c r="HK318" s="1804"/>
      <c r="HL318" s="1804"/>
      <c r="HM318" s="1804"/>
      <c r="HN318" s="1804"/>
      <c r="HO318" s="1804"/>
      <c r="HP318" s="1804"/>
      <c r="HQ318" s="1804"/>
      <c r="HR318" s="1804"/>
      <c r="HS318" s="1804"/>
      <c r="HT318" s="1804"/>
      <c r="HU318" s="1804"/>
      <c r="HV318" s="1804"/>
      <c r="HW318" s="1804"/>
      <c r="HX318" s="1804"/>
      <c r="HY318" s="1804"/>
      <c r="HZ318" s="1804"/>
      <c r="IA318" s="1804"/>
      <c r="IB318" s="1804"/>
      <c r="IC318" s="1804"/>
      <c r="ID318" s="1804"/>
      <c r="IE318" s="1804"/>
      <c r="IF318" s="1804"/>
      <c r="IG318" s="1804"/>
      <c r="IH318" s="1804"/>
      <c r="II318" s="1804"/>
      <c r="IJ318" s="1804"/>
      <c r="IK318" s="1804"/>
      <c r="IL318" s="1804"/>
      <c r="IM318" s="1804"/>
      <c r="IN318" s="1804"/>
      <c r="IO318" s="1804"/>
      <c r="IP318" s="1804"/>
      <c r="IQ318" s="1804"/>
      <c r="IR318" s="1804"/>
      <c r="IS318" s="1804"/>
      <c r="IT318" s="1804"/>
      <c r="IU318" s="1804"/>
      <c r="IV318" s="1804"/>
      <c r="IW318" s="1804"/>
    </row>
    <row r="319" spans="3:257" s="888" customFormat="1" x14ac:dyDescent="0.45">
      <c r="C319" s="67" t="s">
        <v>540</v>
      </c>
      <c r="D319" s="68" t="s">
        <v>642</v>
      </c>
      <c r="E319" s="69"/>
      <c r="F319" s="2066">
        <v>6406.2008469950561</v>
      </c>
      <c r="G319" s="118">
        <v>3.7604398971860982</v>
      </c>
      <c r="H319" s="2062">
        <v>1.317383201761281E-4</v>
      </c>
      <c r="I319" s="2062">
        <v>1.8802199485930493E-4</v>
      </c>
      <c r="J319" s="119">
        <v>3905.8162331809704</v>
      </c>
      <c r="K319" s="120">
        <v>2.2927141288772295</v>
      </c>
      <c r="L319" s="120">
        <v>1.3620208187953956E-4</v>
      </c>
      <c r="M319" s="2069">
        <v>1.1463570644386149E-4</v>
      </c>
      <c r="N319" s="2072">
        <f t="shared" si="52"/>
        <v>10312.017080176027</v>
      </c>
      <c r="O319" s="2073">
        <f t="shared" si="53"/>
        <v>6.0537246241666871</v>
      </c>
      <c r="P319" s="1838"/>
      <c r="Q319" s="1838"/>
      <c r="R319" s="1804"/>
      <c r="S319" s="1804"/>
      <c r="T319" s="1804"/>
      <c r="U319" s="1804"/>
      <c r="V319" s="1804"/>
      <c r="W319" s="1804"/>
      <c r="X319" s="1804"/>
      <c r="Y319" s="1804"/>
      <c r="Z319" s="1804"/>
      <c r="AA319" s="1804"/>
      <c r="AB319" s="1804"/>
      <c r="AC319" s="1804"/>
      <c r="AD319" s="1804"/>
      <c r="AE319" s="1804"/>
      <c r="AF319" s="1804"/>
      <c r="AG319" s="1804"/>
      <c r="AH319" s="1804"/>
      <c r="AI319" s="1804"/>
      <c r="AJ319" s="1804"/>
      <c r="AK319" s="1804"/>
      <c r="AL319" s="1804"/>
      <c r="AM319" s="1804"/>
      <c r="AN319" s="1804"/>
      <c r="AO319" s="1804"/>
      <c r="AP319" s="1804"/>
      <c r="AQ319" s="1804"/>
      <c r="AR319" s="1804"/>
      <c r="AS319" s="1804"/>
      <c r="AT319" s="1804"/>
      <c r="AU319" s="1804"/>
      <c r="AV319" s="1804"/>
      <c r="AW319" s="1804"/>
      <c r="AX319" s="1804"/>
      <c r="AY319" s="1804"/>
      <c r="AZ319" s="1804"/>
      <c r="BA319" s="1804"/>
      <c r="BB319" s="1804"/>
      <c r="BC319" s="1804"/>
      <c r="BD319" s="1804"/>
      <c r="BE319" s="1804"/>
      <c r="BF319" s="1804"/>
      <c r="BG319" s="1804"/>
      <c r="BH319" s="1804"/>
      <c r="BI319" s="1804"/>
      <c r="BJ319" s="1804"/>
      <c r="BK319" s="1804"/>
      <c r="BL319" s="1804"/>
      <c r="BM319" s="1804"/>
      <c r="BN319" s="1804"/>
      <c r="BO319" s="1804"/>
      <c r="BP319" s="1804"/>
      <c r="BQ319" s="1804"/>
      <c r="BR319" s="1804"/>
      <c r="BS319" s="1804"/>
      <c r="BT319" s="1804"/>
      <c r="BU319" s="1804"/>
      <c r="BV319" s="1804"/>
      <c r="BW319" s="1804"/>
      <c r="BX319" s="1804"/>
      <c r="BY319" s="1804"/>
      <c r="BZ319" s="1804"/>
      <c r="CA319" s="1804"/>
      <c r="CB319" s="1804"/>
      <c r="CC319" s="1804"/>
      <c r="CD319" s="1804"/>
      <c r="CE319" s="1804"/>
      <c r="CF319" s="1804"/>
      <c r="CG319" s="1804"/>
      <c r="CH319" s="1804"/>
      <c r="CI319" s="1804"/>
      <c r="CJ319" s="1804"/>
      <c r="CK319" s="1804"/>
      <c r="CL319" s="1804"/>
      <c r="CM319" s="1804"/>
      <c r="CN319" s="1804"/>
      <c r="CO319" s="1804"/>
      <c r="CP319" s="1804"/>
      <c r="CQ319" s="1804"/>
      <c r="CR319" s="1804"/>
      <c r="CS319" s="1804"/>
      <c r="CT319" s="1804"/>
      <c r="CU319" s="1804"/>
      <c r="CV319" s="1804"/>
      <c r="CW319" s="1804"/>
      <c r="CX319" s="1804"/>
      <c r="CY319" s="1804"/>
      <c r="CZ319" s="1804"/>
      <c r="DA319" s="1804"/>
      <c r="DB319" s="1804"/>
      <c r="DC319" s="1804"/>
      <c r="DD319" s="1804"/>
      <c r="DE319" s="1804"/>
      <c r="DF319" s="1804"/>
      <c r="DG319" s="1804"/>
      <c r="DH319" s="1804"/>
      <c r="DI319" s="1804"/>
      <c r="DJ319" s="1804"/>
      <c r="DK319" s="1804"/>
      <c r="DL319" s="1804"/>
      <c r="DM319" s="1804"/>
      <c r="DN319" s="1804"/>
      <c r="DO319" s="1804"/>
      <c r="DP319" s="1804"/>
      <c r="DQ319" s="1804"/>
      <c r="DR319" s="1804"/>
      <c r="DS319" s="1804"/>
      <c r="DT319" s="1804"/>
      <c r="DU319" s="1804"/>
      <c r="DV319" s="1804"/>
      <c r="DW319" s="1804"/>
      <c r="DX319" s="1804"/>
      <c r="DY319" s="1804"/>
      <c r="DZ319" s="1804"/>
      <c r="EA319" s="1804"/>
      <c r="EB319" s="1804"/>
      <c r="EC319" s="1804"/>
      <c r="ED319" s="1804"/>
      <c r="EE319" s="1804"/>
      <c r="EF319" s="1804"/>
      <c r="EG319" s="1804"/>
      <c r="EH319" s="1804"/>
      <c r="EI319" s="1804"/>
      <c r="EJ319" s="1804"/>
      <c r="EK319" s="1804"/>
      <c r="EL319" s="1804"/>
      <c r="EM319" s="1804"/>
      <c r="EN319" s="1804"/>
      <c r="EO319" s="1804"/>
      <c r="EP319" s="1804"/>
      <c r="EQ319" s="1804"/>
      <c r="ER319" s="1804"/>
      <c r="ES319" s="1804"/>
      <c r="ET319" s="1804"/>
      <c r="EU319" s="1804"/>
      <c r="EV319" s="1804"/>
      <c r="EW319" s="1804"/>
      <c r="EX319" s="1804"/>
      <c r="EY319" s="1804"/>
      <c r="EZ319" s="1804"/>
      <c r="FA319" s="1804"/>
      <c r="FB319" s="1804"/>
      <c r="FC319" s="1804"/>
      <c r="FD319" s="1804"/>
      <c r="FE319" s="1804"/>
      <c r="FF319" s="1804"/>
      <c r="FG319" s="1804"/>
      <c r="FH319" s="1804"/>
      <c r="FI319" s="1804"/>
      <c r="FJ319" s="1804"/>
      <c r="FK319" s="1804"/>
      <c r="FL319" s="1804"/>
      <c r="FM319" s="1804"/>
      <c r="FN319" s="1804"/>
      <c r="FO319" s="1804"/>
      <c r="FP319" s="1804"/>
      <c r="FQ319" s="1804"/>
      <c r="FR319" s="1804"/>
      <c r="FS319" s="1804"/>
      <c r="FT319" s="1804"/>
      <c r="FU319" s="1804"/>
      <c r="FV319" s="1804"/>
      <c r="FW319" s="1804"/>
      <c r="FX319" s="1804"/>
      <c r="FY319" s="1804"/>
      <c r="FZ319" s="1804"/>
      <c r="GA319" s="1804"/>
      <c r="GB319" s="1804"/>
      <c r="GC319" s="1804"/>
      <c r="GD319" s="1804"/>
      <c r="GE319" s="1804"/>
      <c r="GF319" s="1804"/>
      <c r="GG319" s="1804"/>
      <c r="GH319" s="1804"/>
      <c r="GI319" s="1804"/>
      <c r="GJ319" s="1804"/>
      <c r="GK319" s="1804"/>
      <c r="GL319" s="1804"/>
      <c r="GM319" s="1804"/>
      <c r="GN319" s="1804"/>
      <c r="GO319" s="1804"/>
      <c r="GP319" s="1804"/>
      <c r="GQ319" s="1804"/>
      <c r="GR319" s="1804"/>
      <c r="GS319" s="1804"/>
      <c r="GT319" s="1804"/>
      <c r="GU319" s="1804"/>
      <c r="GV319" s="1804"/>
      <c r="GW319" s="1804"/>
      <c r="GX319" s="1804"/>
      <c r="GY319" s="1804"/>
      <c r="GZ319" s="1804"/>
      <c r="HA319" s="1804"/>
      <c r="HB319" s="1804"/>
      <c r="HC319" s="1804"/>
      <c r="HD319" s="1804"/>
      <c r="HE319" s="1804"/>
      <c r="HF319" s="1804"/>
      <c r="HG319" s="1804"/>
      <c r="HH319" s="1804"/>
      <c r="HI319" s="1804"/>
      <c r="HJ319" s="1804"/>
      <c r="HK319" s="1804"/>
      <c r="HL319" s="1804"/>
      <c r="HM319" s="1804"/>
      <c r="HN319" s="1804"/>
      <c r="HO319" s="1804"/>
      <c r="HP319" s="1804"/>
      <c r="HQ319" s="1804"/>
      <c r="HR319" s="1804"/>
      <c r="HS319" s="1804"/>
      <c r="HT319" s="1804"/>
      <c r="HU319" s="1804"/>
      <c r="HV319" s="1804"/>
      <c r="HW319" s="1804"/>
      <c r="HX319" s="1804"/>
      <c r="HY319" s="1804"/>
      <c r="HZ319" s="1804"/>
      <c r="IA319" s="1804"/>
      <c r="IB319" s="1804"/>
      <c r="IC319" s="1804"/>
      <c r="ID319" s="1804"/>
      <c r="IE319" s="1804"/>
      <c r="IF319" s="1804"/>
      <c r="IG319" s="1804"/>
      <c r="IH319" s="1804"/>
      <c r="II319" s="1804"/>
      <c r="IJ319" s="1804"/>
      <c r="IK319" s="1804"/>
      <c r="IL319" s="1804"/>
      <c r="IM319" s="1804"/>
      <c r="IN319" s="1804"/>
      <c r="IO319" s="1804"/>
      <c r="IP319" s="1804"/>
      <c r="IQ319" s="1804"/>
      <c r="IR319" s="1804"/>
      <c r="IS319" s="1804"/>
      <c r="IT319" s="1804"/>
      <c r="IU319" s="1804"/>
      <c r="IV319" s="1804"/>
      <c r="IW319" s="1804"/>
    </row>
    <row r="320" spans="3:257" s="888" customFormat="1" x14ac:dyDescent="0.45">
      <c r="C320" s="67" t="s">
        <v>541</v>
      </c>
      <c r="D320" s="68" t="s">
        <v>643</v>
      </c>
      <c r="E320" s="69"/>
      <c r="F320" s="2066">
        <v>0</v>
      </c>
      <c r="G320" s="118">
        <v>0</v>
      </c>
      <c r="H320" s="2062"/>
      <c r="I320" s="2062"/>
      <c r="J320" s="119">
        <v>0</v>
      </c>
      <c r="K320" s="120">
        <v>0</v>
      </c>
      <c r="L320" s="120"/>
      <c r="M320" s="2069"/>
      <c r="N320" s="2072">
        <f t="shared" si="52"/>
        <v>0</v>
      </c>
      <c r="O320" s="2073">
        <f t="shared" si="53"/>
        <v>0</v>
      </c>
      <c r="P320" s="1838"/>
      <c r="Q320" s="1838"/>
      <c r="R320" s="1804"/>
      <c r="S320" s="1804"/>
      <c r="T320" s="1804"/>
      <c r="U320" s="1804"/>
      <c r="V320" s="1804"/>
      <c r="W320" s="1804"/>
      <c r="X320" s="1804"/>
      <c r="Y320" s="1804"/>
      <c r="Z320" s="1804"/>
      <c r="AA320" s="1804"/>
      <c r="AB320" s="1804"/>
      <c r="AC320" s="1804"/>
      <c r="AD320" s="1804"/>
      <c r="AE320" s="1804"/>
      <c r="AF320" s="1804"/>
      <c r="AG320" s="1804"/>
      <c r="AH320" s="1804"/>
      <c r="AI320" s="1804"/>
      <c r="AJ320" s="1804"/>
      <c r="AK320" s="1804"/>
      <c r="AL320" s="1804"/>
      <c r="AM320" s="1804"/>
      <c r="AN320" s="1804"/>
      <c r="AO320" s="1804"/>
      <c r="AP320" s="1804"/>
      <c r="AQ320" s="1804"/>
      <c r="AR320" s="1804"/>
      <c r="AS320" s="1804"/>
      <c r="AT320" s="1804"/>
      <c r="AU320" s="1804"/>
      <c r="AV320" s="1804"/>
      <c r="AW320" s="1804"/>
      <c r="AX320" s="1804"/>
      <c r="AY320" s="1804"/>
      <c r="AZ320" s="1804"/>
      <c r="BA320" s="1804"/>
      <c r="BB320" s="1804"/>
      <c r="BC320" s="1804"/>
      <c r="BD320" s="1804"/>
      <c r="BE320" s="1804"/>
      <c r="BF320" s="1804"/>
      <c r="BG320" s="1804"/>
      <c r="BH320" s="1804"/>
      <c r="BI320" s="1804"/>
      <c r="BJ320" s="1804"/>
      <c r="BK320" s="1804"/>
      <c r="BL320" s="1804"/>
      <c r="BM320" s="1804"/>
      <c r="BN320" s="1804"/>
      <c r="BO320" s="1804"/>
      <c r="BP320" s="1804"/>
      <c r="BQ320" s="1804"/>
      <c r="BR320" s="1804"/>
      <c r="BS320" s="1804"/>
      <c r="BT320" s="1804"/>
      <c r="BU320" s="1804"/>
      <c r="BV320" s="1804"/>
      <c r="BW320" s="1804"/>
      <c r="BX320" s="1804"/>
      <c r="BY320" s="1804"/>
      <c r="BZ320" s="1804"/>
      <c r="CA320" s="1804"/>
      <c r="CB320" s="1804"/>
      <c r="CC320" s="1804"/>
      <c r="CD320" s="1804"/>
      <c r="CE320" s="1804"/>
      <c r="CF320" s="1804"/>
      <c r="CG320" s="1804"/>
      <c r="CH320" s="1804"/>
      <c r="CI320" s="1804"/>
      <c r="CJ320" s="1804"/>
      <c r="CK320" s="1804"/>
      <c r="CL320" s="1804"/>
      <c r="CM320" s="1804"/>
      <c r="CN320" s="1804"/>
      <c r="CO320" s="1804"/>
      <c r="CP320" s="1804"/>
      <c r="CQ320" s="1804"/>
      <c r="CR320" s="1804"/>
      <c r="CS320" s="1804"/>
      <c r="CT320" s="1804"/>
      <c r="CU320" s="1804"/>
      <c r="CV320" s="1804"/>
      <c r="CW320" s="1804"/>
      <c r="CX320" s="1804"/>
      <c r="CY320" s="1804"/>
      <c r="CZ320" s="1804"/>
      <c r="DA320" s="1804"/>
      <c r="DB320" s="1804"/>
      <c r="DC320" s="1804"/>
      <c r="DD320" s="1804"/>
      <c r="DE320" s="1804"/>
      <c r="DF320" s="1804"/>
      <c r="DG320" s="1804"/>
      <c r="DH320" s="1804"/>
      <c r="DI320" s="1804"/>
      <c r="DJ320" s="1804"/>
      <c r="DK320" s="1804"/>
      <c r="DL320" s="1804"/>
      <c r="DM320" s="1804"/>
      <c r="DN320" s="1804"/>
      <c r="DO320" s="1804"/>
      <c r="DP320" s="1804"/>
      <c r="DQ320" s="1804"/>
      <c r="DR320" s="1804"/>
      <c r="DS320" s="1804"/>
      <c r="DT320" s="1804"/>
      <c r="DU320" s="1804"/>
      <c r="DV320" s="1804"/>
      <c r="DW320" s="1804"/>
      <c r="DX320" s="1804"/>
      <c r="DY320" s="1804"/>
      <c r="DZ320" s="1804"/>
      <c r="EA320" s="1804"/>
      <c r="EB320" s="1804"/>
      <c r="EC320" s="1804"/>
      <c r="ED320" s="1804"/>
      <c r="EE320" s="1804"/>
      <c r="EF320" s="1804"/>
      <c r="EG320" s="1804"/>
      <c r="EH320" s="1804"/>
      <c r="EI320" s="1804"/>
      <c r="EJ320" s="1804"/>
      <c r="EK320" s="1804"/>
      <c r="EL320" s="1804"/>
      <c r="EM320" s="1804"/>
      <c r="EN320" s="1804"/>
      <c r="EO320" s="1804"/>
      <c r="EP320" s="1804"/>
      <c r="EQ320" s="1804"/>
      <c r="ER320" s="1804"/>
      <c r="ES320" s="1804"/>
      <c r="ET320" s="1804"/>
      <c r="EU320" s="1804"/>
      <c r="EV320" s="1804"/>
      <c r="EW320" s="1804"/>
      <c r="EX320" s="1804"/>
      <c r="EY320" s="1804"/>
      <c r="EZ320" s="1804"/>
      <c r="FA320" s="1804"/>
      <c r="FB320" s="1804"/>
      <c r="FC320" s="1804"/>
      <c r="FD320" s="1804"/>
      <c r="FE320" s="1804"/>
      <c r="FF320" s="1804"/>
      <c r="FG320" s="1804"/>
      <c r="FH320" s="1804"/>
      <c r="FI320" s="1804"/>
      <c r="FJ320" s="1804"/>
      <c r="FK320" s="1804"/>
      <c r="FL320" s="1804"/>
      <c r="FM320" s="1804"/>
      <c r="FN320" s="1804"/>
      <c r="FO320" s="1804"/>
      <c r="FP320" s="1804"/>
      <c r="FQ320" s="1804"/>
      <c r="FR320" s="1804"/>
      <c r="FS320" s="1804"/>
      <c r="FT320" s="1804"/>
      <c r="FU320" s="1804"/>
      <c r="FV320" s="1804"/>
      <c r="FW320" s="1804"/>
      <c r="FX320" s="1804"/>
      <c r="FY320" s="1804"/>
      <c r="FZ320" s="1804"/>
      <c r="GA320" s="1804"/>
      <c r="GB320" s="1804"/>
      <c r="GC320" s="1804"/>
      <c r="GD320" s="1804"/>
      <c r="GE320" s="1804"/>
      <c r="GF320" s="1804"/>
      <c r="GG320" s="1804"/>
      <c r="GH320" s="1804"/>
      <c r="GI320" s="1804"/>
      <c r="GJ320" s="1804"/>
      <c r="GK320" s="1804"/>
      <c r="GL320" s="1804"/>
      <c r="GM320" s="1804"/>
      <c r="GN320" s="1804"/>
      <c r="GO320" s="1804"/>
      <c r="GP320" s="1804"/>
      <c r="GQ320" s="1804"/>
      <c r="GR320" s="1804"/>
      <c r="GS320" s="1804"/>
      <c r="GT320" s="1804"/>
      <c r="GU320" s="1804"/>
      <c r="GV320" s="1804"/>
      <c r="GW320" s="1804"/>
      <c r="GX320" s="1804"/>
      <c r="GY320" s="1804"/>
      <c r="GZ320" s="1804"/>
      <c r="HA320" s="1804"/>
      <c r="HB320" s="1804"/>
      <c r="HC320" s="1804"/>
      <c r="HD320" s="1804"/>
      <c r="HE320" s="1804"/>
      <c r="HF320" s="1804"/>
      <c r="HG320" s="1804"/>
      <c r="HH320" s="1804"/>
      <c r="HI320" s="1804"/>
      <c r="HJ320" s="1804"/>
      <c r="HK320" s="1804"/>
      <c r="HL320" s="1804"/>
      <c r="HM320" s="1804"/>
      <c r="HN320" s="1804"/>
      <c r="HO320" s="1804"/>
      <c r="HP320" s="1804"/>
      <c r="HQ320" s="1804"/>
      <c r="HR320" s="1804"/>
      <c r="HS320" s="1804"/>
      <c r="HT320" s="1804"/>
      <c r="HU320" s="1804"/>
      <c r="HV320" s="1804"/>
      <c r="HW320" s="1804"/>
      <c r="HX320" s="1804"/>
      <c r="HY320" s="1804"/>
      <c r="HZ320" s="1804"/>
      <c r="IA320" s="1804"/>
      <c r="IB320" s="1804"/>
      <c r="IC320" s="1804"/>
      <c r="ID320" s="1804"/>
      <c r="IE320" s="1804"/>
      <c r="IF320" s="1804"/>
      <c r="IG320" s="1804"/>
      <c r="IH320" s="1804"/>
      <c r="II320" s="1804"/>
      <c r="IJ320" s="1804"/>
      <c r="IK320" s="1804"/>
      <c r="IL320" s="1804"/>
      <c r="IM320" s="1804"/>
      <c r="IN320" s="1804"/>
      <c r="IO320" s="1804"/>
      <c r="IP320" s="1804"/>
      <c r="IQ320" s="1804"/>
      <c r="IR320" s="1804"/>
      <c r="IS320" s="1804"/>
      <c r="IT320" s="1804"/>
      <c r="IU320" s="1804"/>
      <c r="IV320" s="1804"/>
      <c r="IW320" s="1804"/>
    </row>
    <row r="321" spans="3:257" s="888" customFormat="1" x14ac:dyDescent="0.45">
      <c r="C321" s="67" t="s">
        <v>542</v>
      </c>
      <c r="D321" s="68" t="s">
        <v>644</v>
      </c>
      <c r="E321" s="69"/>
      <c r="F321" s="2066">
        <v>0</v>
      </c>
      <c r="G321" s="118">
        <v>0</v>
      </c>
      <c r="H321" s="2062"/>
      <c r="I321" s="2062"/>
      <c r="J321" s="119">
        <v>0</v>
      </c>
      <c r="K321" s="120">
        <v>0</v>
      </c>
      <c r="L321" s="120"/>
      <c r="M321" s="2069"/>
      <c r="N321" s="2072">
        <f t="shared" si="52"/>
        <v>0</v>
      </c>
      <c r="O321" s="2073">
        <f t="shared" si="53"/>
        <v>0</v>
      </c>
      <c r="P321" s="1838"/>
      <c r="Q321" s="1838"/>
      <c r="R321" s="1804"/>
      <c r="S321" s="1804"/>
      <c r="T321" s="1804"/>
      <c r="U321" s="1804"/>
      <c r="V321" s="1804"/>
      <c r="W321" s="1804"/>
      <c r="X321" s="1804"/>
      <c r="Y321" s="1804"/>
      <c r="Z321" s="1804"/>
      <c r="AA321" s="1804"/>
      <c r="AB321" s="1804"/>
      <c r="AC321" s="1804"/>
      <c r="AD321" s="1804"/>
      <c r="AE321" s="1804"/>
      <c r="AF321" s="1804"/>
      <c r="AG321" s="1804"/>
      <c r="AH321" s="1804"/>
      <c r="AI321" s="1804"/>
      <c r="AJ321" s="1804"/>
      <c r="AK321" s="1804"/>
      <c r="AL321" s="1804"/>
      <c r="AM321" s="1804"/>
      <c r="AN321" s="1804"/>
      <c r="AO321" s="1804"/>
      <c r="AP321" s="1804"/>
      <c r="AQ321" s="1804"/>
      <c r="AR321" s="1804"/>
      <c r="AS321" s="1804"/>
      <c r="AT321" s="1804"/>
      <c r="AU321" s="1804"/>
      <c r="AV321" s="1804"/>
      <c r="AW321" s="1804"/>
      <c r="AX321" s="1804"/>
      <c r="AY321" s="1804"/>
      <c r="AZ321" s="1804"/>
      <c r="BA321" s="1804"/>
      <c r="BB321" s="1804"/>
      <c r="BC321" s="1804"/>
      <c r="BD321" s="1804"/>
      <c r="BE321" s="1804"/>
      <c r="BF321" s="1804"/>
      <c r="BG321" s="1804"/>
      <c r="BH321" s="1804"/>
      <c r="BI321" s="1804"/>
      <c r="BJ321" s="1804"/>
      <c r="BK321" s="1804"/>
      <c r="BL321" s="1804"/>
      <c r="BM321" s="1804"/>
      <c r="BN321" s="1804"/>
      <c r="BO321" s="1804"/>
      <c r="BP321" s="1804"/>
      <c r="BQ321" s="1804"/>
      <c r="BR321" s="1804"/>
      <c r="BS321" s="1804"/>
      <c r="BT321" s="1804"/>
      <c r="BU321" s="1804"/>
      <c r="BV321" s="1804"/>
      <c r="BW321" s="1804"/>
      <c r="BX321" s="1804"/>
      <c r="BY321" s="1804"/>
      <c r="BZ321" s="1804"/>
      <c r="CA321" s="1804"/>
      <c r="CB321" s="1804"/>
      <c r="CC321" s="1804"/>
      <c r="CD321" s="1804"/>
      <c r="CE321" s="1804"/>
      <c r="CF321" s="1804"/>
      <c r="CG321" s="1804"/>
      <c r="CH321" s="1804"/>
      <c r="CI321" s="1804"/>
      <c r="CJ321" s="1804"/>
      <c r="CK321" s="1804"/>
      <c r="CL321" s="1804"/>
      <c r="CM321" s="1804"/>
      <c r="CN321" s="1804"/>
      <c r="CO321" s="1804"/>
      <c r="CP321" s="1804"/>
      <c r="CQ321" s="1804"/>
      <c r="CR321" s="1804"/>
      <c r="CS321" s="1804"/>
      <c r="CT321" s="1804"/>
      <c r="CU321" s="1804"/>
      <c r="CV321" s="1804"/>
      <c r="CW321" s="1804"/>
      <c r="CX321" s="1804"/>
      <c r="CY321" s="1804"/>
      <c r="CZ321" s="1804"/>
      <c r="DA321" s="1804"/>
      <c r="DB321" s="1804"/>
      <c r="DC321" s="1804"/>
      <c r="DD321" s="1804"/>
      <c r="DE321" s="1804"/>
      <c r="DF321" s="1804"/>
      <c r="DG321" s="1804"/>
      <c r="DH321" s="1804"/>
      <c r="DI321" s="1804"/>
      <c r="DJ321" s="1804"/>
      <c r="DK321" s="1804"/>
      <c r="DL321" s="1804"/>
      <c r="DM321" s="1804"/>
      <c r="DN321" s="1804"/>
      <c r="DO321" s="1804"/>
      <c r="DP321" s="1804"/>
      <c r="DQ321" s="1804"/>
      <c r="DR321" s="1804"/>
      <c r="DS321" s="1804"/>
      <c r="DT321" s="1804"/>
      <c r="DU321" s="1804"/>
      <c r="DV321" s="1804"/>
      <c r="DW321" s="1804"/>
      <c r="DX321" s="1804"/>
      <c r="DY321" s="1804"/>
      <c r="DZ321" s="1804"/>
      <c r="EA321" s="1804"/>
      <c r="EB321" s="1804"/>
      <c r="EC321" s="1804"/>
      <c r="ED321" s="1804"/>
      <c r="EE321" s="1804"/>
      <c r="EF321" s="1804"/>
      <c r="EG321" s="1804"/>
      <c r="EH321" s="1804"/>
      <c r="EI321" s="1804"/>
      <c r="EJ321" s="1804"/>
      <c r="EK321" s="1804"/>
      <c r="EL321" s="1804"/>
      <c r="EM321" s="1804"/>
      <c r="EN321" s="1804"/>
      <c r="EO321" s="1804"/>
      <c r="EP321" s="1804"/>
      <c r="EQ321" s="1804"/>
      <c r="ER321" s="1804"/>
      <c r="ES321" s="1804"/>
      <c r="ET321" s="1804"/>
      <c r="EU321" s="1804"/>
      <c r="EV321" s="1804"/>
      <c r="EW321" s="1804"/>
      <c r="EX321" s="1804"/>
      <c r="EY321" s="1804"/>
      <c r="EZ321" s="1804"/>
      <c r="FA321" s="1804"/>
      <c r="FB321" s="1804"/>
      <c r="FC321" s="1804"/>
      <c r="FD321" s="1804"/>
      <c r="FE321" s="1804"/>
      <c r="FF321" s="1804"/>
      <c r="FG321" s="1804"/>
      <c r="FH321" s="1804"/>
      <c r="FI321" s="1804"/>
      <c r="FJ321" s="1804"/>
      <c r="FK321" s="1804"/>
      <c r="FL321" s="1804"/>
      <c r="FM321" s="1804"/>
      <c r="FN321" s="1804"/>
      <c r="FO321" s="1804"/>
      <c r="FP321" s="1804"/>
      <c r="FQ321" s="1804"/>
      <c r="FR321" s="1804"/>
      <c r="FS321" s="1804"/>
      <c r="FT321" s="1804"/>
      <c r="FU321" s="1804"/>
      <c r="FV321" s="1804"/>
      <c r="FW321" s="1804"/>
      <c r="FX321" s="1804"/>
      <c r="FY321" s="1804"/>
      <c r="FZ321" s="1804"/>
      <c r="GA321" s="1804"/>
      <c r="GB321" s="1804"/>
      <c r="GC321" s="1804"/>
      <c r="GD321" s="1804"/>
      <c r="GE321" s="1804"/>
      <c r="GF321" s="1804"/>
      <c r="GG321" s="1804"/>
      <c r="GH321" s="1804"/>
      <c r="GI321" s="1804"/>
      <c r="GJ321" s="1804"/>
      <c r="GK321" s="1804"/>
      <c r="GL321" s="1804"/>
      <c r="GM321" s="1804"/>
      <c r="GN321" s="1804"/>
      <c r="GO321" s="1804"/>
      <c r="GP321" s="1804"/>
      <c r="GQ321" s="1804"/>
      <c r="GR321" s="1804"/>
      <c r="GS321" s="1804"/>
      <c r="GT321" s="1804"/>
      <c r="GU321" s="1804"/>
      <c r="GV321" s="1804"/>
      <c r="GW321" s="1804"/>
      <c r="GX321" s="1804"/>
      <c r="GY321" s="1804"/>
      <c r="GZ321" s="1804"/>
      <c r="HA321" s="1804"/>
      <c r="HB321" s="1804"/>
      <c r="HC321" s="1804"/>
      <c r="HD321" s="1804"/>
      <c r="HE321" s="1804"/>
      <c r="HF321" s="1804"/>
      <c r="HG321" s="1804"/>
      <c r="HH321" s="1804"/>
      <c r="HI321" s="1804"/>
      <c r="HJ321" s="1804"/>
      <c r="HK321" s="1804"/>
      <c r="HL321" s="1804"/>
      <c r="HM321" s="1804"/>
      <c r="HN321" s="1804"/>
      <c r="HO321" s="1804"/>
      <c r="HP321" s="1804"/>
      <c r="HQ321" s="1804"/>
      <c r="HR321" s="1804"/>
      <c r="HS321" s="1804"/>
      <c r="HT321" s="1804"/>
      <c r="HU321" s="1804"/>
      <c r="HV321" s="1804"/>
      <c r="HW321" s="1804"/>
      <c r="HX321" s="1804"/>
      <c r="HY321" s="1804"/>
      <c r="HZ321" s="1804"/>
      <c r="IA321" s="1804"/>
      <c r="IB321" s="1804"/>
      <c r="IC321" s="1804"/>
      <c r="ID321" s="1804"/>
      <c r="IE321" s="1804"/>
      <c r="IF321" s="1804"/>
      <c r="IG321" s="1804"/>
      <c r="IH321" s="1804"/>
      <c r="II321" s="1804"/>
      <c r="IJ321" s="1804"/>
      <c r="IK321" s="1804"/>
      <c r="IL321" s="1804"/>
      <c r="IM321" s="1804"/>
      <c r="IN321" s="1804"/>
      <c r="IO321" s="1804"/>
      <c r="IP321" s="1804"/>
      <c r="IQ321" s="1804"/>
      <c r="IR321" s="1804"/>
      <c r="IS321" s="1804"/>
      <c r="IT321" s="1804"/>
      <c r="IU321" s="1804"/>
      <c r="IV321" s="1804"/>
      <c r="IW321" s="1804"/>
    </row>
    <row r="322" spans="3:257" s="888" customFormat="1" x14ac:dyDescent="0.45">
      <c r="C322" s="67" t="s">
        <v>543</v>
      </c>
      <c r="D322" s="68" t="s">
        <v>645</v>
      </c>
      <c r="E322" s="69"/>
      <c r="F322" s="2066">
        <v>1771091.5449512175</v>
      </c>
      <c r="G322" s="118">
        <v>1039.6307368863647</v>
      </c>
      <c r="H322" s="2062">
        <v>3.0123234236140325E-2</v>
      </c>
      <c r="I322" s="2062">
        <v>5.1981536844318242E-2</v>
      </c>
      <c r="J322" s="119">
        <v>11906.034215808195</v>
      </c>
      <c r="K322" s="120">
        <v>6.988842084679411</v>
      </c>
      <c r="L322" s="120">
        <v>2.0309830433408376E-4</v>
      </c>
      <c r="M322" s="2069">
        <v>3.4944210423397046E-4</v>
      </c>
      <c r="N322" s="2072">
        <f t="shared" si="52"/>
        <v>1782997.5791670256</v>
      </c>
      <c r="O322" s="2073">
        <f t="shared" si="53"/>
        <v>1046.702236282533</v>
      </c>
      <c r="P322" s="1838"/>
      <c r="Q322" s="1838"/>
      <c r="R322" s="1804"/>
      <c r="S322" s="1804"/>
      <c r="T322" s="1804"/>
      <c r="U322" s="1804"/>
      <c r="V322" s="1804"/>
      <c r="W322" s="1804"/>
      <c r="X322" s="1804"/>
      <c r="Y322" s="1804"/>
      <c r="Z322" s="1804"/>
      <c r="AA322" s="1804"/>
      <c r="AB322" s="1804"/>
      <c r="AC322" s="1804"/>
      <c r="AD322" s="1804"/>
      <c r="AE322" s="1804"/>
      <c r="AF322" s="1804"/>
      <c r="AG322" s="1804"/>
      <c r="AH322" s="1804"/>
      <c r="AI322" s="1804"/>
      <c r="AJ322" s="1804"/>
      <c r="AK322" s="1804"/>
      <c r="AL322" s="1804"/>
      <c r="AM322" s="1804"/>
      <c r="AN322" s="1804"/>
      <c r="AO322" s="1804"/>
      <c r="AP322" s="1804"/>
      <c r="AQ322" s="1804"/>
      <c r="AR322" s="1804"/>
      <c r="AS322" s="1804"/>
      <c r="AT322" s="1804"/>
      <c r="AU322" s="1804"/>
      <c r="AV322" s="1804"/>
      <c r="AW322" s="1804"/>
      <c r="AX322" s="1804"/>
      <c r="AY322" s="1804"/>
      <c r="AZ322" s="1804"/>
      <c r="BA322" s="1804"/>
      <c r="BB322" s="1804"/>
      <c r="BC322" s="1804"/>
      <c r="BD322" s="1804"/>
      <c r="BE322" s="1804"/>
      <c r="BF322" s="1804"/>
      <c r="BG322" s="1804"/>
      <c r="BH322" s="1804"/>
      <c r="BI322" s="1804"/>
      <c r="BJ322" s="1804"/>
      <c r="BK322" s="1804"/>
      <c r="BL322" s="1804"/>
      <c r="BM322" s="1804"/>
      <c r="BN322" s="1804"/>
      <c r="BO322" s="1804"/>
      <c r="BP322" s="1804"/>
      <c r="BQ322" s="1804"/>
      <c r="BR322" s="1804"/>
      <c r="BS322" s="1804"/>
      <c r="BT322" s="1804"/>
      <c r="BU322" s="1804"/>
      <c r="BV322" s="1804"/>
      <c r="BW322" s="1804"/>
      <c r="BX322" s="1804"/>
      <c r="BY322" s="1804"/>
      <c r="BZ322" s="1804"/>
      <c r="CA322" s="1804"/>
      <c r="CB322" s="1804"/>
      <c r="CC322" s="1804"/>
      <c r="CD322" s="1804"/>
      <c r="CE322" s="1804"/>
      <c r="CF322" s="1804"/>
      <c r="CG322" s="1804"/>
      <c r="CH322" s="1804"/>
      <c r="CI322" s="1804"/>
      <c r="CJ322" s="1804"/>
      <c r="CK322" s="1804"/>
      <c r="CL322" s="1804"/>
      <c r="CM322" s="1804"/>
      <c r="CN322" s="1804"/>
      <c r="CO322" s="1804"/>
      <c r="CP322" s="1804"/>
      <c r="CQ322" s="1804"/>
      <c r="CR322" s="1804"/>
      <c r="CS322" s="1804"/>
      <c r="CT322" s="1804"/>
      <c r="CU322" s="1804"/>
      <c r="CV322" s="1804"/>
      <c r="CW322" s="1804"/>
      <c r="CX322" s="1804"/>
      <c r="CY322" s="1804"/>
      <c r="CZ322" s="1804"/>
      <c r="DA322" s="1804"/>
      <c r="DB322" s="1804"/>
      <c r="DC322" s="1804"/>
      <c r="DD322" s="1804"/>
      <c r="DE322" s="1804"/>
      <c r="DF322" s="1804"/>
      <c r="DG322" s="1804"/>
      <c r="DH322" s="1804"/>
      <c r="DI322" s="1804"/>
      <c r="DJ322" s="1804"/>
      <c r="DK322" s="1804"/>
      <c r="DL322" s="1804"/>
      <c r="DM322" s="1804"/>
      <c r="DN322" s="1804"/>
      <c r="DO322" s="1804"/>
      <c r="DP322" s="1804"/>
      <c r="DQ322" s="1804"/>
      <c r="DR322" s="1804"/>
      <c r="DS322" s="1804"/>
      <c r="DT322" s="1804"/>
      <c r="DU322" s="1804"/>
      <c r="DV322" s="1804"/>
      <c r="DW322" s="1804"/>
      <c r="DX322" s="1804"/>
      <c r="DY322" s="1804"/>
      <c r="DZ322" s="1804"/>
      <c r="EA322" s="1804"/>
      <c r="EB322" s="1804"/>
      <c r="EC322" s="1804"/>
      <c r="ED322" s="1804"/>
      <c r="EE322" s="1804"/>
      <c r="EF322" s="1804"/>
      <c r="EG322" s="1804"/>
      <c r="EH322" s="1804"/>
      <c r="EI322" s="1804"/>
      <c r="EJ322" s="1804"/>
      <c r="EK322" s="1804"/>
      <c r="EL322" s="1804"/>
      <c r="EM322" s="1804"/>
      <c r="EN322" s="1804"/>
      <c r="EO322" s="1804"/>
      <c r="EP322" s="1804"/>
      <c r="EQ322" s="1804"/>
      <c r="ER322" s="1804"/>
      <c r="ES322" s="1804"/>
      <c r="ET322" s="1804"/>
      <c r="EU322" s="1804"/>
      <c r="EV322" s="1804"/>
      <c r="EW322" s="1804"/>
      <c r="EX322" s="1804"/>
      <c r="EY322" s="1804"/>
      <c r="EZ322" s="1804"/>
      <c r="FA322" s="1804"/>
      <c r="FB322" s="1804"/>
      <c r="FC322" s="1804"/>
      <c r="FD322" s="1804"/>
      <c r="FE322" s="1804"/>
      <c r="FF322" s="1804"/>
      <c r="FG322" s="1804"/>
      <c r="FH322" s="1804"/>
      <c r="FI322" s="1804"/>
      <c r="FJ322" s="1804"/>
      <c r="FK322" s="1804"/>
      <c r="FL322" s="1804"/>
      <c r="FM322" s="1804"/>
      <c r="FN322" s="1804"/>
      <c r="FO322" s="1804"/>
      <c r="FP322" s="1804"/>
      <c r="FQ322" s="1804"/>
      <c r="FR322" s="1804"/>
      <c r="FS322" s="1804"/>
      <c r="FT322" s="1804"/>
      <c r="FU322" s="1804"/>
      <c r="FV322" s="1804"/>
      <c r="FW322" s="1804"/>
      <c r="FX322" s="1804"/>
      <c r="FY322" s="1804"/>
      <c r="FZ322" s="1804"/>
      <c r="GA322" s="1804"/>
      <c r="GB322" s="1804"/>
      <c r="GC322" s="1804"/>
      <c r="GD322" s="1804"/>
      <c r="GE322" s="1804"/>
      <c r="GF322" s="1804"/>
      <c r="GG322" s="1804"/>
      <c r="GH322" s="1804"/>
      <c r="GI322" s="1804"/>
      <c r="GJ322" s="1804"/>
      <c r="GK322" s="1804"/>
      <c r="GL322" s="1804"/>
      <c r="GM322" s="1804"/>
      <c r="GN322" s="1804"/>
      <c r="GO322" s="1804"/>
      <c r="GP322" s="1804"/>
      <c r="GQ322" s="1804"/>
      <c r="GR322" s="1804"/>
      <c r="GS322" s="1804"/>
      <c r="GT322" s="1804"/>
      <c r="GU322" s="1804"/>
      <c r="GV322" s="1804"/>
      <c r="GW322" s="1804"/>
      <c r="GX322" s="1804"/>
      <c r="GY322" s="1804"/>
      <c r="GZ322" s="1804"/>
      <c r="HA322" s="1804"/>
      <c r="HB322" s="1804"/>
      <c r="HC322" s="1804"/>
      <c r="HD322" s="1804"/>
      <c r="HE322" s="1804"/>
      <c r="HF322" s="1804"/>
      <c r="HG322" s="1804"/>
      <c r="HH322" s="1804"/>
      <c r="HI322" s="1804"/>
      <c r="HJ322" s="1804"/>
      <c r="HK322" s="1804"/>
      <c r="HL322" s="1804"/>
      <c r="HM322" s="1804"/>
      <c r="HN322" s="1804"/>
      <c r="HO322" s="1804"/>
      <c r="HP322" s="1804"/>
      <c r="HQ322" s="1804"/>
      <c r="HR322" s="1804"/>
      <c r="HS322" s="1804"/>
      <c r="HT322" s="1804"/>
      <c r="HU322" s="1804"/>
      <c r="HV322" s="1804"/>
      <c r="HW322" s="1804"/>
      <c r="HX322" s="1804"/>
      <c r="HY322" s="1804"/>
      <c r="HZ322" s="1804"/>
      <c r="IA322" s="1804"/>
      <c r="IB322" s="1804"/>
      <c r="IC322" s="1804"/>
      <c r="ID322" s="1804"/>
      <c r="IE322" s="1804"/>
      <c r="IF322" s="1804"/>
      <c r="IG322" s="1804"/>
      <c r="IH322" s="1804"/>
      <c r="II322" s="1804"/>
      <c r="IJ322" s="1804"/>
      <c r="IK322" s="1804"/>
      <c r="IL322" s="1804"/>
      <c r="IM322" s="1804"/>
      <c r="IN322" s="1804"/>
      <c r="IO322" s="1804"/>
      <c r="IP322" s="1804"/>
      <c r="IQ322" s="1804"/>
      <c r="IR322" s="1804"/>
      <c r="IS322" s="1804"/>
      <c r="IT322" s="1804"/>
      <c r="IU322" s="1804"/>
      <c r="IV322" s="1804"/>
      <c r="IW322" s="1804"/>
    </row>
    <row r="323" spans="3:257" s="888" customFormat="1" x14ac:dyDescent="0.45">
      <c r="C323" s="67" t="s">
        <v>544</v>
      </c>
      <c r="D323" s="68" t="s">
        <v>646</v>
      </c>
      <c r="E323" s="69"/>
      <c r="F323" s="2066">
        <v>0</v>
      </c>
      <c r="G323" s="118">
        <v>0</v>
      </c>
      <c r="H323" s="2062"/>
      <c r="I323" s="2062"/>
      <c r="J323" s="119">
        <v>0</v>
      </c>
      <c r="K323" s="120">
        <v>0</v>
      </c>
      <c r="L323" s="120"/>
      <c r="M323" s="2069"/>
      <c r="N323" s="2072">
        <f t="shared" si="52"/>
        <v>0</v>
      </c>
      <c r="O323" s="2073">
        <f t="shared" si="53"/>
        <v>0</v>
      </c>
      <c r="P323" s="1838"/>
      <c r="Q323" s="1838"/>
      <c r="R323" s="1804"/>
      <c r="S323" s="1804"/>
      <c r="T323" s="1804"/>
      <c r="U323" s="1804"/>
      <c r="V323" s="1804"/>
      <c r="W323" s="1804"/>
      <c r="X323" s="1804"/>
      <c r="Y323" s="1804"/>
      <c r="Z323" s="1804"/>
      <c r="AA323" s="1804"/>
      <c r="AB323" s="1804"/>
      <c r="AC323" s="1804"/>
      <c r="AD323" s="1804"/>
      <c r="AE323" s="1804"/>
      <c r="AF323" s="1804"/>
      <c r="AG323" s="1804"/>
      <c r="AH323" s="1804"/>
      <c r="AI323" s="1804"/>
      <c r="AJ323" s="1804"/>
      <c r="AK323" s="1804"/>
      <c r="AL323" s="1804"/>
      <c r="AM323" s="1804"/>
      <c r="AN323" s="1804"/>
      <c r="AO323" s="1804"/>
      <c r="AP323" s="1804"/>
      <c r="AQ323" s="1804"/>
      <c r="AR323" s="1804"/>
      <c r="AS323" s="1804"/>
      <c r="AT323" s="1804"/>
      <c r="AU323" s="1804"/>
      <c r="AV323" s="1804"/>
      <c r="AW323" s="1804"/>
      <c r="AX323" s="1804"/>
      <c r="AY323" s="1804"/>
      <c r="AZ323" s="1804"/>
      <c r="BA323" s="1804"/>
      <c r="BB323" s="1804"/>
      <c r="BC323" s="1804"/>
      <c r="BD323" s="1804"/>
      <c r="BE323" s="1804"/>
      <c r="BF323" s="1804"/>
      <c r="BG323" s="1804"/>
      <c r="BH323" s="1804"/>
      <c r="BI323" s="1804"/>
      <c r="BJ323" s="1804"/>
      <c r="BK323" s="1804"/>
      <c r="BL323" s="1804"/>
      <c r="BM323" s="1804"/>
      <c r="BN323" s="1804"/>
      <c r="BO323" s="1804"/>
      <c r="BP323" s="1804"/>
      <c r="BQ323" s="1804"/>
      <c r="BR323" s="1804"/>
      <c r="BS323" s="1804"/>
      <c r="BT323" s="1804"/>
      <c r="BU323" s="1804"/>
      <c r="BV323" s="1804"/>
      <c r="BW323" s="1804"/>
      <c r="BX323" s="1804"/>
      <c r="BY323" s="1804"/>
      <c r="BZ323" s="1804"/>
      <c r="CA323" s="1804"/>
      <c r="CB323" s="1804"/>
      <c r="CC323" s="1804"/>
      <c r="CD323" s="1804"/>
      <c r="CE323" s="1804"/>
      <c r="CF323" s="1804"/>
      <c r="CG323" s="1804"/>
      <c r="CH323" s="1804"/>
      <c r="CI323" s="1804"/>
      <c r="CJ323" s="1804"/>
      <c r="CK323" s="1804"/>
      <c r="CL323" s="1804"/>
      <c r="CM323" s="1804"/>
      <c r="CN323" s="1804"/>
      <c r="CO323" s="1804"/>
      <c r="CP323" s="1804"/>
      <c r="CQ323" s="1804"/>
      <c r="CR323" s="1804"/>
      <c r="CS323" s="1804"/>
      <c r="CT323" s="1804"/>
      <c r="CU323" s="1804"/>
      <c r="CV323" s="1804"/>
      <c r="CW323" s="1804"/>
      <c r="CX323" s="1804"/>
      <c r="CY323" s="1804"/>
      <c r="CZ323" s="1804"/>
      <c r="DA323" s="1804"/>
      <c r="DB323" s="1804"/>
      <c r="DC323" s="1804"/>
      <c r="DD323" s="1804"/>
      <c r="DE323" s="1804"/>
      <c r="DF323" s="1804"/>
      <c r="DG323" s="1804"/>
      <c r="DH323" s="1804"/>
      <c r="DI323" s="1804"/>
      <c r="DJ323" s="1804"/>
      <c r="DK323" s="1804"/>
      <c r="DL323" s="1804"/>
      <c r="DM323" s="1804"/>
      <c r="DN323" s="1804"/>
      <c r="DO323" s="1804"/>
      <c r="DP323" s="1804"/>
      <c r="DQ323" s="1804"/>
      <c r="DR323" s="1804"/>
      <c r="DS323" s="1804"/>
      <c r="DT323" s="1804"/>
      <c r="DU323" s="1804"/>
      <c r="DV323" s="1804"/>
      <c r="DW323" s="1804"/>
      <c r="DX323" s="1804"/>
      <c r="DY323" s="1804"/>
      <c r="DZ323" s="1804"/>
      <c r="EA323" s="1804"/>
      <c r="EB323" s="1804"/>
      <c r="EC323" s="1804"/>
      <c r="ED323" s="1804"/>
      <c r="EE323" s="1804"/>
      <c r="EF323" s="1804"/>
      <c r="EG323" s="1804"/>
      <c r="EH323" s="1804"/>
      <c r="EI323" s="1804"/>
      <c r="EJ323" s="1804"/>
      <c r="EK323" s="1804"/>
      <c r="EL323" s="1804"/>
      <c r="EM323" s="1804"/>
      <c r="EN323" s="1804"/>
      <c r="EO323" s="1804"/>
      <c r="EP323" s="1804"/>
      <c r="EQ323" s="1804"/>
      <c r="ER323" s="1804"/>
      <c r="ES323" s="1804"/>
      <c r="ET323" s="1804"/>
      <c r="EU323" s="1804"/>
      <c r="EV323" s="1804"/>
      <c r="EW323" s="1804"/>
      <c r="EX323" s="1804"/>
      <c r="EY323" s="1804"/>
      <c r="EZ323" s="1804"/>
      <c r="FA323" s="1804"/>
      <c r="FB323" s="1804"/>
      <c r="FC323" s="1804"/>
      <c r="FD323" s="1804"/>
      <c r="FE323" s="1804"/>
      <c r="FF323" s="1804"/>
      <c r="FG323" s="1804"/>
      <c r="FH323" s="1804"/>
      <c r="FI323" s="1804"/>
      <c r="FJ323" s="1804"/>
      <c r="FK323" s="1804"/>
      <c r="FL323" s="1804"/>
      <c r="FM323" s="1804"/>
      <c r="FN323" s="1804"/>
      <c r="FO323" s="1804"/>
      <c r="FP323" s="1804"/>
      <c r="FQ323" s="1804"/>
      <c r="FR323" s="1804"/>
      <c r="FS323" s="1804"/>
      <c r="FT323" s="1804"/>
      <c r="FU323" s="1804"/>
      <c r="FV323" s="1804"/>
      <c r="FW323" s="1804"/>
      <c r="FX323" s="1804"/>
      <c r="FY323" s="1804"/>
      <c r="FZ323" s="1804"/>
      <c r="GA323" s="1804"/>
      <c r="GB323" s="1804"/>
      <c r="GC323" s="1804"/>
      <c r="GD323" s="1804"/>
      <c r="GE323" s="1804"/>
      <c r="GF323" s="1804"/>
      <c r="GG323" s="1804"/>
      <c r="GH323" s="1804"/>
      <c r="GI323" s="1804"/>
      <c r="GJ323" s="1804"/>
      <c r="GK323" s="1804"/>
      <c r="GL323" s="1804"/>
      <c r="GM323" s="1804"/>
      <c r="GN323" s="1804"/>
      <c r="GO323" s="1804"/>
      <c r="GP323" s="1804"/>
      <c r="GQ323" s="1804"/>
      <c r="GR323" s="1804"/>
      <c r="GS323" s="1804"/>
      <c r="GT323" s="1804"/>
      <c r="GU323" s="1804"/>
      <c r="GV323" s="1804"/>
      <c r="GW323" s="1804"/>
      <c r="GX323" s="1804"/>
      <c r="GY323" s="1804"/>
      <c r="GZ323" s="1804"/>
      <c r="HA323" s="1804"/>
      <c r="HB323" s="1804"/>
      <c r="HC323" s="1804"/>
      <c r="HD323" s="1804"/>
      <c r="HE323" s="1804"/>
      <c r="HF323" s="1804"/>
      <c r="HG323" s="1804"/>
      <c r="HH323" s="1804"/>
      <c r="HI323" s="1804"/>
      <c r="HJ323" s="1804"/>
      <c r="HK323" s="1804"/>
      <c r="HL323" s="1804"/>
      <c r="HM323" s="1804"/>
      <c r="HN323" s="1804"/>
      <c r="HO323" s="1804"/>
      <c r="HP323" s="1804"/>
      <c r="HQ323" s="1804"/>
      <c r="HR323" s="1804"/>
      <c r="HS323" s="1804"/>
      <c r="HT323" s="1804"/>
      <c r="HU323" s="1804"/>
      <c r="HV323" s="1804"/>
      <c r="HW323" s="1804"/>
      <c r="HX323" s="1804"/>
      <c r="HY323" s="1804"/>
      <c r="HZ323" s="1804"/>
      <c r="IA323" s="1804"/>
      <c r="IB323" s="1804"/>
      <c r="IC323" s="1804"/>
      <c r="ID323" s="1804"/>
      <c r="IE323" s="1804"/>
      <c r="IF323" s="1804"/>
      <c r="IG323" s="1804"/>
      <c r="IH323" s="1804"/>
      <c r="II323" s="1804"/>
      <c r="IJ323" s="1804"/>
      <c r="IK323" s="1804"/>
      <c r="IL323" s="1804"/>
      <c r="IM323" s="1804"/>
      <c r="IN323" s="1804"/>
      <c r="IO323" s="1804"/>
      <c r="IP323" s="1804"/>
      <c r="IQ323" s="1804"/>
      <c r="IR323" s="1804"/>
      <c r="IS323" s="1804"/>
      <c r="IT323" s="1804"/>
      <c r="IU323" s="1804"/>
      <c r="IV323" s="1804"/>
      <c r="IW323" s="1804"/>
    </row>
    <row r="324" spans="3:257" s="888" customFormat="1" x14ac:dyDescent="0.45">
      <c r="C324" s="67" t="s">
        <v>545</v>
      </c>
      <c r="D324" s="68" t="s">
        <v>647</v>
      </c>
      <c r="E324" s="69"/>
      <c r="F324" s="2066">
        <v>0</v>
      </c>
      <c r="G324" s="118">
        <v>0</v>
      </c>
      <c r="H324" s="2062"/>
      <c r="I324" s="2062"/>
      <c r="J324" s="119">
        <v>0</v>
      </c>
      <c r="K324" s="120">
        <v>0</v>
      </c>
      <c r="L324" s="120"/>
      <c r="M324" s="2069"/>
      <c r="N324" s="2072">
        <f t="shared" si="52"/>
        <v>0</v>
      </c>
      <c r="O324" s="2073">
        <f t="shared" si="53"/>
        <v>0</v>
      </c>
      <c r="P324" s="1838"/>
      <c r="Q324" s="1838"/>
      <c r="R324" s="1804"/>
      <c r="S324" s="1804"/>
      <c r="T324" s="1804"/>
      <c r="U324" s="1804"/>
      <c r="V324" s="1804"/>
      <c r="W324" s="1804"/>
      <c r="X324" s="1804"/>
      <c r="Y324" s="1804"/>
      <c r="Z324" s="1804"/>
      <c r="AA324" s="1804"/>
      <c r="AB324" s="1804"/>
      <c r="AC324" s="1804"/>
      <c r="AD324" s="1804"/>
      <c r="AE324" s="1804"/>
      <c r="AF324" s="1804"/>
      <c r="AG324" s="1804"/>
      <c r="AH324" s="1804"/>
      <c r="AI324" s="1804"/>
      <c r="AJ324" s="1804"/>
      <c r="AK324" s="1804"/>
      <c r="AL324" s="1804"/>
      <c r="AM324" s="1804"/>
      <c r="AN324" s="1804"/>
      <c r="AO324" s="1804"/>
      <c r="AP324" s="1804"/>
      <c r="AQ324" s="1804"/>
      <c r="AR324" s="1804"/>
      <c r="AS324" s="1804"/>
      <c r="AT324" s="1804"/>
      <c r="AU324" s="1804"/>
      <c r="AV324" s="1804"/>
      <c r="AW324" s="1804"/>
      <c r="AX324" s="1804"/>
      <c r="AY324" s="1804"/>
      <c r="AZ324" s="1804"/>
      <c r="BA324" s="1804"/>
      <c r="BB324" s="1804"/>
      <c r="BC324" s="1804"/>
      <c r="BD324" s="1804"/>
      <c r="BE324" s="1804"/>
      <c r="BF324" s="1804"/>
      <c r="BG324" s="1804"/>
      <c r="BH324" s="1804"/>
      <c r="BI324" s="1804"/>
      <c r="BJ324" s="1804"/>
      <c r="BK324" s="1804"/>
      <c r="BL324" s="1804"/>
      <c r="BM324" s="1804"/>
      <c r="BN324" s="1804"/>
      <c r="BO324" s="1804"/>
      <c r="BP324" s="1804"/>
      <c r="BQ324" s="1804"/>
      <c r="BR324" s="1804"/>
      <c r="BS324" s="1804"/>
      <c r="BT324" s="1804"/>
      <c r="BU324" s="1804"/>
      <c r="BV324" s="1804"/>
      <c r="BW324" s="1804"/>
      <c r="BX324" s="1804"/>
      <c r="BY324" s="1804"/>
      <c r="BZ324" s="1804"/>
      <c r="CA324" s="1804"/>
      <c r="CB324" s="1804"/>
      <c r="CC324" s="1804"/>
      <c r="CD324" s="1804"/>
      <c r="CE324" s="1804"/>
      <c r="CF324" s="1804"/>
      <c r="CG324" s="1804"/>
      <c r="CH324" s="1804"/>
      <c r="CI324" s="1804"/>
      <c r="CJ324" s="1804"/>
      <c r="CK324" s="1804"/>
      <c r="CL324" s="1804"/>
      <c r="CM324" s="1804"/>
      <c r="CN324" s="1804"/>
      <c r="CO324" s="1804"/>
      <c r="CP324" s="1804"/>
      <c r="CQ324" s="1804"/>
      <c r="CR324" s="1804"/>
      <c r="CS324" s="1804"/>
      <c r="CT324" s="1804"/>
      <c r="CU324" s="1804"/>
      <c r="CV324" s="1804"/>
      <c r="CW324" s="1804"/>
      <c r="CX324" s="1804"/>
      <c r="CY324" s="1804"/>
      <c r="CZ324" s="1804"/>
      <c r="DA324" s="1804"/>
      <c r="DB324" s="1804"/>
      <c r="DC324" s="1804"/>
      <c r="DD324" s="1804"/>
      <c r="DE324" s="1804"/>
      <c r="DF324" s="1804"/>
      <c r="DG324" s="1804"/>
      <c r="DH324" s="1804"/>
      <c r="DI324" s="1804"/>
      <c r="DJ324" s="1804"/>
      <c r="DK324" s="1804"/>
      <c r="DL324" s="1804"/>
      <c r="DM324" s="1804"/>
      <c r="DN324" s="1804"/>
      <c r="DO324" s="1804"/>
      <c r="DP324" s="1804"/>
      <c r="DQ324" s="1804"/>
      <c r="DR324" s="1804"/>
      <c r="DS324" s="1804"/>
      <c r="DT324" s="1804"/>
      <c r="DU324" s="1804"/>
      <c r="DV324" s="1804"/>
      <c r="DW324" s="1804"/>
      <c r="DX324" s="1804"/>
      <c r="DY324" s="1804"/>
      <c r="DZ324" s="1804"/>
      <c r="EA324" s="1804"/>
      <c r="EB324" s="1804"/>
      <c r="EC324" s="1804"/>
      <c r="ED324" s="1804"/>
      <c r="EE324" s="1804"/>
      <c r="EF324" s="1804"/>
      <c r="EG324" s="1804"/>
      <c r="EH324" s="1804"/>
      <c r="EI324" s="1804"/>
      <c r="EJ324" s="1804"/>
      <c r="EK324" s="1804"/>
      <c r="EL324" s="1804"/>
      <c r="EM324" s="1804"/>
      <c r="EN324" s="1804"/>
      <c r="EO324" s="1804"/>
      <c r="EP324" s="1804"/>
      <c r="EQ324" s="1804"/>
      <c r="ER324" s="1804"/>
      <c r="ES324" s="1804"/>
      <c r="ET324" s="1804"/>
      <c r="EU324" s="1804"/>
      <c r="EV324" s="1804"/>
      <c r="EW324" s="1804"/>
      <c r="EX324" s="1804"/>
      <c r="EY324" s="1804"/>
      <c r="EZ324" s="1804"/>
      <c r="FA324" s="1804"/>
      <c r="FB324" s="1804"/>
      <c r="FC324" s="1804"/>
      <c r="FD324" s="1804"/>
      <c r="FE324" s="1804"/>
      <c r="FF324" s="1804"/>
      <c r="FG324" s="1804"/>
      <c r="FH324" s="1804"/>
      <c r="FI324" s="1804"/>
      <c r="FJ324" s="1804"/>
      <c r="FK324" s="1804"/>
      <c r="FL324" s="1804"/>
      <c r="FM324" s="1804"/>
      <c r="FN324" s="1804"/>
      <c r="FO324" s="1804"/>
      <c r="FP324" s="1804"/>
      <c r="FQ324" s="1804"/>
      <c r="FR324" s="1804"/>
      <c r="FS324" s="1804"/>
      <c r="FT324" s="1804"/>
      <c r="FU324" s="1804"/>
      <c r="FV324" s="1804"/>
      <c r="FW324" s="1804"/>
      <c r="FX324" s="1804"/>
      <c r="FY324" s="1804"/>
      <c r="FZ324" s="1804"/>
      <c r="GA324" s="1804"/>
      <c r="GB324" s="1804"/>
      <c r="GC324" s="1804"/>
      <c r="GD324" s="1804"/>
      <c r="GE324" s="1804"/>
      <c r="GF324" s="1804"/>
      <c r="GG324" s="1804"/>
      <c r="GH324" s="1804"/>
      <c r="GI324" s="1804"/>
      <c r="GJ324" s="1804"/>
      <c r="GK324" s="1804"/>
      <c r="GL324" s="1804"/>
      <c r="GM324" s="1804"/>
      <c r="GN324" s="1804"/>
      <c r="GO324" s="1804"/>
      <c r="GP324" s="1804"/>
      <c r="GQ324" s="1804"/>
      <c r="GR324" s="1804"/>
      <c r="GS324" s="1804"/>
      <c r="GT324" s="1804"/>
      <c r="GU324" s="1804"/>
      <c r="GV324" s="1804"/>
      <c r="GW324" s="1804"/>
      <c r="GX324" s="1804"/>
      <c r="GY324" s="1804"/>
      <c r="GZ324" s="1804"/>
      <c r="HA324" s="1804"/>
      <c r="HB324" s="1804"/>
      <c r="HC324" s="1804"/>
      <c r="HD324" s="1804"/>
      <c r="HE324" s="1804"/>
      <c r="HF324" s="1804"/>
      <c r="HG324" s="1804"/>
      <c r="HH324" s="1804"/>
      <c r="HI324" s="1804"/>
      <c r="HJ324" s="1804"/>
      <c r="HK324" s="1804"/>
      <c r="HL324" s="1804"/>
      <c r="HM324" s="1804"/>
      <c r="HN324" s="1804"/>
      <c r="HO324" s="1804"/>
      <c r="HP324" s="1804"/>
      <c r="HQ324" s="1804"/>
      <c r="HR324" s="1804"/>
      <c r="HS324" s="1804"/>
      <c r="HT324" s="1804"/>
      <c r="HU324" s="1804"/>
      <c r="HV324" s="1804"/>
      <c r="HW324" s="1804"/>
      <c r="HX324" s="1804"/>
      <c r="HY324" s="1804"/>
      <c r="HZ324" s="1804"/>
      <c r="IA324" s="1804"/>
      <c r="IB324" s="1804"/>
      <c r="IC324" s="1804"/>
      <c r="ID324" s="1804"/>
      <c r="IE324" s="1804"/>
      <c r="IF324" s="1804"/>
      <c r="IG324" s="1804"/>
      <c r="IH324" s="1804"/>
      <c r="II324" s="1804"/>
      <c r="IJ324" s="1804"/>
      <c r="IK324" s="1804"/>
      <c r="IL324" s="1804"/>
      <c r="IM324" s="1804"/>
      <c r="IN324" s="1804"/>
      <c r="IO324" s="1804"/>
      <c r="IP324" s="1804"/>
      <c r="IQ324" s="1804"/>
      <c r="IR324" s="1804"/>
      <c r="IS324" s="1804"/>
      <c r="IT324" s="1804"/>
      <c r="IU324" s="1804"/>
      <c r="IV324" s="1804"/>
      <c r="IW324" s="1804"/>
    </row>
    <row r="325" spans="3:257" s="888" customFormat="1" x14ac:dyDescent="0.45">
      <c r="C325" s="67" t="s">
        <v>546</v>
      </c>
      <c r="D325" s="68" t="s">
        <v>648</v>
      </c>
      <c r="E325" s="69"/>
      <c r="F325" s="2066">
        <v>0</v>
      </c>
      <c r="G325" s="118">
        <v>0</v>
      </c>
      <c r="H325" s="2062"/>
      <c r="I325" s="2062"/>
      <c r="J325" s="119">
        <v>0</v>
      </c>
      <c r="K325" s="120">
        <v>0</v>
      </c>
      <c r="L325" s="120"/>
      <c r="M325" s="2069"/>
      <c r="N325" s="2072">
        <f t="shared" si="52"/>
        <v>0</v>
      </c>
      <c r="O325" s="2073">
        <f t="shared" si="53"/>
        <v>0</v>
      </c>
      <c r="P325" s="1838"/>
      <c r="Q325" s="1838"/>
      <c r="R325" s="1804"/>
      <c r="S325" s="1804"/>
      <c r="T325" s="1804"/>
      <c r="U325" s="1804"/>
      <c r="V325" s="1804"/>
      <c r="W325" s="1804"/>
      <c r="X325" s="1804"/>
      <c r="Y325" s="1804"/>
      <c r="Z325" s="1804"/>
      <c r="AA325" s="1804"/>
      <c r="AB325" s="1804"/>
      <c r="AC325" s="1804"/>
      <c r="AD325" s="1804"/>
      <c r="AE325" s="1804"/>
      <c r="AF325" s="1804"/>
      <c r="AG325" s="1804"/>
      <c r="AH325" s="1804"/>
      <c r="AI325" s="1804"/>
      <c r="AJ325" s="1804"/>
      <c r="AK325" s="1804"/>
      <c r="AL325" s="1804"/>
      <c r="AM325" s="1804"/>
      <c r="AN325" s="1804"/>
      <c r="AO325" s="1804"/>
      <c r="AP325" s="1804"/>
      <c r="AQ325" s="1804"/>
      <c r="AR325" s="1804"/>
      <c r="AS325" s="1804"/>
      <c r="AT325" s="1804"/>
      <c r="AU325" s="1804"/>
      <c r="AV325" s="1804"/>
      <c r="AW325" s="1804"/>
      <c r="AX325" s="1804"/>
      <c r="AY325" s="1804"/>
      <c r="AZ325" s="1804"/>
      <c r="BA325" s="1804"/>
      <c r="BB325" s="1804"/>
      <c r="BC325" s="1804"/>
      <c r="BD325" s="1804"/>
      <c r="BE325" s="1804"/>
      <c r="BF325" s="1804"/>
      <c r="BG325" s="1804"/>
      <c r="BH325" s="1804"/>
      <c r="BI325" s="1804"/>
      <c r="BJ325" s="1804"/>
      <c r="BK325" s="1804"/>
      <c r="BL325" s="1804"/>
      <c r="BM325" s="1804"/>
      <c r="BN325" s="1804"/>
      <c r="BO325" s="1804"/>
      <c r="BP325" s="1804"/>
      <c r="BQ325" s="1804"/>
      <c r="BR325" s="1804"/>
      <c r="BS325" s="1804"/>
      <c r="BT325" s="1804"/>
      <c r="BU325" s="1804"/>
      <c r="BV325" s="1804"/>
      <c r="BW325" s="1804"/>
      <c r="BX325" s="1804"/>
      <c r="BY325" s="1804"/>
      <c r="BZ325" s="1804"/>
      <c r="CA325" s="1804"/>
      <c r="CB325" s="1804"/>
      <c r="CC325" s="1804"/>
      <c r="CD325" s="1804"/>
      <c r="CE325" s="1804"/>
      <c r="CF325" s="1804"/>
      <c r="CG325" s="1804"/>
      <c r="CH325" s="1804"/>
      <c r="CI325" s="1804"/>
      <c r="CJ325" s="1804"/>
      <c r="CK325" s="1804"/>
      <c r="CL325" s="1804"/>
      <c r="CM325" s="1804"/>
      <c r="CN325" s="1804"/>
      <c r="CO325" s="1804"/>
      <c r="CP325" s="1804"/>
      <c r="CQ325" s="1804"/>
      <c r="CR325" s="1804"/>
      <c r="CS325" s="1804"/>
      <c r="CT325" s="1804"/>
      <c r="CU325" s="1804"/>
      <c r="CV325" s="1804"/>
      <c r="CW325" s="1804"/>
      <c r="CX325" s="1804"/>
      <c r="CY325" s="1804"/>
      <c r="CZ325" s="1804"/>
      <c r="DA325" s="1804"/>
      <c r="DB325" s="1804"/>
      <c r="DC325" s="1804"/>
      <c r="DD325" s="1804"/>
      <c r="DE325" s="1804"/>
      <c r="DF325" s="1804"/>
      <c r="DG325" s="1804"/>
      <c r="DH325" s="1804"/>
      <c r="DI325" s="1804"/>
      <c r="DJ325" s="1804"/>
      <c r="DK325" s="1804"/>
      <c r="DL325" s="1804"/>
      <c r="DM325" s="1804"/>
      <c r="DN325" s="1804"/>
      <c r="DO325" s="1804"/>
      <c r="DP325" s="1804"/>
      <c r="DQ325" s="1804"/>
      <c r="DR325" s="1804"/>
      <c r="DS325" s="1804"/>
      <c r="DT325" s="1804"/>
      <c r="DU325" s="1804"/>
      <c r="DV325" s="1804"/>
      <c r="DW325" s="1804"/>
      <c r="DX325" s="1804"/>
      <c r="DY325" s="1804"/>
      <c r="DZ325" s="1804"/>
      <c r="EA325" s="1804"/>
      <c r="EB325" s="1804"/>
      <c r="EC325" s="1804"/>
      <c r="ED325" s="1804"/>
      <c r="EE325" s="1804"/>
      <c r="EF325" s="1804"/>
      <c r="EG325" s="1804"/>
      <c r="EH325" s="1804"/>
      <c r="EI325" s="1804"/>
      <c r="EJ325" s="1804"/>
      <c r="EK325" s="1804"/>
      <c r="EL325" s="1804"/>
      <c r="EM325" s="1804"/>
      <c r="EN325" s="1804"/>
      <c r="EO325" s="1804"/>
      <c r="EP325" s="1804"/>
      <c r="EQ325" s="1804"/>
      <c r="ER325" s="1804"/>
      <c r="ES325" s="1804"/>
      <c r="ET325" s="1804"/>
      <c r="EU325" s="1804"/>
      <c r="EV325" s="1804"/>
      <c r="EW325" s="1804"/>
      <c r="EX325" s="1804"/>
      <c r="EY325" s="1804"/>
      <c r="EZ325" s="1804"/>
      <c r="FA325" s="1804"/>
      <c r="FB325" s="1804"/>
      <c r="FC325" s="1804"/>
      <c r="FD325" s="1804"/>
      <c r="FE325" s="1804"/>
      <c r="FF325" s="1804"/>
      <c r="FG325" s="1804"/>
      <c r="FH325" s="1804"/>
      <c r="FI325" s="1804"/>
      <c r="FJ325" s="1804"/>
      <c r="FK325" s="1804"/>
      <c r="FL325" s="1804"/>
      <c r="FM325" s="1804"/>
      <c r="FN325" s="1804"/>
      <c r="FO325" s="1804"/>
      <c r="FP325" s="1804"/>
      <c r="FQ325" s="1804"/>
      <c r="FR325" s="1804"/>
      <c r="FS325" s="1804"/>
      <c r="FT325" s="1804"/>
      <c r="FU325" s="1804"/>
      <c r="FV325" s="1804"/>
      <c r="FW325" s="1804"/>
      <c r="FX325" s="1804"/>
      <c r="FY325" s="1804"/>
      <c r="FZ325" s="1804"/>
      <c r="GA325" s="1804"/>
      <c r="GB325" s="1804"/>
      <c r="GC325" s="1804"/>
      <c r="GD325" s="1804"/>
      <c r="GE325" s="1804"/>
      <c r="GF325" s="1804"/>
      <c r="GG325" s="1804"/>
      <c r="GH325" s="1804"/>
      <c r="GI325" s="1804"/>
      <c r="GJ325" s="1804"/>
      <c r="GK325" s="1804"/>
      <c r="GL325" s="1804"/>
      <c r="GM325" s="1804"/>
      <c r="GN325" s="1804"/>
      <c r="GO325" s="1804"/>
      <c r="GP325" s="1804"/>
      <c r="GQ325" s="1804"/>
      <c r="GR325" s="1804"/>
      <c r="GS325" s="1804"/>
      <c r="GT325" s="1804"/>
      <c r="GU325" s="1804"/>
      <c r="GV325" s="1804"/>
      <c r="GW325" s="1804"/>
      <c r="GX325" s="1804"/>
      <c r="GY325" s="1804"/>
      <c r="GZ325" s="1804"/>
      <c r="HA325" s="1804"/>
      <c r="HB325" s="1804"/>
      <c r="HC325" s="1804"/>
      <c r="HD325" s="1804"/>
      <c r="HE325" s="1804"/>
      <c r="HF325" s="1804"/>
      <c r="HG325" s="1804"/>
      <c r="HH325" s="1804"/>
      <c r="HI325" s="1804"/>
      <c r="HJ325" s="1804"/>
      <c r="HK325" s="1804"/>
      <c r="HL325" s="1804"/>
      <c r="HM325" s="1804"/>
      <c r="HN325" s="1804"/>
      <c r="HO325" s="1804"/>
      <c r="HP325" s="1804"/>
      <c r="HQ325" s="1804"/>
      <c r="HR325" s="1804"/>
      <c r="HS325" s="1804"/>
      <c r="HT325" s="1804"/>
      <c r="HU325" s="1804"/>
      <c r="HV325" s="1804"/>
      <c r="HW325" s="1804"/>
      <c r="HX325" s="1804"/>
      <c r="HY325" s="1804"/>
      <c r="HZ325" s="1804"/>
      <c r="IA325" s="1804"/>
      <c r="IB325" s="1804"/>
      <c r="IC325" s="1804"/>
      <c r="ID325" s="1804"/>
      <c r="IE325" s="1804"/>
      <c r="IF325" s="1804"/>
      <c r="IG325" s="1804"/>
      <c r="IH325" s="1804"/>
      <c r="II325" s="1804"/>
      <c r="IJ325" s="1804"/>
      <c r="IK325" s="1804"/>
      <c r="IL325" s="1804"/>
      <c r="IM325" s="1804"/>
      <c r="IN325" s="1804"/>
      <c r="IO325" s="1804"/>
      <c r="IP325" s="1804"/>
      <c r="IQ325" s="1804"/>
      <c r="IR325" s="1804"/>
      <c r="IS325" s="1804"/>
      <c r="IT325" s="1804"/>
      <c r="IU325" s="1804"/>
      <c r="IV325" s="1804"/>
      <c r="IW325" s="1804"/>
    </row>
    <row r="326" spans="3:257" s="888" customFormat="1" x14ac:dyDescent="0.45">
      <c r="C326" s="67" t="s">
        <v>547</v>
      </c>
      <c r="D326" s="68" t="s">
        <v>649</v>
      </c>
      <c r="E326" s="69"/>
      <c r="F326" s="2066">
        <v>14208.227916794833</v>
      </c>
      <c r="G326" s="118">
        <v>8.3402297871585667</v>
      </c>
      <c r="H326" s="2062">
        <v>2.4859855764151672E-4</v>
      </c>
      <c r="I326" s="2062">
        <v>4.1701148935792837E-4</v>
      </c>
      <c r="J326" s="119">
        <v>9753.1580075502425</v>
      </c>
      <c r="K326" s="120">
        <v>5.7251037504319919</v>
      </c>
      <c r="L326" s="120">
        <v>2.7334630001961879E-4</v>
      </c>
      <c r="M326" s="2069">
        <v>2.8625518752159966E-4</v>
      </c>
      <c r="N326" s="2072">
        <f t="shared" si="52"/>
        <v>23961.385924345075</v>
      </c>
      <c r="O326" s="2073">
        <f t="shared" si="53"/>
        <v>14.0665587491251</v>
      </c>
      <c r="P326" s="1838"/>
      <c r="Q326" s="1838"/>
      <c r="R326" s="1804"/>
      <c r="S326" s="1804"/>
      <c r="T326" s="1804"/>
      <c r="U326" s="1804"/>
      <c r="V326" s="1804"/>
      <c r="W326" s="1804"/>
      <c r="X326" s="1804"/>
      <c r="Y326" s="1804"/>
      <c r="Z326" s="1804"/>
      <c r="AA326" s="1804"/>
      <c r="AB326" s="1804"/>
      <c r="AC326" s="1804"/>
      <c r="AD326" s="1804"/>
      <c r="AE326" s="1804"/>
      <c r="AF326" s="1804"/>
      <c r="AG326" s="1804"/>
      <c r="AH326" s="1804"/>
      <c r="AI326" s="1804"/>
      <c r="AJ326" s="1804"/>
      <c r="AK326" s="1804"/>
      <c r="AL326" s="1804"/>
      <c r="AM326" s="1804"/>
      <c r="AN326" s="1804"/>
      <c r="AO326" s="1804"/>
      <c r="AP326" s="1804"/>
      <c r="AQ326" s="1804"/>
      <c r="AR326" s="1804"/>
      <c r="AS326" s="1804"/>
      <c r="AT326" s="1804"/>
      <c r="AU326" s="1804"/>
      <c r="AV326" s="1804"/>
      <c r="AW326" s="1804"/>
      <c r="AX326" s="1804"/>
      <c r="AY326" s="1804"/>
      <c r="AZ326" s="1804"/>
      <c r="BA326" s="1804"/>
      <c r="BB326" s="1804"/>
      <c r="BC326" s="1804"/>
      <c r="BD326" s="1804"/>
      <c r="BE326" s="1804"/>
      <c r="BF326" s="1804"/>
      <c r="BG326" s="1804"/>
      <c r="BH326" s="1804"/>
      <c r="BI326" s="1804"/>
      <c r="BJ326" s="1804"/>
      <c r="BK326" s="1804"/>
      <c r="BL326" s="1804"/>
      <c r="BM326" s="1804"/>
      <c r="BN326" s="1804"/>
      <c r="BO326" s="1804"/>
      <c r="BP326" s="1804"/>
      <c r="BQ326" s="1804"/>
      <c r="BR326" s="1804"/>
      <c r="BS326" s="1804"/>
      <c r="BT326" s="1804"/>
      <c r="BU326" s="1804"/>
      <c r="BV326" s="1804"/>
      <c r="BW326" s="1804"/>
      <c r="BX326" s="1804"/>
      <c r="BY326" s="1804"/>
      <c r="BZ326" s="1804"/>
      <c r="CA326" s="1804"/>
      <c r="CB326" s="1804"/>
      <c r="CC326" s="1804"/>
      <c r="CD326" s="1804"/>
      <c r="CE326" s="1804"/>
      <c r="CF326" s="1804"/>
      <c r="CG326" s="1804"/>
      <c r="CH326" s="1804"/>
      <c r="CI326" s="1804"/>
      <c r="CJ326" s="1804"/>
      <c r="CK326" s="1804"/>
      <c r="CL326" s="1804"/>
      <c r="CM326" s="1804"/>
      <c r="CN326" s="1804"/>
      <c r="CO326" s="1804"/>
      <c r="CP326" s="1804"/>
      <c r="CQ326" s="1804"/>
      <c r="CR326" s="1804"/>
      <c r="CS326" s="1804"/>
      <c r="CT326" s="1804"/>
      <c r="CU326" s="1804"/>
      <c r="CV326" s="1804"/>
      <c r="CW326" s="1804"/>
      <c r="CX326" s="1804"/>
      <c r="CY326" s="1804"/>
      <c r="CZ326" s="1804"/>
      <c r="DA326" s="1804"/>
      <c r="DB326" s="1804"/>
      <c r="DC326" s="1804"/>
      <c r="DD326" s="1804"/>
      <c r="DE326" s="1804"/>
      <c r="DF326" s="1804"/>
      <c r="DG326" s="1804"/>
      <c r="DH326" s="1804"/>
      <c r="DI326" s="1804"/>
      <c r="DJ326" s="1804"/>
      <c r="DK326" s="1804"/>
      <c r="DL326" s="1804"/>
      <c r="DM326" s="1804"/>
      <c r="DN326" s="1804"/>
      <c r="DO326" s="1804"/>
      <c r="DP326" s="1804"/>
      <c r="DQ326" s="1804"/>
      <c r="DR326" s="1804"/>
      <c r="DS326" s="1804"/>
      <c r="DT326" s="1804"/>
      <c r="DU326" s="1804"/>
      <c r="DV326" s="1804"/>
      <c r="DW326" s="1804"/>
      <c r="DX326" s="1804"/>
      <c r="DY326" s="1804"/>
      <c r="DZ326" s="1804"/>
      <c r="EA326" s="1804"/>
      <c r="EB326" s="1804"/>
      <c r="EC326" s="1804"/>
      <c r="ED326" s="1804"/>
      <c r="EE326" s="1804"/>
      <c r="EF326" s="1804"/>
      <c r="EG326" s="1804"/>
      <c r="EH326" s="1804"/>
      <c r="EI326" s="1804"/>
      <c r="EJ326" s="1804"/>
      <c r="EK326" s="1804"/>
      <c r="EL326" s="1804"/>
      <c r="EM326" s="1804"/>
      <c r="EN326" s="1804"/>
      <c r="EO326" s="1804"/>
      <c r="EP326" s="1804"/>
      <c r="EQ326" s="1804"/>
      <c r="ER326" s="1804"/>
      <c r="ES326" s="1804"/>
      <c r="ET326" s="1804"/>
      <c r="EU326" s="1804"/>
      <c r="EV326" s="1804"/>
      <c r="EW326" s="1804"/>
      <c r="EX326" s="1804"/>
      <c r="EY326" s="1804"/>
      <c r="EZ326" s="1804"/>
      <c r="FA326" s="1804"/>
      <c r="FB326" s="1804"/>
      <c r="FC326" s="1804"/>
      <c r="FD326" s="1804"/>
      <c r="FE326" s="1804"/>
      <c r="FF326" s="1804"/>
      <c r="FG326" s="1804"/>
      <c r="FH326" s="1804"/>
      <c r="FI326" s="1804"/>
      <c r="FJ326" s="1804"/>
      <c r="FK326" s="1804"/>
      <c r="FL326" s="1804"/>
      <c r="FM326" s="1804"/>
      <c r="FN326" s="1804"/>
      <c r="FO326" s="1804"/>
      <c r="FP326" s="1804"/>
      <c r="FQ326" s="1804"/>
      <c r="FR326" s="1804"/>
      <c r="FS326" s="1804"/>
      <c r="FT326" s="1804"/>
      <c r="FU326" s="1804"/>
      <c r="FV326" s="1804"/>
      <c r="FW326" s="1804"/>
      <c r="FX326" s="1804"/>
      <c r="FY326" s="1804"/>
      <c r="FZ326" s="1804"/>
      <c r="GA326" s="1804"/>
      <c r="GB326" s="1804"/>
      <c r="GC326" s="1804"/>
      <c r="GD326" s="1804"/>
      <c r="GE326" s="1804"/>
      <c r="GF326" s="1804"/>
      <c r="GG326" s="1804"/>
      <c r="GH326" s="1804"/>
      <c r="GI326" s="1804"/>
      <c r="GJ326" s="1804"/>
      <c r="GK326" s="1804"/>
      <c r="GL326" s="1804"/>
      <c r="GM326" s="1804"/>
      <c r="GN326" s="1804"/>
      <c r="GO326" s="1804"/>
      <c r="GP326" s="1804"/>
      <c r="GQ326" s="1804"/>
      <c r="GR326" s="1804"/>
      <c r="GS326" s="1804"/>
      <c r="GT326" s="1804"/>
      <c r="GU326" s="1804"/>
      <c r="GV326" s="1804"/>
      <c r="GW326" s="1804"/>
      <c r="GX326" s="1804"/>
      <c r="GY326" s="1804"/>
      <c r="GZ326" s="1804"/>
      <c r="HA326" s="1804"/>
      <c r="HB326" s="1804"/>
      <c r="HC326" s="1804"/>
      <c r="HD326" s="1804"/>
      <c r="HE326" s="1804"/>
      <c r="HF326" s="1804"/>
      <c r="HG326" s="1804"/>
      <c r="HH326" s="1804"/>
      <c r="HI326" s="1804"/>
      <c r="HJ326" s="1804"/>
      <c r="HK326" s="1804"/>
      <c r="HL326" s="1804"/>
      <c r="HM326" s="1804"/>
      <c r="HN326" s="1804"/>
      <c r="HO326" s="1804"/>
      <c r="HP326" s="1804"/>
      <c r="HQ326" s="1804"/>
      <c r="HR326" s="1804"/>
      <c r="HS326" s="1804"/>
      <c r="HT326" s="1804"/>
      <c r="HU326" s="1804"/>
      <c r="HV326" s="1804"/>
      <c r="HW326" s="1804"/>
      <c r="HX326" s="1804"/>
      <c r="HY326" s="1804"/>
      <c r="HZ326" s="1804"/>
      <c r="IA326" s="1804"/>
      <c r="IB326" s="1804"/>
      <c r="IC326" s="1804"/>
      <c r="ID326" s="1804"/>
      <c r="IE326" s="1804"/>
      <c r="IF326" s="1804"/>
      <c r="IG326" s="1804"/>
      <c r="IH326" s="1804"/>
      <c r="II326" s="1804"/>
      <c r="IJ326" s="1804"/>
      <c r="IK326" s="1804"/>
      <c r="IL326" s="1804"/>
      <c r="IM326" s="1804"/>
      <c r="IN326" s="1804"/>
      <c r="IO326" s="1804"/>
      <c r="IP326" s="1804"/>
      <c r="IQ326" s="1804"/>
      <c r="IR326" s="1804"/>
      <c r="IS326" s="1804"/>
      <c r="IT326" s="1804"/>
      <c r="IU326" s="1804"/>
      <c r="IV326" s="1804"/>
      <c r="IW326" s="1804"/>
    </row>
    <row r="327" spans="3:257" s="888" customFormat="1" x14ac:dyDescent="0.45">
      <c r="C327" s="67" t="s">
        <v>650</v>
      </c>
      <c r="D327" s="68" t="s">
        <v>651</v>
      </c>
      <c r="E327" s="69"/>
      <c r="F327" s="2066">
        <v>0</v>
      </c>
      <c r="G327" s="118">
        <v>0</v>
      </c>
      <c r="H327" s="2062"/>
      <c r="I327" s="2062"/>
      <c r="J327" s="119">
        <v>0</v>
      </c>
      <c r="K327" s="120">
        <v>0</v>
      </c>
      <c r="L327" s="120"/>
      <c r="M327" s="2069"/>
      <c r="N327" s="2072">
        <f t="shared" si="52"/>
        <v>0</v>
      </c>
      <c r="O327" s="2073">
        <f t="shared" si="53"/>
        <v>0</v>
      </c>
      <c r="P327" s="1838"/>
      <c r="Q327" s="1838"/>
      <c r="R327" s="1804"/>
      <c r="S327" s="1804"/>
      <c r="T327" s="1804"/>
      <c r="U327" s="1804"/>
      <c r="V327" s="1804"/>
      <c r="W327" s="1804"/>
      <c r="X327" s="1804"/>
      <c r="Y327" s="1804"/>
      <c r="Z327" s="1804"/>
      <c r="AA327" s="1804"/>
      <c r="AB327" s="1804"/>
      <c r="AC327" s="1804"/>
      <c r="AD327" s="1804"/>
      <c r="AE327" s="1804"/>
      <c r="AF327" s="1804"/>
      <c r="AG327" s="1804"/>
      <c r="AH327" s="1804"/>
      <c r="AI327" s="1804"/>
      <c r="AJ327" s="1804"/>
      <c r="AK327" s="1804"/>
      <c r="AL327" s="1804"/>
      <c r="AM327" s="1804"/>
      <c r="AN327" s="1804"/>
      <c r="AO327" s="1804"/>
      <c r="AP327" s="1804"/>
      <c r="AQ327" s="1804"/>
      <c r="AR327" s="1804"/>
      <c r="AS327" s="1804"/>
      <c r="AT327" s="1804"/>
      <c r="AU327" s="1804"/>
      <c r="AV327" s="1804"/>
      <c r="AW327" s="1804"/>
      <c r="AX327" s="1804"/>
      <c r="AY327" s="1804"/>
      <c r="AZ327" s="1804"/>
      <c r="BA327" s="1804"/>
      <c r="BB327" s="1804"/>
      <c r="BC327" s="1804"/>
      <c r="BD327" s="1804"/>
      <c r="BE327" s="1804"/>
      <c r="BF327" s="1804"/>
      <c r="BG327" s="1804"/>
      <c r="BH327" s="1804"/>
      <c r="BI327" s="1804"/>
      <c r="BJ327" s="1804"/>
      <c r="BK327" s="1804"/>
      <c r="BL327" s="1804"/>
      <c r="BM327" s="1804"/>
      <c r="BN327" s="1804"/>
      <c r="BO327" s="1804"/>
      <c r="BP327" s="1804"/>
      <c r="BQ327" s="1804"/>
      <c r="BR327" s="1804"/>
      <c r="BS327" s="1804"/>
      <c r="BT327" s="1804"/>
      <c r="BU327" s="1804"/>
      <c r="BV327" s="1804"/>
      <c r="BW327" s="1804"/>
      <c r="BX327" s="1804"/>
      <c r="BY327" s="1804"/>
      <c r="BZ327" s="1804"/>
      <c r="CA327" s="1804"/>
      <c r="CB327" s="1804"/>
      <c r="CC327" s="1804"/>
      <c r="CD327" s="1804"/>
      <c r="CE327" s="1804"/>
      <c r="CF327" s="1804"/>
      <c r="CG327" s="1804"/>
      <c r="CH327" s="1804"/>
      <c r="CI327" s="1804"/>
      <c r="CJ327" s="1804"/>
      <c r="CK327" s="1804"/>
      <c r="CL327" s="1804"/>
      <c r="CM327" s="1804"/>
      <c r="CN327" s="1804"/>
      <c r="CO327" s="1804"/>
      <c r="CP327" s="1804"/>
      <c r="CQ327" s="1804"/>
      <c r="CR327" s="1804"/>
      <c r="CS327" s="1804"/>
      <c r="CT327" s="1804"/>
      <c r="CU327" s="1804"/>
      <c r="CV327" s="1804"/>
      <c r="CW327" s="1804"/>
      <c r="CX327" s="1804"/>
      <c r="CY327" s="1804"/>
      <c r="CZ327" s="1804"/>
      <c r="DA327" s="1804"/>
      <c r="DB327" s="1804"/>
      <c r="DC327" s="1804"/>
      <c r="DD327" s="1804"/>
      <c r="DE327" s="1804"/>
      <c r="DF327" s="1804"/>
      <c r="DG327" s="1804"/>
      <c r="DH327" s="1804"/>
      <c r="DI327" s="1804"/>
      <c r="DJ327" s="1804"/>
      <c r="DK327" s="1804"/>
      <c r="DL327" s="1804"/>
      <c r="DM327" s="1804"/>
      <c r="DN327" s="1804"/>
      <c r="DO327" s="1804"/>
      <c r="DP327" s="1804"/>
      <c r="DQ327" s="1804"/>
      <c r="DR327" s="1804"/>
      <c r="DS327" s="1804"/>
      <c r="DT327" s="1804"/>
      <c r="DU327" s="1804"/>
      <c r="DV327" s="1804"/>
      <c r="DW327" s="1804"/>
      <c r="DX327" s="1804"/>
      <c r="DY327" s="1804"/>
      <c r="DZ327" s="1804"/>
      <c r="EA327" s="1804"/>
      <c r="EB327" s="1804"/>
      <c r="EC327" s="1804"/>
      <c r="ED327" s="1804"/>
      <c r="EE327" s="1804"/>
      <c r="EF327" s="1804"/>
      <c r="EG327" s="1804"/>
      <c r="EH327" s="1804"/>
      <c r="EI327" s="1804"/>
      <c r="EJ327" s="1804"/>
      <c r="EK327" s="1804"/>
      <c r="EL327" s="1804"/>
      <c r="EM327" s="1804"/>
      <c r="EN327" s="1804"/>
      <c r="EO327" s="1804"/>
      <c r="EP327" s="1804"/>
      <c r="EQ327" s="1804"/>
      <c r="ER327" s="1804"/>
      <c r="ES327" s="1804"/>
      <c r="ET327" s="1804"/>
      <c r="EU327" s="1804"/>
      <c r="EV327" s="1804"/>
      <c r="EW327" s="1804"/>
      <c r="EX327" s="1804"/>
      <c r="EY327" s="1804"/>
      <c r="EZ327" s="1804"/>
      <c r="FA327" s="1804"/>
      <c r="FB327" s="1804"/>
      <c r="FC327" s="1804"/>
      <c r="FD327" s="1804"/>
      <c r="FE327" s="1804"/>
      <c r="FF327" s="1804"/>
      <c r="FG327" s="1804"/>
      <c r="FH327" s="1804"/>
      <c r="FI327" s="1804"/>
      <c r="FJ327" s="1804"/>
      <c r="FK327" s="1804"/>
      <c r="FL327" s="1804"/>
      <c r="FM327" s="1804"/>
      <c r="FN327" s="1804"/>
      <c r="FO327" s="1804"/>
      <c r="FP327" s="1804"/>
      <c r="FQ327" s="1804"/>
      <c r="FR327" s="1804"/>
      <c r="FS327" s="1804"/>
      <c r="FT327" s="1804"/>
      <c r="FU327" s="1804"/>
      <c r="FV327" s="1804"/>
      <c r="FW327" s="1804"/>
      <c r="FX327" s="1804"/>
      <c r="FY327" s="1804"/>
      <c r="FZ327" s="1804"/>
      <c r="GA327" s="1804"/>
      <c r="GB327" s="1804"/>
      <c r="GC327" s="1804"/>
      <c r="GD327" s="1804"/>
      <c r="GE327" s="1804"/>
      <c r="GF327" s="1804"/>
      <c r="GG327" s="1804"/>
      <c r="GH327" s="1804"/>
      <c r="GI327" s="1804"/>
      <c r="GJ327" s="1804"/>
      <c r="GK327" s="1804"/>
      <c r="GL327" s="1804"/>
      <c r="GM327" s="1804"/>
      <c r="GN327" s="1804"/>
      <c r="GO327" s="1804"/>
      <c r="GP327" s="1804"/>
      <c r="GQ327" s="1804"/>
      <c r="GR327" s="1804"/>
      <c r="GS327" s="1804"/>
      <c r="GT327" s="1804"/>
      <c r="GU327" s="1804"/>
      <c r="GV327" s="1804"/>
      <c r="GW327" s="1804"/>
      <c r="GX327" s="1804"/>
      <c r="GY327" s="1804"/>
      <c r="GZ327" s="1804"/>
      <c r="HA327" s="1804"/>
      <c r="HB327" s="1804"/>
      <c r="HC327" s="1804"/>
      <c r="HD327" s="1804"/>
      <c r="HE327" s="1804"/>
      <c r="HF327" s="1804"/>
      <c r="HG327" s="1804"/>
      <c r="HH327" s="1804"/>
      <c r="HI327" s="1804"/>
      <c r="HJ327" s="1804"/>
      <c r="HK327" s="1804"/>
      <c r="HL327" s="1804"/>
      <c r="HM327" s="1804"/>
      <c r="HN327" s="1804"/>
      <c r="HO327" s="1804"/>
      <c r="HP327" s="1804"/>
      <c r="HQ327" s="1804"/>
      <c r="HR327" s="1804"/>
      <c r="HS327" s="1804"/>
      <c r="HT327" s="1804"/>
      <c r="HU327" s="1804"/>
      <c r="HV327" s="1804"/>
      <c r="HW327" s="1804"/>
      <c r="HX327" s="1804"/>
      <c r="HY327" s="1804"/>
      <c r="HZ327" s="1804"/>
      <c r="IA327" s="1804"/>
      <c r="IB327" s="1804"/>
      <c r="IC327" s="1804"/>
      <c r="ID327" s="1804"/>
      <c r="IE327" s="1804"/>
      <c r="IF327" s="1804"/>
      <c r="IG327" s="1804"/>
      <c r="IH327" s="1804"/>
      <c r="II327" s="1804"/>
      <c r="IJ327" s="1804"/>
      <c r="IK327" s="1804"/>
      <c r="IL327" s="1804"/>
      <c r="IM327" s="1804"/>
      <c r="IN327" s="1804"/>
      <c r="IO327" s="1804"/>
      <c r="IP327" s="1804"/>
      <c r="IQ327" s="1804"/>
      <c r="IR327" s="1804"/>
      <c r="IS327" s="1804"/>
      <c r="IT327" s="1804"/>
      <c r="IU327" s="1804"/>
      <c r="IV327" s="1804"/>
      <c r="IW327" s="1804"/>
    </row>
    <row r="328" spans="3:257" s="888" customFormat="1" x14ac:dyDescent="0.45">
      <c r="C328" s="67" t="s">
        <v>549</v>
      </c>
      <c r="D328" s="68" t="s">
        <v>652</v>
      </c>
      <c r="E328" s="69"/>
      <c r="F328" s="2066">
        <v>7591.9288592459334</v>
      </c>
      <c r="G328" s="118">
        <v>4.4564622403773626</v>
      </c>
      <c r="H328" s="2062">
        <v>2.0095282448704066E-4</v>
      </c>
      <c r="I328" s="2062">
        <v>2.2282311201886817E-4</v>
      </c>
      <c r="J328" s="119">
        <v>25053.25523496449</v>
      </c>
      <c r="K328" s="120">
        <v>14.706260822924156</v>
      </c>
      <c r="L328" s="120">
        <v>9.5965689416376129E-4</v>
      </c>
      <c r="M328" s="2069">
        <v>7.3531304114620789E-4</v>
      </c>
      <c r="N328" s="2072">
        <f t="shared" si="52"/>
        <v>32645.184094210425</v>
      </c>
      <c r="O328" s="2073">
        <f t="shared" si="53"/>
        <v>19.164841809173332</v>
      </c>
      <c r="P328" s="1838"/>
      <c r="Q328" s="1838"/>
      <c r="R328" s="1804"/>
      <c r="S328" s="1804"/>
      <c r="T328" s="1804"/>
      <c r="U328" s="1804"/>
      <c r="V328" s="1804"/>
      <c r="W328" s="1804"/>
      <c r="X328" s="1804"/>
      <c r="Y328" s="1804"/>
      <c r="Z328" s="1804"/>
      <c r="AA328" s="1804"/>
      <c r="AB328" s="1804"/>
      <c r="AC328" s="1804"/>
      <c r="AD328" s="1804"/>
      <c r="AE328" s="1804"/>
      <c r="AF328" s="1804"/>
      <c r="AG328" s="1804"/>
      <c r="AH328" s="1804"/>
      <c r="AI328" s="1804"/>
      <c r="AJ328" s="1804"/>
      <c r="AK328" s="1804"/>
      <c r="AL328" s="1804"/>
      <c r="AM328" s="1804"/>
      <c r="AN328" s="1804"/>
      <c r="AO328" s="1804"/>
      <c r="AP328" s="1804"/>
      <c r="AQ328" s="1804"/>
      <c r="AR328" s="1804"/>
      <c r="AS328" s="1804"/>
      <c r="AT328" s="1804"/>
      <c r="AU328" s="1804"/>
      <c r="AV328" s="1804"/>
      <c r="AW328" s="1804"/>
      <c r="AX328" s="1804"/>
      <c r="AY328" s="1804"/>
      <c r="AZ328" s="1804"/>
      <c r="BA328" s="1804"/>
      <c r="BB328" s="1804"/>
      <c r="BC328" s="1804"/>
      <c r="BD328" s="1804"/>
      <c r="BE328" s="1804"/>
      <c r="BF328" s="1804"/>
      <c r="BG328" s="1804"/>
      <c r="BH328" s="1804"/>
      <c r="BI328" s="1804"/>
      <c r="BJ328" s="1804"/>
      <c r="BK328" s="1804"/>
      <c r="BL328" s="1804"/>
      <c r="BM328" s="1804"/>
      <c r="BN328" s="1804"/>
      <c r="BO328" s="1804"/>
      <c r="BP328" s="1804"/>
      <c r="BQ328" s="1804"/>
      <c r="BR328" s="1804"/>
      <c r="BS328" s="1804"/>
      <c r="BT328" s="1804"/>
      <c r="BU328" s="1804"/>
      <c r="BV328" s="1804"/>
      <c r="BW328" s="1804"/>
      <c r="BX328" s="1804"/>
      <c r="BY328" s="1804"/>
      <c r="BZ328" s="1804"/>
      <c r="CA328" s="1804"/>
      <c r="CB328" s="1804"/>
      <c r="CC328" s="1804"/>
      <c r="CD328" s="1804"/>
      <c r="CE328" s="1804"/>
      <c r="CF328" s="1804"/>
      <c r="CG328" s="1804"/>
      <c r="CH328" s="1804"/>
      <c r="CI328" s="1804"/>
      <c r="CJ328" s="1804"/>
      <c r="CK328" s="1804"/>
      <c r="CL328" s="1804"/>
      <c r="CM328" s="1804"/>
      <c r="CN328" s="1804"/>
      <c r="CO328" s="1804"/>
      <c r="CP328" s="1804"/>
      <c r="CQ328" s="1804"/>
      <c r="CR328" s="1804"/>
      <c r="CS328" s="1804"/>
      <c r="CT328" s="1804"/>
      <c r="CU328" s="1804"/>
      <c r="CV328" s="1804"/>
      <c r="CW328" s="1804"/>
      <c r="CX328" s="1804"/>
      <c r="CY328" s="1804"/>
      <c r="CZ328" s="1804"/>
      <c r="DA328" s="1804"/>
      <c r="DB328" s="1804"/>
      <c r="DC328" s="1804"/>
      <c r="DD328" s="1804"/>
      <c r="DE328" s="1804"/>
      <c r="DF328" s="1804"/>
      <c r="DG328" s="1804"/>
      <c r="DH328" s="1804"/>
      <c r="DI328" s="1804"/>
      <c r="DJ328" s="1804"/>
      <c r="DK328" s="1804"/>
      <c r="DL328" s="1804"/>
      <c r="DM328" s="1804"/>
      <c r="DN328" s="1804"/>
      <c r="DO328" s="1804"/>
      <c r="DP328" s="1804"/>
      <c r="DQ328" s="1804"/>
      <c r="DR328" s="1804"/>
      <c r="DS328" s="1804"/>
      <c r="DT328" s="1804"/>
      <c r="DU328" s="1804"/>
      <c r="DV328" s="1804"/>
      <c r="DW328" s="1804"/>
      <c r="DX328" s="1804"/>
      <c r="DY328" s="1804"/>
      <c r="DZ328" s="1804"/>
      <c r="EA328" s="1804"/>
      <c r="EB328" s="1804"/>
      <c r="EC328" s="1804"/>
      <c r="ED328" s="1804"/>
      <c r="EE328" s="1804"/>
      <c r="EF328" s="1804"/>
      <c r="EG328" s="1804"/>
      <c r="EH328" s="1804"/>
      <c r="EI328" s="1804"/>
      <c r="EJ328" s="1804"/>
      <c r="EK328" s="1804"/>
      <c r="EL328" s="1804"/>
      <c r="EM328" s="1804"/>
      <c r="EN328" s="1804"/>
      <c r="EO328" s="1804"/>
      <c r="EP328" s="1804"/>
      <c r="EQ328" s="1804"/>
      <c r="ER328" s="1804"/>
      <c r="ES328" s="1804"/>
      <c r="ET328" s="1804"/>
      <c r="EU328" s="1804"/>
      <c r="EV328" s="1804"/>
      <c r="EW328" s="1804"/>
      <c r="EX328" s="1804"/>
      <c r="EY328" s="1804"/>
      <c r="EZ328" s="1804"/>
      <c r="FA328" s="1804"/>
      <c r="FB328" s="1804"/>
      <c r="FC328" s="1804"/>
      <c r="FD328" s="1804"/>
      <c r="FE328" s="1804"/>
      <c r="FF328" s="1804"/>
      <c r="FG328" s="1804"/>
      <c r="FH328" s="1804"/>
      <c r="FI328" s="1804"/>
      <c r="FJ328" s="1804"/>
      <c r="FK328" s="1804"/>
      <c r="FL328" s="1804"/>
      <c r="FM328" s="1804"/>
      <c r="FN328" s="1804"/>
      <c r="FO328" s="1804"/>
      <c r="FP328" s="1804"/>
      <c r="FQ328" s="1804"/>
      <c r="FR328" s="1804"/>
      <c r="FS328" s="1804"/>
      <c r="FT328" s="1804"/>
      <c r="FU328" s="1804"/>
      <c r="FV328" s="1804"/>
      <c r="FW328" s="1804"/>
      <c r="FX328" s="1804"/>
      <c r="FY328" s="1804"/>
      <c r="FZ328" s="1804"/>
      <c r="GA328" s="1804"/>
      <c r="GB328" s="1804"/>
      <c r="GC328" s="1804"/>
      <c r="GD328" s="1804"/>
      <c r="GE328" s="1804"/>
      <c r="GF328" s="1804"/>
      <c r="GG328" s="1804"/>
      <c r="GH328" s="1804"/>
      <c r="GI328" s="1804"/>
      <c r="GJ328" s="1804"/>
      <c r="GK328" s="1804"/>
      <c r="GL328" s="1804"/>
      <c r="GM328" s="1804"/>
      <c r="GN328" s="1804"/>
      <c r="GO328" s="1804"/>
      <c r="GP328" s="1804"/>
      <c r="GQ328" s="1804"/>
      <c r="GR328" s="1804"/>
      <c r="GS328" s="1804"/>
      <c r="GT328" s="1804"/>
      <c r="GU328" s="1804"/>
      <c r="GV328" s="1804"/>
      <c r="GW328" s="1804"/>
      <c r="GX328" s="1804"/>
      <c r="GY328" s="1804"/>
      <c r="GZ328" s="1804"/>
      <c r="HA328" s="1804"/>
      <c r="HB328" s="1804"/>
      <c r="HC328" s="1804"/>
      <c r="HD328" s="1804"/>
      <c r="HE328" s="1804"/>
      <c r="HF328" s="1804"/>
      <c r="HG328" s="1804"/>
      <c r="HH328" s="1804"/>
      <c r="HI328" s="1804"/>
      <c r="HJ328" s="1804"/>
      <c r="HK328" s="1804"/>
      <c r="HL328" s="1804"/>
      <c r="HM328" s="1804"/>
      <c r="HN328" s="1804"/>
      <c r="HO328" s="1804"/>
      <c r="HP328" s="1804"/>
      <c r="HQ328" s="1804"/>
      <c r="HR328" s="1804"/>
      <c r="HS328" s="1804"/>
      <c r="HT328" s="1804"/>
      <c r="HU328" s="1804"/>
      <c r="HV328" s="1804"/>
      <c r="HW328" s="1804"/>
      <c r="HX328" s="1804"/>
      <c r="HY328" s="1804"/>
      <c r="HZ328" s="1804"/>
      <c r="IA328" s="1804"/>
      <c r="IB328" s="1804"/>
      <c r="IC328" s="1804"/>
      <c r="ID328" s="1804"/>
      <c r="IE328" s="1804"/>
      <c r="IF328" s="1804"/>
      <c r="IG328" s="1804"/>
      <c r="IH328" s="1804"/>
      <c r="II328" s="1804"/>
      <c r="IJ328" s="1804"/>
      <c r="IK328" s="1804"/>
      <c r="IL328" s="1804"/>
      <c r="IM328" s="1804"/>
      <c r="IN328" s="1804"/>
      <c r="IO328" s="1804"/>
      <c r="IP328" s="1804"/>
      <c r="IQ328" s="1804"/>
      <c r="IR328" s="1804"/>
      <c r="IS328" s="1804"/>
      <c r="IT328" s="1804"/>
      <c r="IU328" s="1804"/>
      <c r="IV328" s="1804"/>
      <c r="IW328" s="1804"/>
    </row>
    <row r="329" spans="3:257" s="888" customFormat="1" x14ac:dyDescent="0.45">
      <c r="C329" s="67" t="s">
        <v>550</v>
      </c>
      <c r="D329" s="68" t="s">
        <v>653</v>
      </c>
      <c r="E329" s="69"/>
      <c r="F329" s="2066">
        <v>264334.98236679414</v>
      </c>
      <c r="G329" s="118">
        <v>155.16463464930817</v>
      </c>
      <c r="H329" s="2062">
        <v>3.606412179273163E-3</v>
      </c>
      <c r="I329" s="2062">
        <v>7.7590142250329227E-3</v>
      </c>
      <c r="J329" s="119">
        <v>834792.09409165825</v>
      </c>
      <c r="K329" s="120">
        <v>490.02295923180338</v>
      </c>
      <c r="L329" s="120">
        <v>9.833969225015473E-3</v>
      </c>
      <c r="M329" s="2069">
        <v>2.4501147961590173E-2</v>
      </c>
      <c r="N329" s="2072">
        <f t="shared" si="52"/>
        <v>1099127.0764584523</v>
      </c>
      <c r="O329" s="2073">
        <f t="shared" si="53"/>
        <v>645.23329442470254</v>
      </c>
      <c r="P329" s="1838"/>
      <c r="Q329" s="1838"/>
      <c r="R329" s="1804"/>
      <c r="S329" s="1804"/>
      <c r="T329" s="1804"/>
      <c r="U329" s="1804"/>
      <c r="V329" s="1804"/>
      <c r="W329" s="1804"/>
      <c r="X329" s="1804"/>
      <c r="Y329" s="1804"/>
      <c r="Z329" s="1804"/>
      <c r="AA329" s="1804"/>
      <c r="AB329" s="1804"/>
      <c r="AC329" s="1804"/>
      <c r="AD329" s="1804"/>
      <c r="AE329" s="1804"/>
      <c r="AF329" s="1804"/>
      <c r="AG329" s="1804"/>
      <c r="AH329" s="1804"/>
      <c r="AI329" s="1804"/>
      <c r="AJ329" s="1804"/>
      <c r="AK329" s="1804"/>
      <c r="AL329" s="1804"/>
      <c r="AM329" s="1804"/>
      <c r="AN329" s="1804"/>
      <c r="AO329" s="1804"/>
      <c r="AP329" s="1804"/>
      <c r="AQ329" s="1804"/>
      <c r="AR329" s="1804"/>
      <c r="AS329" s="1804"/>
      <c r="AT329" s="1804"/>
      <c r="AU329" s="1804"/>
      <c r="AV329" s="1804"/>
      <c r="AW329" s="1804"/>
      <c r="AX329" s="1804"/>
      <c r="AY329" s="1804"/>
      <c r="AZ329" s="1804"/>
      <c r="BA329" s="1804"/>
      <c r="BB329" s="1804"/>
      <c r="BC329" s="1804"/>
      <c r="BD329" s="1804"/>
      <c r="BE329" s="1804"/>
      <c r="BF329" s="1804"/>
      <c r="BG329" s="1804"/>
      <c r="BH329" s="1804"/>
      <c r="BI329" s="1804"/>
      <c r="BJ329" s="1804"/>
      <c r="BK329" s="1804"/>
      <c r="BL329" s="1804"/>
      <c r="BM329" s="1804"/>
      <c r="BN329" s="1804"/>
      <c r="BO329" s="1804"/>
      <c r="BP329" s="1804"/>
      <c r="BQ329" s="1804"/>
      <c r="BR329" s="1804"/>
      <c r="BS329" s="1804"/>
      <c r="BT329" s="1804"/>
      <c r="BU329" s="1804"/>
      <c r="BV329" s="1804"/>
      <c r="BW329" s="1804"/>
      <c r="BX329" s="1804"/>
      <c r="BY329" s="1804"/>
      <c r="BZ329" s="1804"/>
      <c r="CA329" s="1804"/>
      <c r="CB329" s="1804"/>
      <c r="CC329" s="1804"/>
      <c r="CD329" s="1804"/>
      <c r="CE329" s="1804"/>
      <c r="CF329" s="1804"/>
      <c r="CG329" s="1804"/>
      <c r="CH329" s="1804"/>
      <c r="CI329" s="1804"/>
      <c r="CJ329" s="1804"/>
      <c r="CK329" s="1804"/>
      <c r="CL329" s="1804"/>
      <c r="CM329" s="1804"/>
      <c r="CN329" s="1804"/>
      <c r="CO329" s="1804"/>
      <c r="CP329" s="1804"/>
      <c r="CQ329" s="1804"/>
      <c r="CR329" s="1804"/>
      <c r="CS329" s="1804"/>
      <c r="CT329" s="1804"/>
      <c r="CU329" s="1804"/>
      <c r="CV329" s="1804"/>
      <c r="CW329" s="1804"/>
      <c r="CX329" s="1804"/>
      <c r="CY329" s="1804"/>
      <c r="CZ329" s="1804"/>
      <c r="DA329" s="1804"/>
      <c r="DB329" s="1804"/>
      <c r="DC329" s="1804"/>
      <c r="DD329" s="1804"/>
      <c r="DE329" s="1804"/>
      <c r="DF329" s="1804"/>
      <c r="DG329" s="1804"/>
      <c r="DH329" s="1804"/>
      <c r="DI329" s="1804"/>
      <c r="DJ329" s="1804"/>
      <c r="DK329" s="1804"/>
      <c r="DL329" s="1804"/>
      <c r="DM329" s="1804"/>
      <c r="DN329" s="1804"/>
      <c r="DO329" s="1804"/>
      <c r="DP329" s="1804"/>
      <c r="DQ329" s="1804"/>
      <c r="DR329" s="1804"/>
      <c r="DS329" s="1804"/>
      <c r="DT329" s="1804"/>
      <c r="DU329" s="1804"/>
      <c r="DV329" s="1804"/>
      <c r="DW329" s="1804"/>
      <c r="DX329" s="1804"/>
      <c r="DY329" s="1804"/>
      <c r="DZ329" s="1804"/>
      <c r="EA329" s="1804"/>
      <c r="EB329" s="1804"/>
      <c r="EC329" s="1804"/>
      <c r="ED329" s="1804"/>
      <c r="EE329" s="1804"/>
      <c r="EF329" s="1804"/>
      <c r="EG329" s="1804"/>
      <c r="EH329" s="1804"/>
      <c r="EI329" s="1804"/>
      <c r="EJ329" s="1804"/>
      <c r="EK329" s="1804"/>
      <c r="EL329" s="1804"/>
      <c r="EM329" s="1804"/>
      <c r="EN329" s="1804"/>
      <c r="EO329" s="1804"/>
      <c r="EP329" s="1804"/>
      <c r="EQ329" s="1804"/>
      <c r="ER329" s="1804"/>
      <c r="ES329" s="1804"/>
      <c r="ET329" s="1804"/>
      <c r="EU329" s="1804"/>
      <c r="EV329" s="1804"/>
      <c r="EW329" s="1804"/>
      <c r="EX329" s="1804"/>
      <c r="EY329" s="1804"/>
      <c r="EZ329" s="1804"/>
      <c r="FA329" s="1804"/>
      <c r="FB329" s="1804"/>
      <c r="FC329" s="1804"/>
      <c r="FD329" s="1804"/>
      <c r="FE329" s="1804"/>
      <c r="FF329" s="1804"/>
      <c r="FG329" s="1804"/>
      <c r="FH329" s="1804"/>
      <c r="FI329" s="1804"/>
      <c r="FJ329" s="1804"/>
      <c r="FK329" s="1804"/>
      <c r="FL329" s="1804"/>
      <c r="FM329" s="1804"/>
      <c r="FN329" s="1804"/>
      <c r="FO329" s="1804"/>
      <c r="FP329" s="1804"/>
      <c r="FQ329" s="1804"/>
      <c r="FR329" s="1804"/>
      <c r="FS329" s="1804"/>
      <c r="FT329" s="1804"/>
      <c r="FU329" s="1804"/>
      <c r="FV329" s="1804"/>
      <c r="FW329" s="1804"/>
      <c r="FX329" s="1804"/>
      <c r="FY329" s="1804"/>
      <c r="FZ329" s="1804"/>
      <c r="GA329" s="1804"/>
      <c r="GB329" s="1804"/>
      <c r="GC329" s="1804"/>
      <c r="GD329" s="1804"/>
      <c r="GE329" s="1804"/>
      <c r="GF329" s="1804"/>
      <c r="GG329" s="1804"/>
      <c r="GH329" s="1804"/>
      <c r="GI329" s="1804"/>
      <c r="GJ329" s="1804"/>
      <c r="GK329" s="1804"/>
      <c r="GL329" s="1804"/>
      <c r="GM329" s="1804"/>
      <c r="GN329" s="1804"/>
      <c r="GO329" s="1804"/>
      <c r="GP329" s="1804"/>
      <c r="GQ329" s="1804"/>
      <c r="GR329" s="1804"/>
      <c r="GS329" s="1804"/>
      <c r="GT329" s="1804"/>
      <c r="GU329" s="1804"/>
      <c r="GV329" s="1804"/>
      <c r="GW329" s="1804"/>
      <c r="GX329" s="1804"/>
      <c r="GY329" s="1804"/>
      <c r="GZ329" s="1804"/>
      <c r="HA329" s="1804"/>
      <c r="HB329" s="1804"/>
      <c r="HC329" s="1804"/>
      <c r="HD329" s="1804"/>
      <c r="HE329" s="1804"/>
      <c r="HF329" s="1804"/>
      <c r="HG329" s="1804"/>
      <c r="HH329" s="1804"/>
      <c r="HI329" s="1804"/>
      <c r="HJ329" s="1804"/>
      <c r="HK329" s="1804"/>
      <c r="HL329" s="1804"/>
      <c r="HM329" s="1804"/>
      <c r="HN329" s="1804"/>
      <c r="HO329" s="1804"/>
      <c r="HP329" s="1804"/>
      <c r="HQ329" s="1804"/>
      <c r="HR329" s="1804"/>
      <c r="HS329" s="1804"/>
      <c r="HT329" s="1804"/>
      <c r="HU329" s="1804"/>
      <c r="HV329" s="1804"/>
      <c r="HW329" s="1804"/>
      <c r="HX329" s="1804"/>
      <c r="HY329" s="1804"/>
      <c r="HZ329" s="1804"/>
      <c r="IA329" s="1804"/>
      <c r="IB329" s="1804"/>
      <c r="IC329" s="1804"/>
      <c r="ID329" s="1804"/>
      <c r="IE329" s="1804"/>
      <c r="IF329" s="1804"/>
      <c r="IG329" s="1804"/>
      <c r="IH329" s="1804"/>
      <c r="II329" s="1804"/>
      <c r="IJ329" s="1804"/>
      <c r="IK329" s="1804"/>
      <c r="IL329" s="1804"/>
      <c r="IM329" s="1804"/>
      <c r="IN329" s="1804"/>
      <c r="IO329" s="1804"/>
      <c r="IP329" s="1804"/>
      <c r="IQ329" s="1804"/>
      <c r="IR329" s="1804"/>
      <c r="IS329" s="1804"/>
      <c r="IT329" s="1804"/>
      <c r="IU329" s="1804"/>
      <c r="IV329" s="1804"/>
      <c r="IW329" s="1804"/>
    </row>
    <row r="330" spans="3:257" s="888" customFormat="1" x14ac:dyDescent="0.45">
      <c r="C330" s="67" t="s">
        <v>551</v>
      </c>
      <c r="D330" s="68" t="s">
        <v>654</v>
      </c>
      <c r="E330" s="69"/>
      <c r="F330" s="2066">
        <v>0</v>
      </c>
      <c r="G330" s="118">
        <v>0</v>
      </c>
      <c r="H330" s="2062"/>
      <c r="I330" s="2062"/>
      <c r="J330" s="119">
        <v>0</v>
      </c>
      <c r="K330" s="120">
        <v>0</v>
      </c>
      <c r="L330" s="120"/>
      <c r="M330" s="2069"/>
      <c r="N330" s="2072">
        <f t="shared" si="52"/>
        <v>0</v>
      </c>
      <c r="O330" s="2073">
        <f t="shared" si="53"/>
        <v>0</v>
      </c>
      <c r="P330" s="1838"/>
      <c r="Q330" s="1838"/>
      <c r="R330" s="1804"/>
      <c r="S330" s="1804"/>
      <c r="T330" s="1804"/>
      <c r="U330" s="1804"/>
      <c r="V330" s="1804"/>
      <c r="W330" s="1804"/>
      <c r="X330" s="1804"/>
      <c r="Y330" s="1804"/>
      <c r="Z330" s="1804"/>
      <c r="AA330" s="1804"/>
      <c r="AB330" s="1804"/>
      <c r="AC330" s="1804"/>
      <c r="AD330" s="1804"/>
      <c r="AE330" s="1804"/>
      <c r="AF330" s="1804"/>
      <c r="AG330" s="1804"/>
      <c r="AH330" s="1804"/>
      <c r="AI330" s="1804"/>
      <c r="AJ330" s="1804"/>
      <c r="AK330" s="1804"/>
      <c r="AL330" s="1804"/>
      <c r="AM330" s="1804"/>
      <c r="AN330" s="1804"/>
      <c r="AO330" s="1804"/>
      <c r="AP330" s="1804"/>
      <c r="AQ330" s="1804"/>
      <c r="AR330" s="1804"/>
      <c r="AS330" s="1804"/>
      <c r="AT330" s="1804"/>
      <c r="AU330" s="1804"/>
      <c r="AV330" s="1804"/>
      <c r="AW330" s="1804"/>
      <c r="AX330" s="1804"/>
      <c r="AY330" s="1804"/>
      <c r="AZ330" s="1804"/>
      <c r="BA330" s="1804"/>
      <c r="BB330" s="1804"/>
      <c r="BC330" s="1804"/>
      <c r="BD330" s="1804"/>
      <c r="BE330" s="1804"/>
      <c r="BF330" s="1804"/>
      <c r="BG330" s="1804"/>
      <c r="BH330" s="1804"/>
      <c r="BI330" s="1804"/>
      <c r="BJ330" s="1804"/>
      <c r="BK330" s="1804"/>
      <c r="BL330" s="1804"/>
      <c r="BM330" s="1804"/>
      <c r="BN330" s="1804"/>
      <c r="BO330" s="1804"/>
      <c r="BP330" s="1804"/>
      <c r="BQ330" s="1804"/>
      <c r="BR330" s="1804"/>
      <c r="BS330" s="1804"/>
      <c r="BT330" s="1804"/>
      <c r="BU330" s="1804"/>
      <c r="BV330" s="1804"/>
      <c r="BW330" s="1804"/>
      <c r="BX330" s="1804"/>
      <c r="BY330" s="1804"/>
      <c r="BZ330" s="1804"/>
      <c r="CA330" s="1804"/>
      <c r="CB330" s="1804"/>
      <c r="CC330" s="1804"/>
      <c r="CD330" s="1804"/>
      <c r="CE330" s="1804"/>
      <c r="CF330" s="1804"/>
      <c r="CG330" s="1804"/>
      <c r="CH330" s="1804"/>
      <c r="CI330" s="1804"/>
      <c r="CJ330" s="1804"/>
      <c r="CK330" s="1804"/>
      <c r="CL330" s="1804"/>
      <c r="CM330" s="1804"/>
      <c r="CN330" s="1804"/>
      <c r="CO330" s="1804"/>
      <c r="CP330" s="1804"/>
      <c r="CQ330" s="1804"/>
      <c r="CR330" s="1804"/>
      <c r="CS330" s="1804"/>
      <c r="CT330" s="1804"/>
      <c r="CU330" s="1804"/>
      <c r="CV330" s="1804"/>
      <c r="CW330" s="1804"/>
      <c r="CX330" s="1804"/>
      <c r="CY330" s="1804"/>
      <c r="CZ330" s="1804"/>
      <c r="DA330" s="1804"/>
      <c r="DB330" s="1804"/>
      <c r="DC330" s="1804"/>
      <c r="DD330" s="1804"/>
      <c r="DE330" s="1804"/>
      <c r="DF330" s="1804"/>
      <c r="DG330" s="1804"/>
      <c r="DH330" s="1804"/>
      <c r="DI330" s="1804"/>
      <c r="DJ330" s="1804"/>
      <c r="DK330" s="1804"/>
      <c r="DL330" s="1804"/>
      <c r="DM330" s="1804"/>
      <c r="DN330" s="1804"/>
      <c r="DO330" s="1804"/>
      <c r="DP330" s="1804"/>
      <c r="DQ330" s="1804"/>
      <c r="DR330" s="1804"/>
      <c r="DS330" s="1804"/>
      <c r="DT330" s="1804"/>
      <c r="DU330" s="1804"/>
      <c r="DV330" s="1804"/>
      <c r="DW330" s="1804"/>
      <c r="DX330" s="1804"/>
      <c r="DY330" s="1804"/>
      <c r="DZ330" s="1804"/>
      <c r="EA330" s="1804"/>
      <c r="EB330" s="1804"/>
      <c r="EC330" s="1804"/>
      <c r="ED330" s="1804"/>
      <c r="EE330" s="1804"/>
      <c r="EF330" s="1804"/>
      <c r="EG330" s="1804"/>
      <c r="EH330" s="1804"/>
      <c r="EI330" s="1804"/>
      <c r="EJ330" s="1804"/>
      <c r="EK330" s="1804"/>
      <c r="EL330" s="1804"/>
      <c r="EM330" s="1804"/>
      <c r="EN330" s="1804"/>
      <c r="EO330" s="1804"/>
      <c r="EP330" s="1804"/>
      <c r="EQ330" s="1804"/>
      <c r="ER330" s="1804"/>
      <c r="ES330" s="1804"/>
      <c r="ET330" s="1804"/>
      <c r="EU330" s="1804"/>
      <c r="EV330" s="1804"/>
      <c r="EW330" s="1804"/>
      <c r="EX330" s="1804"/>
      <c r="EY330" s="1804"/>
      <c r="EZ330" s="1804"/>
      <c r="FA330" s="1804"/>
      <c r="FB330" s="1804"/>
      <c r="FC330" s="1804"/>
      <c r="FD330" s="1804"/>
      <c r="FE330" s="1804"/>
      <c r="FF330" s="1804"/>
      <c r="FG330" s="1804"/>
      <c r="FH330" s="1804"/>
      <c r="FI330" s="1804"/>
      <c r="FJ330" s="1804"/>
      <c r="FK330" s="1804"/>
      <c r="FL330" s="1804"/>
      <c r="FM330" s="1804"/>
      <c r="FN330" s="1804"/>
      <c r="FO330" s="1804"/>
      <c r="FP330" s="1804"/>
      <c r="FQ330" s="1804"/>
      <c r="FR330" s="1804"/>
      <c r="FS330" s="1804"/>
      <c r="FT330" s="1804"/>
      <c r="FU330" s="1804"/>
      <c r="FV330" s="1804"/>
      <c r="FW330" s="1804"/>
      <c r="FX330" s="1804"/>
      <c r="FY330" s="1804"/>
      <c r="FZ330" s="1804"/>
      <c r="GA330" s="1804"/>
      <c r="GB330" s="1804"/>
      <c r="GC330" s="1804"/>
      <c r="GD330" s="1804"/>
      <c r="GE330" s="1804"/>
      <c r="GF330" s="1804"/>
      <c r="GG330" s="1804"/>
      <c r="GH330" s="1804"/>
      <c r="GI330" s="1804"/>
      <c r="GJ330" s="1804"/>
      <c r="GK330" s="1804"/>
      <c r="GL330" s="1804"/>
      <c r="GM330" s="1804"/>
      <c r="GN330" s="1804"/>
      <c r="GO330" s="1804"/>
      <c r="GP330" s="1804"/>
      <c r="GQ330" s="1804"/>
      <c r="GR330" s="1804"/>
      <c r="GS330" s="1804"/>
      <c r="GT330" s="1804"/>
      <c r="GU330" s="1804"/>
      <c r="GV330" s="1804"/>
      <c r="GW330" s="1804"/>
      <c r="GX330" s="1804"/>
      <c r="GY330" s="1804"/>
      <c r="GZ330" s="1804"/>
      <c r="HA330" s="1804"/>
      <c r="HB330" s="1804"/>
      <c r="HC330" s="1804"/>
      <c r="HD330" s="1804"/>
      <c r="HE330" s="1804"/>
      <c r="HF330" s="1804"/>
      <c r="HG330" s="1804"/>
      <c r="HH330" s="1804"/>
      <c r="HI330" s="1804"/>
      <c r="HJ330" s="1804"/>
      <c r="HK330" s="1804"/>
      <c r="HL330" s="1804"/>
      <c r="HM330" s="1804"/>
      <c r="HN330" s="1804"/>
      <c r="HO330" s="1804"/>
      <c r="HP330" s="1804"/>
      <c r="HQ330" s="1804"/>
      <c r="HR330" s="1804"/>
      <c r="HS330" s="1804"/>
      <c r="HT330" s="1804"/>
      <c r="HU330" s="1804"/>
      <c r="HV330" s="1804"/>
      <c r="HW330" s="1804"/>
      <c r="HX330" s="1804"/>
      <c r="HY330" s="1804"/>
      <c r="HZ330" s="1804"/>
      <c r="IA330" s="1804"/>
      <c r="IB330" s="1804"/>
      <c r="IC330" s="1804"/>
      <c r="ID330" s="1804"/>
      <c r="IE330" s="1804"/>
      <c r="IF330" s="1804"/>
      <c r="IG330" s="1804"/>
      <c r="IH330" s="1804"/>
      <c r="II330" s="1804"/>
      <c r="IJ330" s="1804"/>
      <c r="IK330" s="1804"/>
      <c r="IL330" s="1804"/>
      <c r="IM330" s="1804"/>
      <c r="IN330" s="1804"/>
      <c r="IO330" s="1804"/>
      <c r="IP330" s="1804"/>
      <c r="IQ330" s="1804"/>
      <c r="IR330" s="1804"/>
      <c r="IS330" s="1804"/>
      <c r="IT330" s="1804"/>
      <c r="IU330" s="1804"/>
      <c r="IV330" s="1804"/>
      <c r="IW330" s="1804"/>
    </row>
    <row r="331" spans="3:257" s="888" customFormat="1" x14ac:dyDescent="0.45">
      <c r="C331" s="67" t="s">
        <v>552</v>
      </c>
      <c r="D331" s="68" t="s">
        <v>655</v>
      </c>
      <c r="E331" s="69"/>
      <c r="F331" s="2066">
        <v>5416731.7776299445</v>
      </c>
      <c r="G331" s="118">
        <v>3179.6215534687772</v>
      </c>
      <c r="H331" s="2062">
        <v>9.1844889630001827E-2</v>
      </c>
      <c r="I331" s="2062">
        <v>0.15898107767343891</v>
      </c>
      <c r="J331" s="119">
        <v>1979699.2514545273</v>
      </c>
      <c r="K331" s="120">
        <v>1162.0834606038075</v>
      </c>
      <c r="L331" s="120">
        <v>2.6550716033891961E-2</v>
      </c>
      <c r="M331" s="2069">
        <v>5.810417303019038E-2</v>
      </c>
      <c r="N331" s="2072">
        <f t="shared" si="52"/>
        <v>7396431.029084472</v>
      </c>
      <c r="O331" s="2073">
        <f t="shared" si="53"/>
        <v>4342.0404949289523</v>
      </c>
      <c r="P331" s="1838"/>
      <c r="Q331" s="1838"/>
      <c r="R331" s="1804"/>
      <c r="S331" s="1804"/>
      <c r="T331" s="1804"/>
      <c r="U331" s="1804"/>
      <c r="V331" s="1804"/>
      <c r="W331" s="1804"/>
      <c r="X331" s="1804"/>
      <c r="Y331" s="1804"/>
      <c r="Z331" s="1804"/>
      <c r="AA331" s="1804"/>
      <c r="AB331" s="1804"/>
      <c r="AC331" s="1804"/>
      <c r="AD331" s="1804"/>
      <c r="AE331" s="1804"/>
      <c r="AF331" s="1804"/>
      <c r="AG331" s="1804"/>
      <c r="AH331" s="1804"/>
      <c r="AI331" s="1804"/>
      <c r="AJ331" s="1804"/>
      <c r="AK331" s="1804"/>
      <c r="AL331" s="1804"/>
      <c r="AM331" s="1804"/>
      <c r="AN331" s="1804"/>
      <c r="AO331" s="1804"/>
      <c r="AP331" s="1804"/>
      <c r="AQ331" s="1804"/>
      <c r="AR331" s="1804"/>
      <c r="AS331" s="1804"/>
      <c r="AT331" s="1804"/>
      <c r="AU331" s="1804"/>
      <c r="AV331" s="1804"/>
      <c r="AW331" s="1804"/>
      <c r="AX331" s="1804"/>
      <c r="AY331" s="1804"/>
      <c r="AZ331" s="1804"/>
      <c r="BA331" s="1804"/>
      <c r="BB331" s="1804"/>
      <c r="BC331" s="1804"/>
      <c r="BD331" s="1804"/>
      <c r="BE331" s="1804"/>
      <c r="BF331" s="1804"/>
      <c r="BG331" s="1804"/>
      <c r="BH331" s="1804"/>
      <c r="BI331" s="1804"/>
      <c r="BJ331" s="1804"/>
      <c r="BK331" s="1804"/>
      <c r="BL331" s="1804"/>
      <c r="BM331" s="1804"/>
      <c r="BN331" s="1804"/>
      <c r="BO331" s="1804"/>
      <c r="BP331" s="1804"/>
      <c r="BQ331" s="1804"/>
      <c r="BR331" s="1804"/>
      <c r="BS331" s="1804"/>
      <c r="BT331" s="1804"/>
      <c r="BU331" s="1804"/>
      <c r="BV331" s="1804"/>
      <c r="BW331" s="1804"/>
      <c r="BX331" s="1804"/>
      <c r="BY331" s="1804"/>
      <c r="BZ331" s="1804"/>
      <c r="CA331" s="1804"/>
      <c r="CB331" s="1804"/>
      <c r="CC331" s="1804"/>
      <c r="CD331" s="1804"/>
      <c r="CE331" s="1804"/>
      <c r="CF331" s="1804"/>
      <c r="CG331" s="1804"/>
      <c r="CH331" s="1804"/>
      <c r="CI331" s="1804"/>
      <c r="CJ331" s="1804"/>
      <c r="CK331" s="1804"/>
      <c r="CL331" s="1804"/>
      <c r="CM331" s="1804"/>
      <c r="CN331" s="1804"/>
      <c r="CO331" s="1804"/>
      <c r="CP331" s="1804"/>
      <c r="CQ331" s="1804"/>
      <c r="CR331" s="1804"/>
      <c r="CS331" s="1804"/>
      <c r="CT331" s="1804"/>
      <c r="CU331" s="1804"/>
      <c r="CV331" s="1804"/>
      <c r="CW331" s="1804"/>
      <c r="CX331" s="1804"/>
      <c r="CY331" s="1804"/>
      <c r="CZ331" s="1804"/>
      <c r="DA331" s="1804"/>
      <c r="DB331" s="1804"/>
      <c r="DC331" s="1804"/>
      <c r="DD331" s="1804"/>
      <c r="DE331" s="1804"/>
      <c r="DF331" s="1804"/>
      <c r="DG331" s="1804"/>
      <c r="DH331" s="1804"/>
      <c r="DI331" s="1804"/>
      <c r="DJ331" s="1804"/>
      <c r="DK331" s="1804"/>
      <c r="DL331" s="1804"/>
      <c r="DM331" s="1804"/>
      <c r="DN331" s="1804"/>
      <c r="DO331" s="1804"/>
      <c r="DP331" s="1804"/>
      <c r="DQ331" s="1804"/>
      <c r="DR331" s="1804"/>
      <c r="DS331" s="1804"/>
      <c r="DT331" s="1804"/>
      <c r="DU331" s="1804"/>
      <c r="DV331" s="1804"/>
      <c r="DW331" s="1804"/>
      <c r="DX331" s="1804"/>
      <c r="DY331" s="1804"/>
      <c r="DZ331" s="1804"/>
      <c r="EA331" s="1804"/>
      <c r="EB331" s="1804"/>
      <c r="EC331" s="1804"/>
      <c r="ED331" s="1804"/>
      <c r="EE331" s="1804"/>
      <c r="EF331" s="1804"/>
      <c r="EG331" s="1804"/>
      <c r="EH331" s="1804"/>
      <c r="EI331" s="1804"/>
      <c r="EJ331" s="1804"/>
      <c r="EK331" s="1804"/>
      <c r="EL331" s="1804"/>
      <c r="EM331" s="1804"/>
      <c r="EN331" s="1804"/>
      <c r="EO331" s="1804"/>
      <c r="EP331" s="1804"/>
      <c r="EQ331" s="1804"/>
      <c r="ER331" s="1804"/>
      <c r="ES331" s="1804"/>
      <c r="ET331" s="1804"/>
      <c r="EU331" s="1804"/>
      <c r="EV331" s="1804"/>
      <c r="EW331" s="1804"/>
      <c r="EX331" s="1804"/>
      <c r="EY331" s="1804"/>
      <c r="EZ331" s="1804"/>
      <c r="FA331" s="1804"/>
      <c r="FB331" s="1804"/>
      <c r="FC331" s="1804"/>
      <c r="FD331" s="1804"/>
      <c r="FE331" s="1804"/>
      <c r="FF331" s="1804"/>
      <c r="FG331" s="1804"/>
      <c r="FH331" s="1804"/>
      <c r="FI331" s="1804"/>
      <c r="FJ331" s="1804"/>
      <c r="FK331" s="1804"/>
      <c r="FL331" s="1804"/>
      <c r="FM331" s="1804"/>
      <c r="FN331" s="1804"/>
      <c r="FO331" s="1804"/>
      <c r="FP331" s="1804"/>
      <c r="FQ331" s="1804"/>
      <c r="FR331" s="1804"/>
      <c r="FS331" s="1804"/>
      <c r="FT331" s="1804"/>
      <c r="FU331" s="1804"/>
      <c r="FV331" s="1804"/>
      <c r="FW331" s="1804"/>
      <c r="FX331" s="1804"/>
      <c r="FY331" s="1804"/>
      <c r="FZ331" s="1804"/>
      <c r="GA331" s="1804"/>
      <c r="GB331" s="1804"/>
      <c r="GC331" s="1804"/>
      <c r="GD331" s="1804"/>
      <c r="GE331" s="1804"/>
      <c r="GF331" s="1804"/>
      <c r="GG331" s="1804"/>
      <c r="GH331" s="1804"/>
      <c r="GI331" s="1804"/>
      <c r="GJ331" s="1804"/>
      <c r="GK331" s="1804"/>
      <c r="GL331" s="1804"/>
      <c r="GM331" s="1804"/>
      <c r="GN331" s="1804"/>
      <c r="GO331" s="1804"/>
      <c r="GP331" s="1804"/>
      <c r="GQ331" s="1804"/>
      <c r="GR331" s="1804"/>
      <c r="GS331" s="1804"/>
      <c r="GT331" s="1804"/>
      <c r="GU331" s="1804"/>
      <c r="GV331" s="1804"/>
      <c r="GW331" s="1804"/>
      <c r="GX331" s="1804"/>
      <c r="GY331" s="1804"/>
      <c r="GZ331" s="1804"/>
      <c r="HA331" s="1804"/>
      <c r="HB331" s="1804"/>
      <c r="HC331" s="1804"/>
      <c r="HD331" s="1804"/>
      <c r="HE331" s="1804"/>
      <c r="HF331" s="1804"/>
      <c r="HG331" s="1804"/>
      <c r="HH331" s="1804"/>
      <c r="HI331" s="1804"/>
      <c r="HJ331" s="1804"/>
      <c r="HK331" s="1804"/>
      <c r="HL331" s="1804"/>
      <c r="HM331" s="1804"/>
      <c r="HN331" s="1804"/>
      <c r="HO331" s="1804"/>
      <c r="HP331" s="1804"/>
      <c r="HQ331" s="1804"/>
      <c r="HR331" s="1804"/>
      <c r="HS331" s="1804"/>
      <c r="HT331" s="1804"/>
      <c r="HU331" s="1804"/>
      <c r="HV331" s="1804"/>
      <c r="HW331" s="1804"/>
      <c r="HX331" s="1804"/>
      <c r="HY331" s="1804"/>
      <c r="HZ331" s="1804"/>
      <c r="IA331" s="1804"/>
      <c r="IB331" s="1804"/>
      <c r="IC331" s="1804"/>
      <c r="ID331" s="1804"/>
      <c r="IE331" s="1804"/>
      <c r="IF331" s="1804"/>
      <c r="IG331" s="1804"/>
      <c r="IH331" s="1804"/>
      <c r="II331" s="1804"/>
      <c r="IJ331" s="1804"/>
      <c r="IK331" s="1804"/>
      <c r="IL331" s="1804"/>
      <c r="IM331" s="1804"/>
      <c r="IN331" s="1804"/>
      <c r="IO331" s="1804"/>
      <c r="IP331" s="1804"/>
      <c r="IQ331" s="1804"/>
      <c r="IR331" s="1804"/>
      <c r="IS331" s="1804"/>
      <c r="IT331" s="1804"/>
      <c r="IU331" s="1804"/>
      <c r="IV331" s="1804"/>
      <c r="IW331" s="1804"/>
    </row>
    <row r="332" spans="3:257" s="888" customFormat="1" x14ac:dyDescent="0.45">
      <c r="C332" s="67" t="s">
        <v>553</v>
      </c>
      <c r="D332" s="68" t="s">
        <v>656</v>
      </c>
      <c r="E332" s="69"/>
      <c r="F332" s="2066">
        <v>0</v>
      </c>
      <c r="G332" s="118">
        <v>0</v>
      </c>
      <c r="H332" s="2062"/>
      <c r="I332" s="2062"/>
      <c r="J332" s="119">
        <v>0</v>
      </c>
      <c r="K332" s="120">
        <v>0</v>
      </c>
      <c r="L332" s="120"/>
      <c r="M332" s="2069"/>
      <c r="N332" s="2072">
        <f t="shared" si="52"/>
        <v>0</v>
      </c>
      <c r="O332" s="2073">
        <f t="shared" si="53"/>
        <v>0</v>
      </c>
      <c r="P332" s="1838"/>
      <c r="Q332" s="1838"/>
      <c r="R332" s="1804"/>
      <c r="S332" s="1804"/>
      <c r="T332" s="1804"/>
      <c r="U332" s="1804"/>
      <c r="V332" s="1804"/>
      <c r="W332" s="1804"/>
      <c r="X332" s="1804"/>
      <c r="Y332" s="1804"/>
      <c r="Z332" s="1804"/>
      <c r="AA332" s="1804"/>
      <c r="AB332" s="1804"/>
      <c r="AC332" s="1804"/>
      <c r="AD332" s="1804"/>
      <c r="AE332" s="1804"/>
      <c r="AF332" s="1804"/>
      <c r="AG332" s="1804"/>
      <c r="AH332" s="1804"/>
      <c r="AI332" s="1804"/>
      <c r="AJ332" s="1804"/>
      <c r="AK332" s="1804"/>
      <c r="AL332" s="1804"/>
      <c r="AM332" s="1804"/>
      <c r="AN332" s="1804"/>
      <c r="AO332" s="1804"/>
      <c r="AP332" s="1804"/>
      <c r="AQ332" s="1804"/>
      <c r="AR332" s="1804"/>
      <c r="AS332" s="1804"/>
      <c r="AT332" s="1804"/>
      <c r="AU332" s="1804"/>
      <c r="AV332" s="1804"/>
      <c r="AW332" s="1804"/>
      <c r="AX332" s="1804"/>
      <c r="AY332" s="1804"/>
      <c r="AZ332" s="1804"/>
      <c r="BA332" s="1804"/>
      <c r="BB332" s="1804"/>
      <c r="BC332" s="1804"/>
      <c r="BD332" s="1804"/>
      <c r="BE332" s="1804"/>
      <c r="BF332" s="1804"/>
      <c r="BG332" s="1804"/>
      <c r="BH332" s="1804"/>
      <c r="BI332" s="1804"/>
      <c r="BJ332" s="1804"/>
      <c r="BK332" s="1804"/>
      <c r="BL332" s="1804"/>
      <c r="BM332" s="1804"/>
      <c r="BN332" s="1804"/>
      <c r="BO332" s="1804"/>
      <c r="BP332" s="1804"/>
      <c r="BQ332" s="1804"/>
      <c r="BR332" s="1804"/>
      <c r="BS332" s="1804"/>
      <c r="BT332" s="1804"/>
      <c r="BU332" s="1804"/>
      <c r="BV332" s="1804"/>
      <c r="BW332" s="1804"/>
      <c r="BX332" s="1804"/>
      <c r="BY332" s="1804"/>
      <c r="BZ332" s="1804"/>
      <c r="CA332" s="1804"/>
      <c r="CB332" s="1804"/>
      <c r="CC332" s="1804"/>
      <c r="CD332" s="1804"/>
      <c r="CE332" s="1804"/>
      <c r="CF332" s="1804"/>
      <c r="CG332" s="1804"/>
      <c r="CH332" s="1804"/>
      <c r="CI332" s="1804"/>
      <c r="CJ332" s="1804"/>
      <c r="CK332" s="1804"/>
      <c r="CL332" s="1804"/>
      <c r="CM332" s="1804"/>
      <c r="CN332" s="1804"/>
      <c r="CO332" s="1804"/>
      <c r="CP332" s="1804"/>
      <c r="CQ332" s="1804"/>
      <c r="CR332" s="1804"/>
      <c r="CS332" s="1804"/>
      <c r="CT332" s="1804"/>
      <c r="CU332" s="1804"/>
      <c r="CV332" s="1804"/>
      <c r="CW332" s="1804"/>
      <c r="CX332" s="1804"/>
      <c r="CY332" s="1804"/>
      <c r="CZ332" s="1804"/>
      <c r="DA332" s="1804"/>
      <c r="DB332" s="1804"/>
      <c r="DC332" s="1804"/>
      <c r="DD332" s="1804"/>
      <c r="DE332" s="1804"/>
      <c r="DF332" s="1804"/>
      <c r="DG332" s="1804"/>
      <c r="DH332" s="1804"/>
      <c r="DI332" s="1804"/>
      <c r="DJ332" s="1804"/>
      <c r="DK332" s="1804"/>
      <c r="DL332" s="1804"/>
      <c r="DM332" s="1804"/>
      <c r="DN332" s="1804"/>
      <c r="DO332" s="1804"/>
      <c r="DP332" s="1804"/>
      <c r="DQ332" s="1804"/>
      <c r="DR332" s="1804"/>
      <c r="DS332" s="1804"/>
      <c r="DT332" s="1804"/>
      <c r="DU332" s="1804"/>
      <c r="DV332" s="1804"/>
      <c r="DW332" s="1804"/>
      <c r="DX332" s="1804"/>
      <c r="DY332" s="1804"/>
      <c r="DZ332" s="1804"/>
      <c r="EA332" s="1804"/>
      <c r="EB332" s="1804"/>
      <c r="EC332" s="1804"/>
      <c r="ED332" s="1804"/>
      <c r="EE332" s="1804"/>
      <c r="EF332" s="1804"/>
      <c r="EG332" s="1804"/>
      <c r="EH332" s="1804"/>
      <c r="EI332" s="1804"/>
      <c r="EJ332" s="1804"/>
      <c r="EK332" s="1804"/>
      <c r="EL332" s="1804"/>
      <c r="EM332" s="1804"/>
      <c r="EN332" s="1804"/>
      <c r="EO332" s="1804"/>
      <c r="EP332" s="1804"/>
      <c r="EQ332" s="1804"/>
      <c r="ER332" s="1804"/>
      <c r="ES332" s="1804"/>
      <c r="ET332" s="1804"/>
      <c r="EU332" s="1804"/>
      <c r="EV332" s="1804"/>
      <c r="EW332" s="1804"/>
      <c r="EX332" s="1804"/>
      <c r="EY332" s="1804"/>
      <c r="EZ332" s="1804"/>
      <c r="FA332" s="1804"/>
      <c r="FB332" s="1804"/>
      <c r="FC332" s="1804"/>
      <c r="FD332" s="1804"/>
      <c r="FE332" s="1804"/>
      <c r="FF332" s="1804"/>
      <c r="FG332" s="1804"/>
      <c r="FH332" s="1804"/>
      <c r="FI332" s="1804"/>
      <c r="FJ332" s="1804"/>
      <c r="FK332" s="1804"/>
      <c r="FL332" s="1804"/>
      <c r="FM332" s="1804"/>
      <c r="FN332" s="1804"/>
      <c r="FO332" s="1804"/>
      <c r="FP332" s="1804"/>
      <c r="FQ332" s="1804"/>
      <c r="FR332" s="1804"/>
      <c r="FS332" s="1804"/>
      <c r="FT332" s="1804"/>
      <c r="FU332" s="1804"/>
      <c r="FV332" s="1804"/>
      <c r="FW332" s="1804"/>
      <c r="FX332" s="1804"/>
      <c r="FY332" s="1804"/>
      <c r="FZ332" s="1804"/>
      <c r="GA332" s="1804"/>
      <c r="GB332" s="1804"/>
      <c r="GC332" s="1804"/>
      <c r="GD332" s="1804"/>
      <c r="GE332" s="1804"/>
      <c r="GF332" s="1804"/>
      <c r="GG332" s="1804"/>
      <c r="GH332" s="1804"/>
      <c r="GI332" s="1804"/>
      <c r="GJ332" s="1804"/>
      <c r="GK332" s="1804"/>
      <c r="GL332" s="1804"/>
      <c r="GM332" s="1804"/>
      <c r="GN332" s="1804"/>
      <c r="GO332" s="1804"/>
      <c r="GP332" s="1804"/>
      <c r="GQ332" s="1804"/>
      <c r="GR332" s="1804"/>
      <c r="GS332" s="1804"/>
      <c r="GT332" s="1804"/>
      <c r="GU332" s="1804"/>
      <c r="GV332" s="1804"/>
      <c r="GW332" s="1804"/>
      <c r="GX332" s="1804"/>
      <c r="GY332" s="1804"/>
      <c r="GZ332" s="1804"/>
      <c r="HA332" s="1804"/>
      <c r="HB332" s="1804"/>
      <c r="HC332" s="1804"/>
      <c r="HD332" s="1804"/>
      <c r="HE332" s="1804"/>
      <c r="HF332" s="1804"/>
      <c r="HG332" s="1804"/>
      <c r="HH332" s="1804"/>
      <c r="HI332" s="1804"/>
      <c r="HJ332" s="1804"/>
      <c r="HK332" s="1804"/>
      <c r="HL332" s="1804"/>
      <c r="HM332" s="1804"/>
      <c r="HN332" s="1804"/>
      <c r="HO332" s="1804"/>
      <c r="HP332" s="1804"/>
      <c r="HQ332" s="1804"/>
      <c r="HR332" s="1804"/>
      <c r="HS332" s="1804"/>
      <c r="HT332" s="1804"/>
      <c r="HU332" s="1804"/>
      <c r="HV332" s="1804"/>
      <c r="HW332" s="1804"/>
      <c r="HX332" s="1804"/>
      <c r="HY332" s="1804"/>
      <c r="HZ332" s="1804"/>
      <c r="IA332" s="1804"/>
      <c r="IB332" s="1804"/>
      <c r="IC332" s="1804"/>
      <c r="ID332" s="1804"/>
      <c r="IE332" s="1804"/>
      <c r="IF332" s="1804"/>
      <c r="IG332" s="1804"/>
      <c r="IH332" s="1804"/>
      <c r="II332" s="1804"/>
      <c r="IJ332" s="1804"/>
      <c r="IK332" s="1804"/>
      <c r="IL332" s="1804"/>
      <c r="IM332" s="1804"/>
      <c r="IN332" s="1804"/>
      <c r="IO332" s="1804"/>
      <c r="IP332" s="1804"/>
      <c r="IQ332" s="1804"/>
      <c r="IR332" s="1804"/>
      <c r="IS332" s="1804"/>
      <c r="IT332" s="1804"/>
      <c r="IU332" s="1804"/>
      <c r="IV332" s="1804"/>
      <c r="IW332" s="1804"/>
    </row>
    <row r="333" spans="3:257" s="888" customFormat="1" x14ac:dyDescent="0.45">
      <c r="C333" s="67" t="s">
        <v>554</v>
      </c>
      <c r="D333" s="68" t="s">
        <v>657</v>
      </c>
      <c r="E333" s="69"/>
      <c r="F333" s="2066">
        <v>0</v>
      </c>
      <c r="G333" s="118">
        <v>0</v>
      </c>
      <c r="H333" s="2062"/>
      <c r="I333" s="2062"/>
      <c r="J333" s="119">
        <v>0</v>
      </c>
      <c r="K333" s="120">
        <v>0</v>
      </c>
      <c r="L333" s="120"/>
      <c r="M333" s="2069"/>
      <c r="N333" s="2072">
        <f t="shared" si="52"/>
        <v>0</v>
      </c>
      <c r="O333" s="2073">
        <f t="shared" si="53"/>
        <v>0</v>
      </c>
      <c r="P333" s="1838"/>
      <c r="Q333" s="1838"/>
      <c r="R333" s="1804"/>
      <c r="S333" s="1804"/>
      <c r="T333" s="1804"/>
      <c r="U333" s="1804"/>
      <c r="V333" s="1804"/>
      <c r="W333" s="1804"/>
      <c r="X333" s="1804"/>
      <c r="Y333" s="1804"/>
      <c r="Z333" s="1804"/>
      <c r="AA333" s="1804"/>
      <c r="AB333" s="1804"/>
      <c r="AC333" s="1804"/>
      <c r="AD333" s="1804"/>
      <c r="AE333" s="1804"/>
      <c r="AF333" s="1804"/>
      <c r="AG333" s="1804"/>
      <c r="AH333" s="1804"/>
      <c r="AI333" s="1804"/>
      <c r="AJ333" s="1804"/>
      <c r="AK333" s="1804"/>
      <c r="AL333" s="1804"/>
      <c r="AM333" s="1804"/>
      <c r="AN333" s="1804"/>
      <c r="AO333" s="1804"/>
      <c r="AP333" s="1804"/>
      <c r="AQ333" s="1804"/>
      <c r="AR333" s="1804"/>
      <c r="AS333" s="1804"/>
      <c r="AT333" s="1804"/>
      <c r="AU333" s="1804"/>
      <c r="AV333" s="1804"/>
      <c r="AW333" s="1804"/>
      <c r="AX333" s="1804"/>
      <c r="AY333" s="1804"/>
      <c r="AZ333" s="1804"/>
      <c r="BA333" s="1804"/>
      <c r="BB333" s="1804"/>
      <c r="BC333" s="1804"/>
      <c r="BD333" s="1804"/>
      <c r="BE333" s="1804"/>
      <c r="BF333" s="1804"/>
      <c r="BG333" s="1804"/>
      <c r="BH333" s="1804"/>
      <c r="BI333" s="1804"/>
      <c r="BJ333" s="1804"/>
      <c r="BK333" s="1804"/>
      <c r="BL333" s="1804"/>
      <c r="BM333" s="1804"/>
      <c r="BN333" s="1804"/>
      <c r="BO333" s="1804"/>
      <c r="BP333" s="1804"/>
      <c r="BQ333" s="1804"/>
      <c r="BR333" s="1804"/>
      <c r="BS333" s="1804"/>
      <c r="BT333" s="1804"/>
      <c r="BU333" s="1804"/>
      <c r="BV333" s="1804"/>
      <c r="BW333" s="1804"/>
      <c r="BX333" s="1804"/>
      <c r="BY333" s="1804"/>
      <c r="BZ333" s="1804"/>
      <c r="CA333" s="1804"/>
      <c r="CB333" s="1804"/>
      <c r="CC333" s="1804"/>
      <c r="CD333" s="1804"/>
      <c r="CE333" s="1804"/>
      <c r="CF333" s="1804"/>
      <c r="CG333" s="1804"/>
      <c r="CH333" s="1804"/>
      <c r="CI333" s="1804"/>
      <c r="CJ333" s="1804"/>
      <c r="CK333" s="1804"/>
      <c r="CL333" s="1804"/>
      <c r="CM333" s="1804"/>
      <c r="CN333" s="1804"/>
      <c r="CO333" s="1804"/>
      <c r="CP333" s="1804"/>
      <c r="CQ333" s="1804"/>
      <c r="CR333" s="1804"/>
      <c r="CS333" s="1804"/>
      <c r="CT333" s="1804"/>
      <c r="CU333" s="1804"/>
      <c r="CV333" s="1804"/>
      <c r="CW333" s="1804"/>
      <c r="CX333" s="1804"/>
      <c r="CY333" s="1804"/>
      <c r="CZ333" s="1804"/>
      <c r="DA333" s="1804"/>
      <c r="DB333" s="1804"/>
      <c r="DC333" s="1804"/>
      <c r="DD333" s="1804"/>
      <c r="DE333" s="1804"/>
      <c r="DF333" s="1804"/>
      <c r="DG333" s="1804"/>
      <c r="DH333" s="1804"/>
      <c r="DI333" s="1804"/>
      <c r="DJ333" s="1804"/>
      <c r="DK333" s="1804"/>
      <c r="DL333" s="1804"/>
      <c r="DM333" s="1804"/>
      <c r="DN333" s="1804"/>
      <c r="DO333" s="1804"/>
      <c r="DP333" s="1804"/>
      <c r="DQ333" s="1804"/>
      <c r="DR333" s="1804"/>
      <c r="DS333" s="1804"/>
      <c r="DT333" s="1804"/>
      <c r="DU333" s="1804"/>
      <c r="DV333" s="1804"/>
      <c r="DW333" s="1804"/>
      <c r="DX333" s="1804"/>
      <c r="DY333" s="1804"/>
      <c r="DZ333" s="1804"/>
      <c r="EA333" s="1804"/>
      <c r="EB333" s="1804"/>
      <c r="EC333" s="1804"/>
      <c r="ED333" s="1804"/>
      <c r="EE333" s="1804"/>
      <c r="EF333" s="1804"/>
      <c r="EG333" s="1804"/>
      <c r="EH333" s="1804"/>
      <c r="EI333" s="1804"/>
      <c r="EJ333" s="1804"/>
      <c r="EK333" s="1804"/>
      <c r="EL333" s="1804"/>
      <c r="EM333" s="1804"/>
      <c r="EN333" s="1804"/>
      <c r="EO333" s="1804"/>
      <c r="EP333" s="1804"/>
      <c r="EQ333" s="1804"/>
      <c r="ER333" s="1804"/>
      <c r="ES333" s="1804"/>
      <c r="ET333" s="1804"/>
      <c r="EU333" s="1804"/>
      <c r="EV333" s="1804"/>
      <c r="EW333" s="1804"/>
      <c r="EX333" s="1804"/>
      <c r="EY333" s="1804"/>
      <c r="EZ333" s="1804"/>
      <c r="FA333" s="1804"/>
      <c r="FB333" s="1804"/>
      <c r="FC333" s="1804"/>
      <c r="FD333" s="1804"/>
      <c r="FE333" s="1804"/>
      <c r="FF333" s="1804"/>
      <c r="FG333" s="1804"/>
      <c r="FH333" s="1804"/>
      <c r="FI333" s="1804"/>
      <c r="FJ333" s="1804"/>
      <c r="FK333" s="1804"/>
      <c r="FL333" s="1804"/>
      <c r="FM333" s="1804"/>
      <c r="FN333" s="1804"/>
      <c r="FO333" s="1804"/>
      <c r="FP333" s="1804"/>
      <c r="FQ333" s="1804"/>
      <c r="FR333" s="1804"/>
      <c r="FS333" s="1804"/>
      <c r="FT333" s="1804"/>
      <c r="FU333" s="1804"/>
      <c r="FV333" s="1804"/>
      <c r="FW333" s="1804"/>
      <c r="FX333" s="1804"/>
      <c r="FY333" s="1804"/>
      <c r="FZ333" s="1804"/>
      <c r="GA333" s="1804"/>
      <c r="GB333" s="1804"/>
      <c r="GC333" s="1804"/>
      <c r="GD333" s="1804"/>
      <c r="GE333" s="1804"/>
      <c r="GF333" s="1804"/>
      <c r="GG333" s="1804"/>
      <c r="GH333" s="1804"/>
      <c r="GI333" s="1804"/>
      <c r="GJ333" s="1804"/>
      <c r="GK333" s="1804"/>
      <c r="GL333" s="1804"/>
      <c r="GM333" s="1804"/>
      <c r="GN333" s="1804"/>
      <c r="GO333" s="1804"/>
      <c r="GP333" s="1804"/>
      <c r="GQ333" s="1804"/>
      <c r="GR333" s="1804"/>
      <c r="GS333" s="1804"/>
      <c r="GT333" s="1804"/>
      <c r="GU333" s="1804"/>
      <c r="GV333" s="1804"/>
      <c r="GW333" s="1804"/>
      <c r="GX333" s="1804"/>
      <c r="GY333" s="1804"/>
      <c r="GZ333" s="1804"/>
      <c r="HA333" s="1804"/>
      <c r="HB333" s="1804"/>
      <c r="HC333" s="1804"/>
      <c r="HD333" s="1804"/>
      <c r="HE333" s="1804"/>
      <c r="HF333" s="1804"/>
      <c r="HG333" s="1804"/>
      <c r="HH333" s="1804"/>
      <c r="HI333" s="1804"/>
      <c r="HJ333" s="1804"/>
      <c r="HK333" s="1804"/>
      <c r="HL333" s="1804"/>
      <c r="HM333" s="1804"/>
      <c r="HN333" s="1804"/>
      <c r="HO333" s="1804"/>
      <c r="HP333" s="1804"/>
      <c r="HQ333" s="1804"/>
      <c r="HR333" s="1804"/>
      <c r="HS333" s="1804"/>
      <c r="HT333" s="1804"/>
      <c r="HU333" s="1804"/>
      <c r="HV333" s="1804"/>
      <c r="HW333" s="1804"/>
      <c r="HX333" s="1804"/>
      <c r="HY333" s="1804"/>
      <c r="HZ333" s="1804"/>
      <c r="IA333" s="1804"/>
      <c r="IB333" s="1804"/>
      <c r="IC333" s="1804"/>
      <c r="ID333" s="1804"/>
      <c r="IE333" s="1804"/>
      <c r="IF333" s="1804"/>
      <c r="IG333" s="1804"/>
      <c r="IH333" s="1804"/>
      <c r="II333" s="1804"/>
      <c r="IJ333" s="1804"/>
      <c r="IK333" s="1804"/>
      <c r="IL333" s="1804"/>
      <c r="IM333" s="1804"/>
      <c r="IN333" s="1804"/>
      <c r="IO333" s="1804"/>
      <c r="IP333" s="1804"/>
      <c r="IQ333" s="1804"/>
      <c r="IR333" s="1804"/>
      <c r="IS333" s="1804"/>
      <c r="IT333" s="1804"/>
      <c r="IU333" s="1804"/>
      <c r="IV333" s="1804"/>
      <c r="IW333" s="1804"/>
    </row>
    <row r="334" spans="3:257" s="888" customFormat="1" x14ac:dyDescent="0.45">
      <c r="C334" s="67" t="s">
        <v>555</v>
      </c>
      <c r="D334" s="68" t="s">
        <v>658</v>
      </c>
      <c r="E334" s="69"/>
      <c r="F334" s="2066">
        <v>2225412.3081324105</v>
      </c>
      <c r="G334" s="118">
        <v>1306.3170248737249</v>
      </c>
      <c r="H334" s="2062">
        <v>3.3622307602802715E-2</v>
      </c>
      <c r="I334" s="2062">
        <v>6.5315851243686246E-2</v>
      </c>
      <c r="J334" s="119">
        <v>5526773.0879560886</v>
      </c>
      <c r="K334" s="120">
        <v>3244.2158026302236</v>
      </c>
      <c r="L334" s="120">
        <v>0.13702841103567023</v>
      </c>
      <c r="M334" s="2069">
        <v>0.16221079013151121</v>
      </c>
      <c r="N334" s="2072">
        <f t="shared" si="52"/>
        <v>7752185.3960884996</v>
      </c>
      <c r="O334" s="2073">
        <f t="shared" si="53"/>
        <v>4550.9310048639627</v>
      </c>
      <c r="P334" s="1838"/>
      <c r="Q334" s="1838"/>
      <c r="R334" s="1804"/>
      <c r="S334" s="1804"/>
      <c r="T334" s="1804"/>
      <c r="U334" s="1804"/>
      <c r="V334" s="1804"/>
      <c r="W334" s="1804"/>
      <c r="X334" s="1804"/>
      <c r="Y334" s="1804"/>
      <c r="Z334" s="1804"/>
      <c r="AA334" s="1804"/>
      <c r="AB334" s="1804"/>
      <c r="AC334" s="1804"/>
      <c r="AD334" s="1804"/>
      <c r="AE334" s="1804"/>
      <c r="AF334" s="1804"/>
      <c r="AG334" s="1804"/>
      <c r="AH334" s="1804"/>
      <c r="AI334" s="1804"/>
      <c r="AJ334" s="1804"/>
      <c r="AK334" s="1804"/>
      <c r="AL334" s="1804"/>
      <c r="AM334" s="1804"/>
      <c r="AN334" s="1804"/>
      <c r="AO334" s="1804"/>
      <c r="AP334" s="1804"/>
      <c r="AQ334" s="1804"/>
      <c r="AR334" s="1804"/>
      <c r="AS334" s="1804"/>
      <c r="AT334" s="1804"/>
      <c r="AU334" s="1804"/>
      <c r="AV334" s="1804"/>
      <c r="AW334" s="1804"/>
      <c r="AX334" s="1804"/>
      <c r="AY334" s="1804"/>
      <c r="AZ334" s="1804"/>
      <c r="BA334" s="1804"/>
      <c r="BB334" s="1804"/>
      <c r="BC334" s="1804"/>
      <c r="BD334" s="1804"/>
      <c r="BE334" s="1804"/>
      <c r="BF334" s="1804"/>
      <c r="BG334" s="1804"/>
      <c r="BH334" s="1804"/>
      <c r="BI334" s="1804"/>
      <c r="BJ334" s="1804"/>
      <c r="BK334" s="1804"/>
      <c r="BL334" s="1804"/>
      <c r="BM334" s="1804"/>
      <c r="BN334" s="1804"/>
      <c r="BO334" s="1804"/>
      <c r="BP334" s="1804"/>
      <c r="BQ334" s="1804"/>
      <c r="BR334" s="1804"/>
      <c r="BS334" s="1804"/>
      <c r="BT334" s="1804"/>
      <c r="BU334" s="1804"/>
      <c r="BV334" s="1804"/>
      <c r="BW334" s="1804"/>
      <c r="BX334" s="1804"/>
      <c r="BY334" s="1804"/>
      <c r="BZ334" s="1804"/>
      <c r="CA334" s="1804"/>
      <c r="CB334" s="1804"/>
      <c r="CC334" s="1804"/>
      <c r="CD334" s="1804"/>
      <c r="CE334" s="1804"/>
      <c r="CF334" s="1804"/>
      <c r="CG334" s="1804"/>
      <c r="CH334" s="1804"/>
      <c r="CI334" s="1804"/>
      <c r="CJ334" s="1804"/>
      <c r="CK334" s="1804"/>
      <c r="CL334" s="1804"/>
      <c r="CM334" s="1804"/>
      <c r="CN334" s="1804"/>
      <c r="CO334" s="1804"/>
      <c r="CP334" s="1804"/>
      <c r="CQ334" s="1804"/>
      <c r="CR334" s="1804"/>
      <c r="CS334" s="1804"/>
      <c r="CT334" s="1804"/>
      <c r="CU334" s="1804"/>
      <c r="CV334" s="1804"/>
      <c r="CW334" s="1804"/>
      <c r="CX334" s="1804"/>
      <c r="CY334" s="1804"/>
      <c r="CZ334" s="1804"/>
      <c r="DA334" s="1804"/>
      <c r="DB334" s="1804"/>
      <c r="DC334" s="1804"/>
      <c r="DD334" s="1804"/>
      <c r="DE334" s="1804"/>
      <c r="DF334" s="1804"/>
      <c r="DG334" s="1804"/>
      <c r="DH334" s="1804"/>
      <c r="DI334" s="1804"/>
      <c r="DJ334" s="1804"/>
      <c r="DK334" s="1804"/>
      <c r="DL334" s="1804"/>
      <c r="DM334" s="1804"/>
      <c r="DN334" s="1804"/>
      <c r="DO334" s="1804"/>
      <c r="DP334" s="1804"/>
      <c r="DQ334" s="1804"/>
      <c r="DR334" s="1804"/>
      <c r="DS334" s="1804"/>
      <c r="DT334" s="1804"/>
      <c r="DU334" s="1804"/>
      <c r="DV334" s="1804"/>
      <c r="DW334" s="1804"/>
      <c r="DX334" s="1804"/>
      <c r="DY334" s="1804"/>
      <c r="DZ334" s="1804"/>
      <c r="EA334" s="1804"/>
      <c r="EB334" s="1804"/>
      <c r="EC334" s="1804"/>
      <c r="ED334" s="1804"/>
      <c r="EE334" s="1804"/>
      <c r="EF334" s="1804"/>
      <c r="EG334" s="1804"/>
      <c r="EH334" s="1804"/>
      <c r="EI334" s="1804"/>
      <c r="EJ334" s="1804"/>
      <c r="EK334" s="1804"/>
      <c r="EL334" s="1804"/>
      <c r="EM334" s="1804"/>
      <c r="EN334" s="1804"/>
      <c r="EO334" s="1804"/>
      <c r="EP334" s="1804"/>
      <c r="EQ334" s="1804"/>
      <c r="ER334" s="1804"/>
      <c r="ES334" s="1804"/>
      <c r="ET334" s="1804"/>
      <c r="EU334" s="1804"/>
      <c r="EV334" s="1804"/>
      <c r="EW334" s="1804"/>
      <c r="EX334" s="1804"/>
      <c r="EY334" s="1804"/>
      <c r="EZ334" s="1804"/>
      <c r="FA334" s="1804"/>
      <c r="FB334" s="1804"/>
      <c r="FC334" s="1804"/>
      <c r="FD334" s="1804"/>
      <c r="FE334" s="1804"/>
      <c r="FF334" s="1804"/>
      <c r="FG334" s="1804"/>
      <c r="FH334" s="1804"/>
      <c r="FI334" s="1804"/>
      <c r="FJ334" s="1804"/>
      <c r="FK334" s="1804"/>
      <c r="FL334" s="1804"/>
      <c r="FM334" s="1804"/>
      <c r="FN334" s="1804"/>
      <c r="FO334" s="1804"/>
      <c r="FP334" s="1804"/>
      <c r="FQ334" s="1804"/>
      <c r="FR334" s="1804"/>
      <c r="FS334" s="1804"/>
      <c r="FT334" s="1804"/>
      <c r="FU334" s="1804"/>
      <c r="FV334" s="1804"/>
      <c r="FW334" s="1804"/>
      <c r="FX334" s="1804"/>
      <c r="FY334" s="1804"/>
      <c r="FZ334" s="1804"/>
      <c r="GA334" s="1804"/>
      <c r="GB334" s="1804"/>
      <c r="GC334" s="1804"/>
      <c r="GD334" s="1804"/>
      <c r="GE334" s="1804"/>
      <c r="GF334" s="1804"/>
      <c r="GG334" s="1804"/>
      <c r="GH334" s="1804"/>
      <c r="GI334" s="1804"/>
      <c r="GJ334" s="1804"/>
      <c r="GK334" s="1804"/>
      <c r="GL334" s="1804"/>
      <c r="GM334" s="1804"/>
      <c r="GN334" s="1804"/>
      <c r="GO334" s="1804"/>
      <c r="GP334" s="1804"/>
      <c r="GQ334" s="1804"/>
      <c r="GR334" s="1804"/>
      <c r="GS334" s="1804"/>
      <c r="GT334" s="1804"/>
      <c r="GU334" s="1804"/>
      <c r="GV334" s="1804"/>
      <c r="GW334" s="1804"/>
      <c r="GX334" s="1804"/>
      <c r="GY334" s="1804"/>
      <c r="GZ334" s="1804"/>
      <c r="HA334" s="1804"/>
      <c r="HB334" s="1804"/>
      <c r="HC334" s="1804"/>
      <c r="HD334" s="1804"/>
      <c r="HE334" s="1804"/>
      <c r="HF334" s="1804"/>
      <c r="HG334" s="1804"/>
      <c r="HH334" s="1804"/>
      <c r="HI334" s="1804"/>
      <c r="HJ334" s="1804"/>
      <c r="HK334" s="1804"/>
      <c r="HL334" s="1804"/>
      <c r="HM334" s="1804"/>
      <c r="HN334" s="1804"/>
      <c r="HO334" s="1804"/>
      <c r="HP334" s="1804"/>
      <c r="HQ334" s="1804"/>
      <c r="HR334" s="1804"/>
      <c r="HS334" s="1804"/>
      <c r="HT334" s="1804"/>
      <c r="HU334" s="1804"/>
      <c r="HV334" s="1804"/>
      <c r="HW334" s="1804"/>
      <c r="HX334" s="1804"/>
      <c r="HY334" s="1804"/>
      <c r="HZ334" s="1804"/>
      <c r="IA334" s="1804"/>
      <c r="IB334" s="1804"/>
      <c r="IC334" s="1804"/>
      <c r="ID334" s="1804"/>
      <c r="IE334" s="1804"/>
      <c r="IF334" s="1804"/>
      <c r="IG334" s="1804"/>
      <c r="IH334" s="1804"/>
      <c r="II334" s="1804"/>
      <c r="IJ334" s="1804"/>
      <c r="IK334" s="1804"/>
      <c r="IL334" s="1804"/>
      <c r="IM334" s="1804"/>
      <c r="IN334" s="1804"/>
      <c r="IO334" s="1804"/>
      <c r="IP334" s="1804"/>
      <c r="IQ334" s="1804"/>
      <c r="IR334" s="1804"/>
      <c r="IS334" s="1804"/>
      <c r="IT334" s="1804"/>
      <c r="IU334" s="1804"/>
      <c r="IV334" s="1804"/>
      <c r="IW334" s="1804"/>
    </row>
    <row r="335" spans="3:257" s="888" customFormat="1" x14ac:dyDescent="0.45">
      <c r="C335" s="67" t="s">
        <v>556</v>
      </c>
      <c r="D335" s="68" t="s">
        <v>659</v>
      </c>
      <c r="E335" s="69"/>
      <c r="F335" s="2066">
        <v>0</v>
      </c>
      <c r="G335" s="118">
        <v>0</v>
      </c>
      <c r="H335" s="2062"/>
      <c r="I335" s="2062"/>
      <c r="J335" s="119">
        <v>0</v>
      </c>
      <c r="K335" s="120">
        <v>0</v>
      </c>
      <c r="L335" s="120"/>
      <c r="M335" s="2069"/>
      <c r="N335" s="2072">
        <f t="shared" si="52"/>
        <v>0</v>
      </c>
      <c r="O335" s="2073">
        <f t="shared" si="53"/>
        <v>0</v>
      </c>
      <c r="P335" s="1838"/>
      <c r="Q335" s="1838"/>
      <c r="R335" s="1804"/>
      <c r="S335" s="1804"/>
      <c r="T335" s="1804"/>
      <c r="U335" s="1804"/>
      <c r="V335" s="1804"/>
      <c r="W335" s="1804"/>
      <c r="X335" s="1804"/>
      <c r="Y335" s="1804"/>
      <c r="Z335" s="1804"/>
      <c r="AA335" s="1804"/>
      <c r="AB335" s="1804"/>
      <c r="AC335" s="1804"/>
      <c r="AD335" s="1804"/>
      <c r="AE335" s="1804"/>
      <c r="AF335" s="1804"/>
      <c r="AG335" s="1804"/>
      <c r="AH335" s="1804"/>
      <c r="AI335" s="1804"/>
      <c r="AJ335" s="1804"/>
      <c r="AK335" s="1804"/>
      <c r="AL335" s="1804"/>
      <c r="AM335" s="1804"/>
      <c r="AN335" s="1804"/>
      <c r="AO335" s="1804"/>
      <c r="AP335" s="1804"/>
      <c r="AQ335" s="1804"/>
      <c r="AR335" s="1804"/>
      <c r="AS335" s="1804"/>
      <c r="AT335" s="1804"/>
      <c r="AU335" s="1804"/>
      <c r="AV335" s="1804"/>
      <c r="AW335" s="1804"/>
      <c r="AX335" s="1804"/>
      <c r="AY335" s="1804"/>
      <c r="AZ335" s="1804"/>
      <c r="BA335" s="1804"/>
      <c r="BB335" s="1804"/>
      <c r="BC335" s="1804"/>
      <c r="BD335" s="1804"/>
      <c r="BE335" s="1804"/>
      <c r="BF335" s="1804"/>
      <c r="BG335" s="1804"/>
      <c r="BH335" s="1804"/>
      <c r="BI335" s="1804"/>
      <c r="BJ335" s="1804"/>
      <c r="BK335" s="1804"/>
      <c r="BL335" s="1804"/>
      <c r="BM335" s="1804"/>
      <c r="BN335" s="1804"/>
      <c r="BO335" s="1804"/>
      <c r="BP335" s="1804"/>
      <c r="BQ335" s="1804"/>
      <c r="BR335" s="1804"/>
      <c r="BS335" s="1804"/>
      <c r="BT335" s="1804"/>
      <c r="BU335" s="1804"/>
      <c r="BV335" s="1804"/>
      <c r="BW335" s="1804"/>
      <c r="BX335" s="1804"/>
      <c r="BY335" s="1804"/>
      <c r="BZ335" s="1804"/>
      <c r="CA335" s="1804"/>
      <c r="CB335" s="1804"/>
      <c r="CC335" s="1804"/>
      <c r="CD335" s="1804"/>
      <c r="CE335" s="1804"/>
      <c r="CF335" s="1804"/>
      <c r="CG335" s="1804"/>
      <c r="CH335" s="1804"/>
      <c r="CI335" s="1804"/>
      <c r="CJ335" s="1804"/>
      <c r="CK335" s="1804"/>
      <c r="CL335" s="1804"/>
      <c r="CM335" s="1804"/>
      <c r="CN335" s="1804"/>
      <c r="CO335" s="1804"/>
      <c r="CP335" s="1804"/>
      <c r="CQ335" s="1804"/>
      <c r="CR335" s="1804"/>
      <c r="CS335" s="1804"/>
      <c r="CT335" s="1804"/>
      <c r="CU335" s="1804"/>
      <c r="CV335" s="1804"/>
      <c r="CW335" s="1804"/>
      <c r="CX335" s="1804"/>
      <c r="CY335" s="1804"/>
      <c r="CZ335" s="1804"/>
      <c r="DA335" s="1804"/>
      <c r="DB335" s="1804"/>
      <c r="DC335" s="1804"/>
      <c r="DD335" s="1804"/>
      <c r="DE335" s="1804"/>
      <c r="DF335" s="1804"/>
      <c r="DG335" s="1804"/>
      <c r="DH335" s="1804"/>
      <c r="DI335" s="1804"/>
      <c r="DJ335" s="1804"/>
      <c r="DK335" s="1804"/>
      <c r="DL335" s="1804"/>
      <c r="DM335" s="1804"/>
      <c r="DN335" s="1804"/>
      <c r="DO335" s="1804"/>
      <c r="DP335" s="1804"/>
      <c r="DQ335" s="1804"/>
      <c r="DR335" s="1804"/>
      <c r="DS335" s="1804"/>
      <c r="DT335" s="1804"/>
      <c r="DU335" s="1804"/>
      <c r="DV335" s="1804"/>
      <c r="DW335" s="1804"/>
      <c r="DX335" s="1804"/>
      <c r="DY335" s="1804"/>
      <c r="DZ335" s="1804"/>
      <c r="EA335" s="1804"/>
      <c r="EB335" s="1804"/>
      <c r="EC335" s="1804"/>
      <c r="ED335" s="1804"/>
      <c r="EE335" s="1804"/>
      <c r="EF335" s="1804"/>
      <c r="EG335" s="1804"/>
      <c r="EH335" s="1804"/>
      <c r="EI335" s="1804"/>
      <c r="EJ335" s="1804"/>
      <c r="EK335" s="1804"/>
      <c r="EL335" s="1804"/>
      <c r="EM335" s="1804"/>
      <c r="EN335" s="1804"/>
      <c r="EO335" s="1804"/>
      <c r="EP335" s="1804"/>
      <c r="EQ335" s="1804"/>
      <c r="ER335" s="1804"/>
      <c r="ES335" s="1804"/>
      <c r="ET335" s="1804"/>
      <c r="EU335" s="1804"/>
      <c r="EV335" s="1804"/>
      <c r="EW335" s="1804"/>
      <c r="EX335" s="1804"/>
      <c r="EY335" s="1804"/>
      <c r="EZ335" s="1804"/>
      <c r="FA335" s="1804"/>
      <c r="FB335" s="1804"/>
      <c r="FC335" s="1804"/>
      <c r="FD335" s="1804"/>
      <c r="FE335" s="1804"/>
      <c r="FF335" s="1804"/>
      <c r="FG335" s="1804"/>
      <c r="FH335" s="1804"/>
      <c r="FI335" s="1804"/>
      <c r="FJ335" s="1804"/>
      <c r="FK335" s="1804"/>
      <c r="FL335" s="1804"/>
      <c r="FM335" s="1804"/>
      <c r="FN335" s="1804"/>
      <c r="FO335" s="1804"/>
      <c r="FP335" s="1804"/>
      <c r="FQ335" s="1804"/>
      <c r="FR335" s="1804"/>
      <c r="FS335" s="1804"/>
      <c r="FT335" s="1804"/>
      <c r="FU335" s="1804"/>
      <c r="FV335" s="1804"/>
      <c r="FW335" s="1804"/>
      <c r="FX335" s="1804"/>
      <c r="FY335" s="1804"/>
      <c r="FZ335" s="1804"/>
      <c r="GA335" s="1804"/>
      <c r="GB335" s="1804"/>
      <c r="GC335" s="1804"/>
      <c r="GD335" s="1804"/>
      <c r="GE335" s="1804"/>
      <c r="GF335" s="1804"/>
      <c r="GG335" s="1804"/>
      <c r="GH335" s="1804"/>
      <c r="GI335" s="1804"/>
      <c r="GJ335" s="1804"/>
      <c r="GK335" s="1804"/>
      <c r="GL335" s="1804"/>
      <c r="GM335" s="1804"/>
      <c r="GN335" s="1804"/>
      <c r="GO335" s="1804"/>
      <c r="GP335" s="1804"/>
      <c r="GQ335" s="1804"/>
      <c r="GR335" s="1804"/>
      <c r="GS335" s="1804"/>
      <c r="GT335" s="1804"/>
      <c r="GU335" s="1804"/>
      <c r="GV335" s="1804"/>
      <c r="GW335" s="1804"/>
      <c r="GX335" s="1804"/>
      <c r="GY335" s="1804"/>
      <c r="GZ335" s="1804"/>
      <c r="HA335" s="1804"/>
      <c r="HB335" s="1804"/>
      <c r="HC335" s="1804"/>
      <c r="HD335" s="1804"/>
      <c r="HE335" s="1804"/>
      <c r="HF335" s="1804"/>
      <c r="HG335" s="1804"/>
      <c r="HH335" s="1804"/>
      <c r="HI335" s="1804"/>
      <c r="HJ335" s="1804"/>
      <c r="HK335" s="1804"/>
      <c r="HL335" s="1804"/>
      <c r="HM335" s="1804"/>
      <c r="HN335" s="1804"/>
      <c r="HO335" s="1804"/>
      <c r="HP335" s="1804"/>
      <c r="HQ335" s="1804"/>
      <c r="HR335" s="1804"/>
      <c r="HS335" s="1804"/>
      <c r="HT335" s="1804"/>
      <c r="HU335" s="1804"/>
      <c r="HV335" s="1804"/>
      <c r="HW335" s="1804"/>
      <c r="HX335" s="1804"/>
      <c r="HY335" s="1804"/>
      <c r="HZ335" s="1804"/>
      <c r="IA335" s="1804"/>
      <c r="IB335" s="1804"/>
      <c r="IC335" s="1804"/>
      <c r="ID335" s="1804"/>
      <c r="IE335" s="1804"/>
      <c r="IF335" s="1804"/>
      <c r="IG335" s="1804"/>
      <c r="IH335" s="1804"/>
      <c r="II335" s="1804"/>
      <c r="IJ335" s="1804"/>
      <c r="IK335" s="1804"/>
      <c r="IL335" s="1804"/>
      <c r="IM335" s="1804"/>
      <c r="IN335" s="1804"/>
      <c r="IO335" s="1804"/>
      <c r="IP335" s="1804"/>
      <c r="IQ335" s="1804"/>
      <c r="IR335" s="1804"/>
      <c r="IS335" s="1804"/>
      <c r="IT335" s="1804"/>
      <c r="IU335" s="1804"/>
      <c r="IV335" s="1804"/>
      <c r="IW335" s="1804"/>
    </row>
    <row r="336" spans="3:257" s="888" customFormat="1" x14ac:dyDescent="0.45">
      <c r="C336" s="67" t="s">
        <v>557</v>
      </c>
      <c r="D336" s="68" t="s">
        <v>660</v>
      </c>
      <c r="E336" s="69"/>
      <c r="F336" s="2066">
        <v>4055207.3449954945</v>
      </c>
      <c r="G336" s="118">
        <v>2380.4067115123553</v>
      </c>
      <c r="H336" s="2062">
        <v>6.2096790178121412E-2</v>
      </c>
      <c r="I336" s="2062">
        <v>0.11902033557561777</v>
      </c>
      <c r="J336" s="119">
        <v>12836966.850384418</v>
      </c>
      <c r="K336" s="120">
        <v>7535.2995411756528</v>
      </c>
      <c r="L336" s="120">
        <v>0.18608711743084491</v>
      </c>
      <c r="M336" s="2069">
        <v>0.37676497705878265</v>
      </c>
      <c r="N336" s="2072">
        <f t="shared" si="52"/>
        <v>16892174.195379913</v>
      </c>
      <c r="O336" s="2073">
        <f t="shared" si="53"/>
        <v>9916.4502219082515</v>
      </c>
      <c r="P336" s="1838"/>
      <c r="Q336" s="1838"/>
      <c r="R336" s="1804"/>
      <c r="S336" s="1804"/>
      <c r="T336" s="1804"/>
      <c r="U336" s="1804"/>
      <c r="V336" s="1804"/>
      <c r="W336" s="1804"/>
      <c r="X336" s="1804"/>
      <c r="Y336" s="1804"/>
      <c r="Z336" s="1804"/>
      <c r="AA336" s="1804"/>
      <c r="AB336" s="1804"/>
      <c r="AC336" s="1804"/>
      <c r="AD336" s="1804"/>
      <c r="AE336" s="1804"/>
      <c r="AF336" s="1804"/>
      <c r="AG336" s="1804"/>
      <c r="AH336" s="1804"/>
      <c r="AI336" s="1804"/>
      <c r="AJ336" s="1804"/>
      <c r="AK336" s="1804"/>
      <c r="AL336" s="1804"/>
      <c r="AM336" s="1804"/>
      <c r="AN336" s="1804"/>
      <c r="AO336" s="1804"/>
      <c r="AP336" s="1804"/>
      <c r="AQ336" s="1804"/>
      <c r="AR336" s="1804"/>
      <c r="AS336" s="1804"/>
      <c r="AT336" s="1804"/>
      <c r="AU336" s="1804"/>
      <c r="AV336" s="1804"/>
      <c r="AW336" s="1804"/>
      <c r="AX336" s="1804"/>
      <c r="AY336" s="1804"/>
      <c r="AZ336" s="1804"/>
      <c r="BA336" s="1804"/>
      <c r="BB336" s="1804"/>
      <c r="BC336" s="1804"/>
      <c r="BD336" s="1804"/>
      <c r="BE336" s="1804"/>
      <c r="BF336" s="1804"/>
      <c r="BG336" s="1804"/>
      <c r="BH336" s="1804"/>
      <c r="BI336" s="1804"/>
      <c r="BJ336" s="1804"/>
      <c r="BK336" s="1804"/>
      <c r="BL336" s="1804"/>
      <c r="BM336" s="1804"/>
      <c r="BN336" s="1804"/>
      <c r="BO336" s="1804"/>
      <c r="BP336" s="1804"/>
      <c r="BQ336" s="1804"/>
      <c r="BR336" s="1804"/>
      <c r="BS336" s="1804"/>
      <c r="BT336" s="1804"/>
      <c r="BU336" s="1804"/>
      <c r="BV336" s="1804"/>
      <c r="BW336" s="1804"/>
      <c r="BX336" s="1804"/>
      <c r="BY336" s="1804"/>
      <c r="BZ336" s="1804"/>
      <c r="CA336" s="1804"/>
      <c r="CB336" s="1804"/>
      <c r="CC336" s="1804"/>
      <c r="CD336" s="1804"/>
      <c r="CE336" s="1804"/>
      <c r="CF336" s="1804"/>
      <c r="CG336" s="1804"/>
      <c r="CH336" s="1804"/>
      <c r="CI336" s="1804"/>
      <c r="CJ336" s="1804"/>
      <c r="CK336" s="1804"/>
      <c r="CL336" s="1804"/>
      <c r="CM336" s="1804"/>
      <c r="CN336" s="1804"/>
      <c r="CO336" s="1804"/>
      <c r="CP336" s="1804"/>
      <c r="CQ336" s="1804"/>
      <c r="CR336" s="1804"/>
      <c r="CS336" s="1804"/>
      <c r="CT336" s="1804"/>
      <c r="CU336" s="1804"/>
      <c r="CV336" s="1804"/>
      <c r="CW336" s="1804"/>
      <c r="CX336" s="1804"/>
      <c r="CY336" s="1804"/>
      <c r="CZ336" s="1804"/>
      <c r="DA336" s="1804"/>
      <c r="DB336" s="1804"/>
      <c r="DC336" s="1804"/>
      <c r="DD336" s="1804"/>
      <c r="DE336" s="1804"/>
      <c r="DF336" s="1804"/>
      <c r="DG336" s="1804"/>
      <c r="DH336" s="1804"/>
      <c r="DI336" s="1804"/>
      <c r="DJ336" s="1804"/>
      <c r="DK336" s="1804"/>
      <c r="DL336" s="1804"/>
      <c r="DM336" s="1804"/>
      <c r="DN336" s="1804"/>
      <c r="DO336" s="1804"/>
      <c r="DP336" s="1804"/>
      <c r="DQ336" s="1804"/>
      <c r="DR336" s="1804"/>
      <c r="DS336" s="1804"/>
      <c r="DT336" s="1804"/>
      <c r="DU336" s="1804"/>
      <c r="DV336" s="1804"/>
      <c r="DW336" s="1804"/>
      <c r="DX336" s="1804"/>
      <c r="DY336" s="1804"/>
      <c r="DZ336" s="1804"/>
      <c r="EA336" s="1804"/>
      <c r="EB336" s="1804"/>
      <c r="EC336" s="1804"/>
      <c r="ED336" s="1804"/>
      <c r="EE336" s="1804"/>
      <c r="EF336" s="1804"/>
      <c r="EG336" s="1804"/>
      <c r="EH336" s="1804"/>
      <c r="EI336" s="1804"/>
      <c r="EJ336" s="1804"/>
      <c r="EK336" s="1804"/>
      <c r="EL336" s="1804"/>
      <c r="EM336" s="1804"/>
      <c r="EN336" s="1804"/>
      <c r="EO336" s="1804"/>
      <c r="EP336" s="1804"/>
      <c r="EQ336" s="1804"/>
      <c r="ER336" s="1804"/>
      <c r="ES336" s="1804"/>
      <c r="ET336" s="1804"/>
      <c r="EU336" s="1804"/>
      <c r="EV336" s="1804"/>
      <c r="EW336" s="1804"/>
      <c r="EX336" s="1804"/>
      <c r="EY336" s="1804"/>
      <c r="EZ336" s="1804"/>
      <c r="FA336" s="1804"/>
      <c r="FB336" s="1804"/>
      <c r="FC336" s="1804"/>
      <c r="FD336" s="1804"/>
      <c r="FE336" s="1804"/>
      <c r="FF336" s="1804"/>
      <c r="FG336" s="1804"/>
      <c r="FH336" s="1804"/>
      <c r="FI336" s="1804"/>
      <c r="FJ336" s="1804"/>
      <c r="FK336" s="1804"/>
      <c r="FL336" s="1804"/>
      <c r="FM336" s="1804"/>
      <c r="FN336" s="1804"/>
      <c r="FO336" s="1804"/>
      <c r="FP336" s="1804"/>
      <c r="FQ336" s="1804"/>
      <c r="FR336" s="1804"/>
      <c r="FS336" s="1804"/>
      <c r="FT336" s="1804"/>
      <c r="FU336" s="1804"/>
      <c r="FV336" s="1804"/>
      <c r="FW336" s="1804"/>
      <c r="FX336" s="1804"/>
      <c r="FY336" s="1804"/>
      <c r="FZ336" s="1804"/>
      <c r="GA336" s="1804"/>
      <c r="GB336" s="1804"/>
      <c r="GC336" s="1804"/>
      <c r="GD336" s="1804"/>
      <c r="GE336" s="1804"/>
      <c r="GF336" s="1804"/>
      <c r="GG336" s="1804"/>
      <c r="GH336" s="1804"/>
      <c r="GI336" s="1804"/>
      <c r="GJ336" s="1804"/>
      <c r="GK336" s="1804"/>
      <c r="GL336" s="1804"/>
      <c r="GM336" s="1804"/>
      <c r="GN336" s="1804"/>
      <c r="GO336" s="1804"/>
      <c r="GP336" s="1804"/>
      <c r="GQ336" s="1804"/>
      <c r="GR336" s="1804"/>
      <c r="GS336" s="1804"/>
      <c r="GT336" s="1804"/>
      <c r="GU336" s="1804"/>
      <c r="GV336" s="1804"/>
      <c r="GW336" s="1804"/>
      <c r="GX336" s="1804"/>
      <c r="GY336" s="1804"/>
      <c r="GZ336" s="1804"/>
      <c r="HA336" s="1804"/>
      <c r="HB336" s="1804"/>
      <c r="HC336" s="1804"/>
      <c r="HD336" s="1804"/>
      <c r="HE336" s="1804"/>
      <c r="HF336" s="1804"/>
      <c r="HG336" s="1804"/>
      <c r="HH336" s="1804"/>
      <c r="HI336" s="1804"/>
      <c r="HJ336" s="1804"/>
      <c r="HK336" s="1804"/>
      <c r="HL336" s="1804"/>
      <c r="HM336" s="1804"/>
      <c r="HN336" s="1804"/>
      <c r="HO336" s="1804"/>
      <c r="HP336" s="1804"/>
      <c r="HQ336" s="1804"/>
      <c r="HR336" s="1804"/>
      <c r="HS336" s="1804"/>
      <c r="HT336" s="1804"/>
      <c r="HU336" s="1804"/>
      <c r="HV336" s="1804"/>
      <c r="HW336" s="1804"/>
      <c r="HX336" s="1804"/>
      <c r="HY336" s="1804"/>
      <c r="HZ336" s="1804"/>
      <c r="IA336" s="1804"/>
      <c r="IB336" s="1804"/>
      <c r="IC336" s="1804"/>
      <c r="ID336" s="1804"/>
      <c r="IE336" s="1804"/>
      <c r="IF336" s="1804"/>
      <c r="IG336" s="1804"/>
      <c r="IH336" s="1804"/>
      <c r="II336" s="1804"/>
      <c r="IJ336" s="1804"/>
      <c r="IK336" s="1804"/>
      <c r="IL336" s="1804"/>
      <c r="IM336" s="1804"/>
      <c r="IN336" s="1804"/>
      <c r="IO336" s="1804"/>
      <c r="IP336" s="1804"/>
      <c r="IQ336" s="1804"/>
      <c r="IR336" s="1804"/>
      <c r="IS336" s="1804"/>
      <c r="IT336" s="1804"/>
      <c r="IU336" s="1804"/>
      <c r="IV336" s="1804"/>
      <c r="IW336" s="1804"/>
    </row>
    <row r="337" spans="3:259" s="888" customFormat="1" x14ac:dyDescent="0.45">
      <c r="C337" s="67" t="s">
        <v>558</v>
      </c>
      <c r="D337" s="68" t="s">
        <v>661</v>
      </c>
      <c r="E337" s="69"/>
      <c r="F337" s="2066">
        <v>0</v>
      </c>
      <c r="G337" s="118">
        <v>0</v>
      </c>
      <c r="H337" s="2062"/>
      <c r="I337" s="2062"/>
      <c r="J337" s="119">
        <v>0</v>
      </c>
      <c r="K337" s="120">
        <v>0</v>
      </c>
      <c r="L337" s="120"/>
      <c r="M337" s="2069"/>
      <c r="N337" s="2072">
        <f t="shared" si="52"/>
        <v>0</v>
      </c>
      <c r="O337" s="2073">
        <f t="shared" si="53"/>
        <v>0</v>
      </c>
      <c r="P337" s="1838"/>
      <c r="Q337" s="1838"/>
      <c r="R337" s="1804"/>
      <c r="S337" s="1804"/>
      <c r="T337" s="1804"/>
      <c r="U337" s="1804"/>
      <c r="V337" s="1804"/>
      <c r="W337" s="1804"/>
      <c r="X337" s="1804"/>
      <c r="Y337" s="1804"/>
      <c r="Z337" s="1804"/>
      <c r="AA337" s="1804"/>
      <c r="AB337" s="1804"/>
      <c r="AC337" s="1804"/>
      <c r="AD337" s="1804"/>
      <c r="AE337" s="1804"/>
      <c r="AF337" s="1804"/>
      <c r="AG337" s="1804"/>
      <c r="AH337" s="1804"/>
      <c r="AI337" s="1804"/>
      <c r="AJ337" s="1804"/>
      <c r="AK337" s="1804"/>
      <c r="AL337" s="1804"/>
      <c r="AM337" s="1804"/>
      <c r="AN337" s="1804"/>
      <c r="AO337" s="1804"/>
      <c r="AP337" s="1804"/>
      <c r="AQ337" s="1804"/>
      <c r="AR337" s="1804"/>
      <c r="AS337" s="1804"/>
      <c r="AT337" s="1804"/>
      <c r="AU337" s="1804"/>
      <c r="AV337" s="1804"/>
      <c r="AW337" s="1804"/>
      <c r="AX337" s="1804"/>
      <c r="AY337" s="1804"/>
      <c r="AZ337" s="1804"/>
      <c r="BA337" s="1804"/>
      <c r="BB337" s="1804"/>
      <c r="BC337" s="1804"/>
      <c r="BD337" s="1804"/>
      <c r="BE337" s="1804"/>
      <c r="BF337" s="1804"/>
      <c r="BG337" s="1804"/>
      <c r="BH337" s="1804"/>
      <c r="BI337" s="1804"/>
      <c r="BJ337" s="1804"/>
      <c r="BK337" s="1804"/>
      <c r="BL337" s="1804"/>
      <c r="BM337" s="1804"/>
      <c r="BN337" s="1804"/>
      <c r="BO337" s="1804"/>
      <c r="BP337" s="1804"/>
      <c r="BQ337" s="1804"/>
      <c r="BR337" s="1804"/>
      <c r="BS337" s="1804"/>
      <c r="BT337" s="1804"/>
      <c r="BU337" s="1804"/>
      <c r="BV337" s="1804"/>
      <c r="BW337" s="1804"/>
      <c r="BX337" s="1804"/>
      <c r="BY337" s="1804"/>
      <c r="BZ337" s="1804"/>
      <c r="CA337" s="1804"/>
      <c r="CB337" s="1804"/>
      <c r="CC337" s="1804"/>
      <c r="CD337" s="1804"/>
      <c r="CE337" s="1804"/>
      <c r="CF337" s="1804"/>
      <c r="CG337" s="1804"/>
      <c r="CH337" s="1804"/>
      <c r="CI337" s="1804"/>
      <c r="CJ337" s="1804"/>
      <c r="CK337" s="1804"/>
      <c r="CL337" s="1804"/>
      <c r="CM337" s="1804"/>
      <c r="CN337" s="1804"/>
      <c r="CO337" s="1804"/>
      <c r="CP337" s="1804"/>
      <c r="CQ337" s="1804"/>
      <c r="CR337" s="1804"/>
      <c r="CS337" s="1804"/>
      <c r="CT337" s="1804"/>
      <c r="CU337" s="1804"/>
      <c r="CV337" s="1804"/>
      <c r="CW337" s="1804"/>
      <c r="CX337" s="1804"/>
      <c r="CY337" s="1804"/>
      <c r="CZ337" s="1804"/>
      <c r="DA337" s="1804"/>
      <c r="DB337" s="1804"/>
      <c r="DC337" s="1804"/>
      <c r="DD337" s="1804"/>
      <c r="DE337" s="1804"/>
      <c r="DF337" s="1804"/>
      <c r="DG337" s="1804"/>
      <c r="DH337" s="1804"/>
      <c r="DI337" s="1804"/>
      <c r="DJ337" s="1804"/>
      <c r="DK337" s="1804"/>
      <c r="DL337" s="1804"/>
      <c r="DM337" s="1804"/>
      <c r="DN337" s="1804"/>
      <c r="DO337" s="1804"/>
      <c r="DP337" s="1804"/>
      <c r="DQ337" s="1804"/>
      <c r="DR337" s="1804"/>
      <c r="DS337" s="1804"/>
      <c r="DT337" s="1804"/>
      <c r="DU337" s="1804"/>
      <c r="DV337" s="1804"/>
      <c r="DW337" s="1804"/>
      <c r="DX337" s="1804"/>
      <c r="DY337" s="1804"/>
      <c r="DZ337" s="1804"/>
      <c r="EA337" s="1804"/>
      <c r="EB337" s="1804"/>
      <c r="EC337" s="1804"/>
      <c r="ED337" s="1804"/>
      <c r="EE337" s="1804"/>
      <c r="EF337" s="1804"/>
      <c r="EG337" s="1804"/>
      <c r="EH337" s="1804"/>
      <c r="EI337" s="1804"/>
      <c r="EJ337" s="1804"/>
      <c r="EK337" s="1804"/>
      <c r="EL337" s="1804"/>
      <c r="EM337" s="1804"/>
      <c r="EN337" s="1804"/>
      <c r="EO337" s="1804"/>
      <c r="EP337" s="1804"/>
      <c r="EQ337" s="1804"/>
      <c r="ER337" s="1804"/>
      <c r="ES337" s="1804"/>
      <c r="ET337" s="1804"/>
      <c r="EU337" s="1804"/>
      <c r="EV337" s="1804"/>
      <c r="EW337" s="1804"/>
      <c r="EX337" s="1804"/>
      <c r="EY337" s="1804"/>
      <c r="EZ337" s="1804"/>
      <c r="FA337" s="1804"/>
      <c r="FB337" s="1804"/>
      <c r="FC337" s="1804"/>
      <c r="FD337" s="1804"/>
      <c r="FE337" s="1804"/>
      <c r="FF337" s="1804"/>
      <c r="FG337" s="1804"/>
      <c r="FH337" s="1804"/>
      <c r="FI337" s="1804"/>
      <c r="FJ337" s="1804"/>
      <c r="FK337" s="1804"/>
      <c r="FL337" s="1804"/>
      <c r="FM337" s="1804"/>
      <c r="FN337" s="1804"/>
      <c r="FO337" s="1804"/>
      <c r="FP337" s="1804"/>
      <c r="FQ337" s="1804"/>
      <c r="FR337" s="1804"/>
      <c r="FS337" s="1804"/>
      <c r="FT337" s="1804"/>
      <c r="FU337" s="1804"/>
      <c r="FV337" s="1804"/>
      <c r="FW337" s="1804"/>
      <c r="FX337" s="1804"/>
      <c r="FY337" s="1804"/>
      <c r="FZ337" s="1804"/>
      <c r="GA337" s="1804"/>
      <c r="GB337" s="1804"/>
      <c r="GC337" s="1804"/>
      <c r="GD337" s="1804"/>
      <c r="GE337" s="1804"/>
      <c r="GF337" s="1804"/>
      <c r="GG337" s="1804"/>
      <c r="GH337" s="1804"/>
      <c r="GI337" s="1804"/>
      <c r="GJ337" s="1804"/>
      <c r="GK337" s="1804"/>
      <c r="GL337" s="1804"/>
      <c r="GM337" s="1804"/>
      <c r="GN337" s="1804"/>
      <c r="GO337" s="1804"/>
      <c r="GP337" s="1804"/>
      <c r="GQ337" s="1804"/>
      <c r="GR337" s="1804"/>
      <c r="GS337" s="1804"/>
      <c r="GT337" s="1804"/>
      <c r="GU337" s="1804"/>
      <c r="GV337" s="1804"/>
      <c r="GW337" s="1804"/>
      <c r="GX337" s="1804"/>
      <c r="GY337" s="1804"/>
      <c r="GZ337" s="1804"/>
      <c r="HA337" s="1804"/>
      <c r="HB337" s="1804"/>
      <c r="HC337" s="1804"/>
      <c r="HD337" s="1804"/>
      <c r="HE337" s="1804"/>
      <c r="HF337" s="1804"/>
      <c r="HG337" s="1804"/>
      <c r="HH337" s="1804"/>
      <c r="HI337" s="1804"/>
      <c r="HJ337" s="1804"/>
      <c r="HK337" s="1804"/>
      <c r="HL337" s="1804"/>
      <c r="HM337" s="1804"/>
      <c r="HN337" s="1804"/>
      <c r="HO337" s="1804"/>
      <c r="HP337" s="1804"/>
      <c r="HQ337" s="1804"/>
      <c r="HR337" s="1804"/>
      <c r="HS337" s="1804"/>
      <c r="HT337" s="1804"/>
      <c r="HU337" s="1804"/>
      <c r="HV337" s="1804"/>
      <c r="HW337" s="1804"/>
      <c r="HX337" s="1804"/>
      <c r="HY337" s="1804"/>
      <c r="HZ337" s="1804"/>
      <c r="IA337" s="1804"/>
      <c r="IB337" s="1804"/>
      <c r="IC337" s="1804"/>
      <c r="ID337" s="1804"/>
      <c r="IE337" s="1804"/>
      <c r="IF337" s="1804"/>
      <c r="IG337" s="1804"/>
      <c r="IH337" s="1804"/>
      <c r="II337" s="1804"/>
      <c r="IJ337" s="1804"/>
      <c r="IK337" s="1804"/>
      <c r="IL337" s="1804"/>
      <c r="IM337" s="1804"/>
      <c r="IN337" s="1804"/>
      <c r="IO337" s="1804"/>
      <c r="IP337" s="1804"/>
      <c r="IQ337" s="1804"/>
      <c r="IR337" s="1804"/>
      <c r="IS337" s="1804"/>
      <c r="IT337" s="1804"/>
      <c r="IU337" s="1804"/>
      <c r="IV337" s="1804"/>
      <c r="IW337" s="1804"/>
    </row>
    <row r="338" spans="3:259" s="888" customFormat="1" x14ac:dyDescent="0.45">
      <c r="C338" s="67" t="s">
        <v>559</v>
      </c>
      <c r="D338" s="68" t="s">
        <v>662</v>
      </c>
      <c r="E338" s="69"/>
      <c r="F338" s="2066">
        <v>10276.876986424744</v>
      </c>
      <c r="G338" s="118">
        <v>6.0325267910313247</v>
      </c>
      <c r="H338" s="2062">
        <v>2.9025251567171763E-4</v>
      </c>
      <c r="I338" s="2062">
        <v>3.0162633955156632E-4</v>
      </c>
      <c r="J338" s="119">
        <v>894.45222618044465</v>
      </c>
      <c r="K338" s="120">
        <v>0.52504345676792097</v>
      </c>
      <c r="L338" s="120">
        <v>3.0394019375142645E-5</v>
      </c>
      <c r="M338" s="2069">
        <v>2.6252172838396046E-5</v>
      </c>
      <c r="N338" s="2072">
        <f t="shared" si="52"/>
        <v>11171.329212605189</v>
      </c>
      <c r="O338" s="2073">
        <f t="shared" si="53"/>
        <v>6.5582187728466828</v>
      </c>
      <c r="P338" s="1838"/>
      <c r="Q338" s="1838"/>
      <c r="R338" s="1804"/>
      <c r="S338" s="1804"/>
      <c r="T338" s="1804"/>
      <c r="U338" s="1804"/>
      <c r="V338" s="1804"/>
      <c r="W338" s="1804"/>
      <c r="X338" s="1804"/>
      <c r="Y338" s="1804"/>
      <c r="Z338" s="1804"/>
      <c r="AA338" s="1804"/>
      <c r="AB338" s="1804"/>
      <c r="AC338" s="1804"/>
      <c r="AD338" s="1804"/>
      <c r="AE338" s="1804"/>
      <c r="AF338" s="1804"/>
      <c r="AG338" s="1804"/>
      <c r="AH338" s="1804"/>
      <c r="AI338" s="1804"/>
      <c r="AJ338" s="1804"/>
      <c r="AK338" s="1804"/>
      <c r="AL338" s="1804"/>
      <c r="AM338" s="1804"/>
      <c r="AN338" s="1804"/>
      <c r="AO338" s="1804"/>
      <c r="AP338" s="1804"/>
      <c r="AQ338" s="1804"/>
      <c r="AR338" s="1804"/>
      <c r="AS338" s="1804"/>
      <c r="AT338" s="1804"/>
      <c r="AU338" s="1804"/>
      <c r="AV338" s="1804"/>
      <c r="AW338" s="1804"/>
      <c r="AX338" s="1804"/>
      <c r="AY338" s="1804"/>
      <c r="AZ338" s="1804"/>
      <c r="BA338" s="1804"/>
      <c r="BB338" s="1804"/>
      <c r="BC338" s="1804"/>
      <c r="BD338" s="1804"/>
      <c r="BE338" s="1804"/>
      <c r="BF338" s="1804"/>
      <c r="BG338" s="1804"/>
      <c r="BH338" s="1804"/>
      <c r="BI338" s="1804"/>
      <c r="BJ338" s="1804"/>
      <c r="BK338" s="1804"/>
      <c r="BL338" s="1804"/>
      <c r="BM338" s="1804"/>
      <c r="BN338" s="1804"/>
      <c r="BO338" s="1804"/>
      <c r="BP338" s="1804"/>
      <c r="BQ338" s="1804"/>
      <c r="BR338" s="1804"/>
      <c r="BS338" s="1804"/>
      <c r="BT338" s="1804"/>
      <c r="BU338" s="1804"/>
      <c r="BV338" s="1804"/>
      <c r="BW338" s="1804"/>
      <c r="BX338" s="1804"/>
      <c r="BY338" s="1804"/>
      <c r="BZ338" s="1804"/>
      <c r="CA338" s="1804"/>
      <c r="CB338" s="1804"/>
      <c r="CC338" s="1804"/>
      <c r="CD338" s="1804"/>
      <c r="CE338" s="1804"/>
      <c r="CF338" s="1804"/>
      <c r="CG338" s="1804"/>
      <c r="CH338" s="1804"/>
      <c r="CI338" s="1804"/>
      <c r="CJ338" s="1804"/>
      <c r="CK338" s="1804"/>
      <c r="CL338" s="1804"/>
      <c r="CM338" s="1804"/>
      <c r="CN338" s="1804"/>
      <c r="CO338" s="1804"/>
      <c r="CP338" s="1804"/>
      <c r="CQ338" s="1804"/>
      <c r="CR338" s="1804"/>
      <c r="CS338" s="1804"/>
      <c r="CT338" s="1804"/>
      <c r="CU338" s="1804"/>
      <c r="CV338" s="1804"/>
      <c r="CW338" s="1804"/>
      <c r="CX338" s="1804"/>
      <c r="CY338" s="1804"/>
      <c r="CZ338" s="1804"/>
      <c r="DA338" s="1804"/>
      <c r="DB338" s="1804"/>
      <c r="DC338" s="1804"/>
      <c r="DD338" s="1804"/>
      <c r="DE338" s="1804"/>
      <c r="DF338" s="1804"/>
      <c r="DG338" s="1804"/>
      <c r="DH338" s="1804"/>
      <c r="DI338" s="1804"/>
      <c r="DJ338" s="1804"/>
      <c r="DK338" s="1804"/>
      <c r="DL338" s="1804"/>
      <c r="DM338" s="1804"/>
      <c r="DN338" s="1804"/>
      <c r="DO338" s="1804"/>
      <c r="DP338" s="1804"/>
      <c r="DQ338" s="1804"/>
      <c r="DR338" s="1804"/>
      <c r="DS338" s="1804"/>
      <c r="DT338" s="1804"/>
      <c r="DU338" s="1804"/>
      <c r="DV338" s="1804"/>
      <c r="DW338" s="1804"/>
      <c r="DX338" s="1804"/>
      <c r="DY338" s="1804"/>
      <c r="DZ338" s="1804"/>
      <c r="EA338" s="1804"/>
      <c r="EB338" s="1804"/>
      <c r="EC338" s="1804"/>
      <c r="ED338" s="1804"/>
      <c r="EE338" s="1804"/>
      <c r="EF338" s="1804"/>
      <c r="EG338" s="1804"/>
      <c r="EH338" s="1804"/>
      <c r="EI338" s="1804"/>
      <c r="EJ338" s="1804"/>
      <c r="EK338" s="1804"/>
      <c r="EL338" s="1804"/>
      <c r="EM338" s="1804"/>
      <c r="EN338" s="1804"/>
      <c r="EO338" s="1804"/>
      <c r="EP338" s="1804"/>
      <c r="EQ338" s="1804"/>
      <c r="ER338" s="1804"/>
      <c r="ES338" s="1804"/>
      <c r="ET338" s="1804"/>
      <c r="EU338" s="1804"/>
      <c r="EV338" s="1804"/>
      <c r="EW338" s="1804"/>
      <c r="EX338" s="1804"/>
      <c r="EY338" s="1804"/>
      <c r="EZ338" s="1804"/>
      <c r="FA338" s="1804"/>
      <c r="FB338" s="1804"/>
      <c r="FC338" s="1804"/>
      <c r="FD338" s="1804"/>
      <c r="FE338" s="1804"/>
      <c r="FF338" s="1804"/>
      <c r="FG338" s="1804"/>
      <c r="FH338" s="1804"/>
      <c r="FI338" s="1804"/>
      <c r="FJ338" s="1804"/>
      <c r="FK338" s="1804"/>
      <c r="FL338" s="1804"/>
      <c r="FM338" s="1804"/>
      <c r="FN338" s="1804"/>
      <c r="FO338" s="1804"/>
      <c r="FP338" s="1804"/>
      <c r="FQ338" s="1804"/>
      <c r="FR338" s="1804"/>
      <c r="FS338" s="1804"/>
      <c r="FT338" s="1804"/>
      <c r="FU338" s="1804"/>
      <c r="FV338" s="1804"/>
      <c r="FW338" s="1804"/>
      <c r="FX338" s="1804"/>
      <c r="FY338" s="1804"/>
      <c r="FZ338" s="1804"/>
      <c r="GA338" s="1804"/>
      <c r="GB338" s="1804"/>
      <c r="GC338" s="1804"/>
      <c r="GD338" s="1804"/>
      <c r="GE338" s="1804"/>
      <c r="GF338" s="1804"/>
      <c r="GG338" s="1804"/>
      <c r="GH338" s="1804"/>
      <c r="GI338" s="1804"/>
      <c r="GJ338" s="1804"/>
      <c r="GK338" s="1804"/>
      <c r="GL338" s="1804"/>
      <c r="GM338" s="1804"/>
      <c r="GN338" s="1804"/>
      <c r="GO338" s="1804"/>
      <c r="GP338" s="1804"/>
      <c r="GQ338" s="1804"/>
      <c r="GR338" s="1804"/>
      <c r="GS338" s="1804"/>
      <c r="GT338" s="1804"/>
      <c r="GU338" s="1804"/>
      <c r="GV338" s="1804"/>
      <c r="GW338" s="1804"/>
      <c r="GX338" s="1804"/>
      <c r="GY338" s="1804"/>
      <c r="GZ338" s="1804"/>
      <c r="HA338" s="1804"/>
      <c r="HB338" s="1804"/>
      <c r="HC338" s="1804"/>
      <c r="HD338" s="1804"/>
      <c r="HE338" s="1804"/>
      <c r="HF338" s="1804"/>
      <c r="HG338" s="1804"/>
      <c r="HH338" s="1804"/>
      <c r="HI338" s="1804"/>
      <c r="HJ338" s="1804"/>
      <c r="HK338" s="1804"/>
      <c r="HL338" s="1804"/>
      <c r="HM338" s="1804"/>
      <c r="HN338" s="1804"/>
      <c r="HO338" s="1804"/>
      <c r="HP338" s="1804"/>
      <c r="HQ338" s="1804"/>
      <c r="HR338" s="1804"/>
      <c r="HS338" s="1804"/>
      <c r="HT338" s="1804"/>
      <c r="HU338" s="1804"/>
      <c r="HV338" s="1804"/>
      <c r="HW338" s="1804"/>
      <c r="HX338" s="1804"/>
      <c r="HY338" s="1804"/>
      <c r="HZ338" s="1804"/>
      <c r="IA338" s="1804"/>
      <c r="IB338" s="1804"/>
      <c r="IC338" s="1804"/>
      <c r="ID338" s="1804"/>
      <c r="IE338" s="1804"/>
      <c r="IF338" s="1804"/>
      <c r="IG338" s="1804"/>
      <c r="IH338" s="1804"/>
      <c r="II338" s="1804"/>
      <c r="IJ338" s="1804"/>
      <c r="IK338" s="1804"/>
      <c r="IL338" s="1804"/>
      <c r="IM338" s="1804"/>
      <c r="IN338" s="1804"/>
      <c r="IO338" s="1804"/>
      <c r="IP338" s="1804"/>
      <c r="IQ338" s="1804"/>
      <c r="IR338" s="1804"/>
      <c r="IS338" s="1804"/>
      <c r="IT338" s="1804"/>
      <c r="IU338" s="1804"/>
      <c r="IV338" s="1804"/>
      <c r="IW338" s="1804"/>
    </row>
    <row r="339" spans="3:259" s="888" customFormat="1" ht="14.65" thickBot="1" x14ac:dyDescent="0.5">
      <c r="C339" s="67" t="s">
        <v>560</v>
      </c>
      <c r="D339" s="68" t="s">
        <v>663</v>
      </c>
      <c r="E339" s="69"/>
      <c r="F339" s="2066">
        <v>1319729.3795253276</v>
      </c>
      <c r="G339" s="118">
        <v>774.68114578136726</v>
      </c>
      <c r="H339" s="2062">
        <v>2.21508143041656E-2</v>
      </c>
      <c r="I339" s="2062">
        <v>3.8734057289068369E-2</v>
      </c>
      <c r="J339" s="119">
        <v>5355039.4600826744</v>
      </c>
      <c r="K339" s="120">
        <v>3143.40816306853</v>
      </c>
      <c r="L339" s="120">
        <v>0.15355849132009053</v>
      </c>
      <c r="M339" s="2069">
        <v>0.15717040815342648</v>
      </c>
      <c r="N339" s="2074">
        <f t="shared" si="52"/>
        <v>6674768.8396080025</v>
      </c>
      <c r="O339" s="2075">
        <f t="shared" si="53"/>
        <v>3918.4609226209641</v>
      </c>
      <c r="P339" s="1838"/>
      <c r="Q339" s="1838"/>
      <c r="R339" s="1804"/>
      <c r="S339" s="1804"/>
      <c r="T339" s="1804"/>
      <c r="U339" s="1804"/>
      <c r="V339" s="1804"/>
      <c r="W339" s="1804"/>
      <c r="X339" s="1804"/>
      <c r="Y339" s="1804"/>
      <c r="Z339" s="1804"/>
      <c r="AA339" s="1804"/>
      <c r="AB339" s="1804"/>
      <c r="AC339" s="1804"/>
      <c r="AD339" s="1804"/>
      <c r="AE339" s="1804"/>
      <c r="AF339" s="1804"/>
      <c r="AG339" s="1804"/>
      <c r="AH339" s="1804"/>
      <c r="AI339" s="1804"/>
      <c r="AJ339" s="1804"/>
      <c r="AK339" s="1804"/>
      <c r="AL339" s="1804"/>
      <c r="AM339" s="1804"/>
      <c r="AN339" s="1804"/>
      <c r="AO339" s="1804"/>
      <c r="AP339" s="1804"/>
      <c r="AQ339" s="1804"/>
      <c r="AR339" s="1804"/>
      <c r="AS339" s="1804"/>
      <c r="AT339" s="1804"/>
      <c r="AU339" s="1804"/>
      <c r="AV339" s="1804"/>
      <c r="AW339" s="1804"/>
      <c r="AX339" s="1804"/>
      <c r="AY339" s="1804"/>
      <c r="AZ339" s="1804"/>
      <c r="BA339" s="1804"/>
      <c r="BB339" s="1804"/>
      <c r="BC339" s="1804"/>
      <c r="BD339" s="1804"/>
      <c r="BE339" s="1804"/>
      <c r="BF339" s="1804"/>
      <c r="BG339" s="1804"/>
      <c r="BH339" s="1804"/>
      <c r="BI339" s="1804"/>
      <c r="BJ339" s="1804"/>
      <c r="BK339" s="1804"/>
      <c r="BL339" s="1804"/>
      <c r="BM339" s="1804"/>
      <c r="BN339" s="1804"/>
      <c r="BO339" s="1804"/>
      <c r="BP339" s="1804"/>
      <c r="BQ339" s="1804"/>
      <c r="BR339" s="1804"/>
      <c r="BS339" s="1804"/>
      <c r="BT339" s="1804"/>
      <c r="BU339" s="1804"/>
      <c r="BV339" s="1804"/>
      <c r="BW339" s="1804"/>
      <c r="BX339" s="1804"/>
      <c r="BY339" s="1804"/>
      <c r="BZ339" s="1804"/>
      <c r="CA339" s="1804"/>
      <c r="CB339" s="1804"/>
      <c r="CC339" s="1804"/>
      <c r="CD339" s="1804"/>
      <c r="CE339" s="1804"/>
      <c r="CF339" s="1804"/>
      <c r="CG339" s="1804"/>
      <c r="CH339" s="1804"/>
      <c r="CI339" s="1804"/>
      <c r="CJ339" s="1804"/>
      <c r="CK339" s="1804"/>
      <c r="CL339" s="1804"/>
      <c r="CM339" s="1804"/>
      <c r="CN339" s="1804"/>
      <c r="CO339" s="1804"/>
      <c r="CP339" s="1804"/>
      <c r="CQ339" s="1804"/>
      <c r="CR339" s="1804"/>
      <c r="CS339" s="1804"/>
      <c r="CT339" s="1804"/>
      <c r="CU339" s="1804"/>
      <c r="CV339" s="1804"/>
      <c r="CW339" s="1804"/>
      <c r="CX339" s="1804"/>
      <c r="CY339" s="1804"/>
      <c r="CZ339" s="1804"/>
      <c r="DA339" s="1804"/>
      <c r="DB339" s="1804"/>
      <c r="DC339" s="1804"/>
      <c r="DD339" s="1804"/>
      <c r="DE339" s="1804"/>
      <c r="DF339" s="1804"/>
      <c r="DG339" s="1804"/>
      <c r="DH339" s="1804"/>
      <c r="DI339" s="1804"/>
      <c r="DJ339" s="1804"/>
      <c r="DK339" s="1804"/>
      <c r="DL339" s="1804"/>
      <c r="DM339" s="1804"/>
      <c r="DN339" s="1804"/>
      <c r="DO339" s="1804"/>
      <c r="DP339" s="1804"/>
      <c r="DQ339" s="1804"/>
      <c r="DR339" s="1804"/>
      <c r="DS339" s="1804"/>
      <c r="DT339" s="1804"/>
      <c r="DU339" s="1804"/>
      <c r="DV339" s="1804"/>
      <c r="DW339" s="1804"/>
      <c r="DX339" s="1804"/>
      <c r="DY339" s="1804"/>
      <c r="DZ339" s="1804"/>
      <c r="EA339" s="1804"/>
      <c r="EB339" s="1804"/>
      <c r="EC339" s="1804"/>
      <c r="ED339" s="1804"/>
      <c r="EE339" s="1804"/>
      <c r="EF339" s="1804"/>
      <c r="EG339" s="1804"/>
      <c r="EH339" s="1804"/>
      <c r="EI339" s="1804"/>
      <c r="EJ339" s="1804"/>
      <c r="EK339" s="1804"/>
      <c r="EL339" s="1804"/>
      <c r="EM339" s="1804"/>
      <c r="EN339" s="1804"/>
      <c r="EO339" s="1804"/>
      <c r="EP339" s="1804"/>
      <c r="EQ339" s="1804"/>
      <c r="ER339" s="1804"/>
      <c r="ES339" s="1804"/>
      <c r="ET339" s="1804"/>
      <c r="EU339" s="1804"/>
      <c r="EV339" s="1804"/>
      <c r="EW339" s="1804"/>
      <c r="EX339" s="1804"/>
      <c r="EY339" s="1804"/>
      <c r="EZ339" s="1804"/>
      <c r="FA339" s="1804"/>
      <c r="FB339" s="1804"/>
      <c r="FC339" s="1804"/>
      <c r="FD339" s="1804"/>
      <c r="FE339" s="1804"/>
      <c r="FF339" s="1804"/>
      <c r="FG339" s="1804"/>
      <c r="FH339" s="1804"/>
      <c r="FI339" s="1804"/>
      <c r="FJ339" s="1804"/>
      <c r="FK339" s="1804"/>
      <c r="FL339" s="1804"/>
      <c r="FM339" s="1804"/>
      <c r="FN339" s="1804"/>
      <c r="FO339" s="1804"/>
      <c r="FP339" s="1804"/>
      <c r="FQ339" s="1804"/>
      <c r="FR339" s="1804"/>
      <c r="FS339" s="1804"/>
      <c r="FT339" s="1804"/>
      <c r="FU339" s="1804"/>
      <c r="FV339" s="1804"/>
      <c r="FW339" s="1804"/>
      <c r="FX339" s="1804"/>
      <c r="FY339" s="1804"/>
      <c r="FZ339" s="1804"/>
      <c r="GA339" s="1804"/>
      <c r="GB339" s="1804"/>
      <c r="GC339" s="1804"/>
      <c r="GD339" s="1804"/>
      <c r="GE339" s="1804"/>
      <c r="GF339" s="1804"/>
      <c r="GG339" s="1804"/>
      <c r="GH339" s="1804"/>
      <c r="GI339" s="1804"/>
      <c r="GJ339" s="1804"/>
      <c r="GK339" s="1804"/>
      <c r="GL339" s="1804"/>
      <c r="GM339" s="1804"/>
      <c r="GN339" s="1804"/>
      <c r="GO339" s="1804"/>
      <c r="GP339" s="1804"/>
      <c r="GQ339" s="1804"/>
      <c r="GR339" s="1804"/>
      <c r="GS339" s="1804"/>
      <c r="GT339" s="1804"/>
      <c r="GU339" s="1804"/>
      <c r="GV339" s="1804"/>
      <c r="GW339" s="1804"/>
      <c r="GX339" s="1804"/>
      <c r="GY339" s="1804"/>
      <c r="GZ339" s="1804"/>
      <c r="HA339" s="1804"/>
      <c r="HB339" s="1804"/>
      <c r="HC339" s="1804"/>
      <c r="HD339" s="1804"/>
      <c r="HE339" s="1804"/>
      <c r="HF339" s="1804"/>
      <c r="HG339" s="1804"/>
      <c r="HH339" s="1804"/>
      <c r="HI339" s="1804"/>
      <c r="HJ339" s="1804"/>
      <c r="HK339" s="1804"/>
      <c r="HL339" s="1804"/>
      <c r="HM339" s="1804"/>
      <c r="HN339" s="1804"/>
      <c r="HO339" s="1804"/>
      <c r="HP339" s="1804"/>
      <c r="HQ339" s="1804"/>
      <c r="HR339" s="1804"/>
      <c r="HS339" s="1804"/>
      <c r="HT339" s="1804"/>
      <c r="HU339" s="1804"/>
      <c r="HV339" s="1804"/>
      <c r="HW339" s="1804"/>
      <c r="HX339" s="1804"/>
      <c r="HY339" s="1804"/>
      <c r="HZ339" s="1804"/>
      <c r="IA339" s="1804"/>
      <c r="IB339" s="1804"/>
      <c r="IC339" s="1804"/>
      <c r="ID339" s="1804"/>
      <c r="IE339" s="1804"/>
      <c r="IF339" s="1804"/>
      <c r="IG339" s="1804"/>
      <c r="IH339" s="1804"/>
      <c r="II339" s="1804"/>
      <c r="IJ339" s="1804"/>
      <c r="IK339" s="1804"/>
      <c r="IL339" s="1804"/>
      <c r="IM339" s="1804"/>
      <c r="IN339" s="1804"/>
      <c r="IO339" s="1804"/>
      <c r="IP339" s="1804"/>
      <c r="IQ339" s="1804"/>
      <c r="IR339" s="1804"/>
      <c r="IS339" s="1804"/>
      <c r="IT339" s="1804"/>
      <c r="IU339" s="1804"/>
      <c r="IV339" s="1804"/>
      <c r="IW339" s="1804"/>
    </row>
    <row r="340" spans="3:259" s="888" customFormat="1" ht="14.65" thickBot="1" x14ac:dyDescent="0.5">
      <c r="C340" s="82" t="s">
        <v>665</v>
      </c>
      <c r="D340" s="2318"/>
      <c r="E340" s="2311"/>
      <c r="F340" s="122">
        <f t="shared" ref="F340:M340" si="54">SUM(F307:F339)</f>
        <v>31865450.22927928</v>
      </c>
      <c r="G340" s="122">
        <f t="shared" si="54"/>
        <v>18705.019284586935</v>
      </c>
      <c r="H340" s="2061">
        <f t="shared" si="54"/>
        <v>0.53160642024230698</v>
      </c>
      <c r="I340" s="2061">
        <f t="shared" si="54"/>
        <v>0.93525174672191413</v>
      </c>
      <c r="J340" s="122">
        <f t="shared" si="54"/>
        <v>36453383.416055523</v>
      </c>
      <c r="K340" s="122">
        <f t="shared" si="54"/>
        <v>21398.136065224593</v>
      </c>
      <c r="L340" s="2061">
        <f t="shared" si="54"/>
        <v>0.78754486527629153</v>
      </c>
      <c r="M340" s="2065">
        <f t="shared" si="54"/>
        <v>1.0699068032612298</v>
      </c>
      <c r="N340" s="2076">
        <f>SUM(N307:N339)</f>
        <v>68318833.64533481</v>
      </c>
      <c r="O340" s="2077">
        <f>SUM(O307:O339)</f>
        <v>40106.479659647026</v>
      </c>
      <c r="P340" s="1804"/>
      <c r="Q340" s="1804"/>
      <c r="R340" s="1804"/>
      <c r="S340" s="1804"/>
      <c r="T340" s="1804"/>
      <c r="U340" s="1804"/>
      <c r="V340" s="1804"/>
      <c r="W340" s="1804"/>
      <c r="X340" s="1804"/>
      <c r="Y340" s="1804"/>
      <c r="Z340" s="1804"/>
      <c r="AA340" s="1804"/>
      <c r="AB340" s="1804"/>
      <c r="AC340" s="1804"/>
      <c r="AD340" s="1804"/>
      <c r="AE340" s="1804"/>
      <c r="AF340" s="1804"/>
      <c r="AG340" s="1804"/>
      <c r="AH340" s="1804"/>
      <c r="AI340" s="1804"/>
      <c r="AJ340" s="1804"/>
      <c r="AK340" s="1804"/>
      <c r="AL340" s="1804"/>
      <c r="AM340" s="1804"/>
      <c r="AN340" s="1804"/>
      <c r="AO340" s="1804"/>
      <c r="AP340" s="1804"/>
      <c r="AQ340" s="1804"/>
      <c r="AR340" s="1804"/>
      <c r="AS340" s="1804"/>
      <c r="AT340" s="1804"/>
      <c r="AU340" s="1804"/>
      <c r="AV340" s="1804"/>
      <c r="AW340" s="1804"/>
      <c r="AX340" s="1804"/>
      <c r="AY340" s="1804"/>
      <c r="AZ340" s="1804"/>
      <c r="BA340" s="1804"/>
      <c r="BB340" s="1804"/>
      <c r="BC340" s="1804"/>
      <c r="BD340" s="1804"/>
      <c r="BE340" s="1804"/>
      <c r="BF340" s="1804"/>
      <c r="BG340" s="1804"/>
      <c r="BH340" s="1804"/>
      <c r="BI340" s="1804"/>
      <c r="BJ340" s="1804"/>
      <c r="BK340" s="1804"/>
      <c r="BL340" s="1804"/>
      <c r="BM340" s="1804"/>
      <c r="BN340" s="1804"/>
      <c r="BO340" s="1804"/>
      <c r="BP340" s="1804"/>
      <c r="BQ340" s="1804"/>
      <c r="BR340" s="1804"/>
      <c r="BS340" s="1804"/>
      <c r="BT340" s="1804"/>
      <c r="BU340" s="1804"/>
      <c r="BV340" s="1804"/>
      <c r="BW340" s="1804"/>
      <c r="BX340" s="1804"/>
      <c r="BY340" s="1804"/>
      <c r="BZ340" s="1804"/>
      <c r="CA340" s="1804"/>
      <c r="CB340" s="1804"/>
      <c r="CC340" s="1804"/>
      <c r="CD340" s="1804"/>
      <c r="CE340" s="1804"/>
      <c r="CF340" s="1804"/>
      <c r="CG340" s="1804"/>
      <c r="CH340" s="1804"/>
      <c r="CI340" s="1804"/>
      <c r="CJ340" s="1804"/>
      <c r="CK340" s="1804"/>
      <c r="CL340" s="1804"/>
      <c r="CM340" s="1804"/>
      <c r="CN340" s="1804"/>
      <c r="CO340" s="1804"/>
      <c r="CP340" s="1804"/>
      <c r="CQ340" s="1804"/>
      <c r="CR340" s="1804"/>
      <c r="CS340" s="1804"/>
      <c r="CT340" s="1804"/>
      <c r="CU340" s="1804"/>
      <c r="CV340" s="1804"/>
      <c r="CW340" s="1804"/>
      <c r="CX340" s="1804"/>
      <c r="CY340" s="1804"/>
      <c r="CZ340" s="1804"/>
      <c r="DA340" s="1804"/>
      <c r="DB340" s="1804"/>
      <c r="DC340" s="1804"/>
      <c r="DD340" s="1804"/>
      <c r="DE340" s="1804"/>
      <c r="DF340" s="1804"/>
      <c r="DG340" s="1804"/>
      <c r="DH340" s="1804"/>
      <c r="DI340" s="1804"/>
      <c r="DJ340" s="1804"/>
      <c r="DK340" s="1804"/>
      <c r="DL340" s="1804"/>
      <c r="DM340" s="1804"/>
      <c r="DN340" s="1804"/>
      <c r="DO340" s="1804"/>
      <c r="DP340" s="1804"/>
      <c r="DQ340" s="1804"/>
      <c r="DR340" s="1804"/>
      <c r="DS340" s="1804"/>
      <c r="DT340" s="1804"/>
      <c r="DU340" s="1804"/>
      <c r="DV340" s="1804"/>
      <c r="DW340" s="1804"/>
      <c r="DX340" s="1804"/>
      <c r="DY340" s="1804"/>
      <c r="DZ340" s="1804"/>
      <c r="EA340" s="1804"/>
      <c r="EB340" s="1804"/>
      <c r="EC340" s="1804"/>
      <c r="ED340" s="1804"/>
      <c r="EE340" s="1804"/>
      <c r="EF340" s="1804"/>
      <c r="EG340" s="1804"/>
      <c r="EH340" s="1804"/>
      <c r="EI340" s="1804"/>
      <c r="EJ340" s="1804"/>
      <c r="EK340" s="1804"/>
      <c r="EL340" s="1804"/>
      <c r="EM340" s="1804"/>
      <c r="EN340" s="1804"/>
      <c r="EO340" s="1804"/>
      <c r="EP340" s="1804"/>
      <c r="EQ340" s="1804"/>
      <c r="ER340" s="1804"/>
      <c r="ES340" s="1804"/>
      <c r="ET340" s="1804"/>
      <c r="EU340" s="1804"/>
      <c r="EV340" s="1804"/>
      <c r="EW340" s="1804"/>
      <c r="EX340" s="1804"/>
      <c r="EY340" s="1804"/>
      <c r="EZ340" s="1804"/>
      <c r="FA340" s="1804"/>
      <c r="FB340" s="1804"/>
      <c r="FC340" s="1804"/>
      <c r="FD340" s="1804"/>
      <c r="FE340" s="1804"/>
      <c r="FF340" s="1804"/>
      <c r="FG340" s="1804"/>
      <c r="FH340" s="1804"/>
      <c r="FI340" s="1804"/>
      <c r="FJ340" s="1804"/>
      <c r="FK340" s="1804"/>
      <c r="FL340" s="1804"/>
      <c r="FM340" s="1804"/>
      <c r="FN340" s="1804"/>
      <c r="FO340" s="1804"/>
      <c r="FP340" s="1804"/>
      <c r="FQ340" s="1804"/>
      <c r="FR340" s="1804"/>
      <c r="FS340" s="1804"/>
      <c r="FT340" s="1804"/>
      <c r="FU340" s="1804"/>
      <c r="FV340" s="1804"/>
      <c r="FW340" s="1804"/>
      <c r="FX340" s="1804"/>
      <c r="FY340" s="1804"/>
      <c r="FZ340" s="1804"/>
      <c r="GA340" s="1804"/>
      <c r="GB340" s="1804"/>
      <c r="GC340" s="1804"/>
      <c r="GD340" s="1804"/>
      <c r="GE340" s="1804"/>
      <c r="GF340" s="1804"/>
      <c r="GG340" s="1804"/>
      <c r="GH340" s="1804"/>
      <c r="GI340" s="1804"/>
      <c r="GJ340" s="1804"/>
      <c r="GK340" s="1804"/>
      <c r="GL340" s="1804"/>
      <c r="GM340" s="1804"/>
      <c r="GN340" s="1804"/>
      <c r="GO340" s="1804"/>
      <c r="GP340" s="1804"/>
      <c r="GQ340" s="1804"/>
      <c r="GR340" s="1804"/>
      <c r="GS340" s="1804"/>
      <c r="GT340" s="1804"/>
      <c r="GU340" s="1804"/>
      <c r="GV340" s="1804"/>
      <c r="GW340" s="1804"/>
      <c r="GX340" s="1804"/>
      <c r="GY340" s="1804"/>
      <c r="GZ340" s="1804"/>
      <c r="HA340" s="1804"/>
      <c r="HB340" s="1804"/>
      <c r="HC340" s="1804"/>
      <c r="HD340" s="1804"/>
      <c r="HE340" s="1804"/>
      <c r="HF340" s="1804"/>
      <c r="HG340" s="1804"/>
      <c r="HH340" s="1804"/>
      <c r="HI340" s="1804"/>
      <c r="HJ340" s="1804"/>
      <c r="HK340" s="1804"/>
      <c r="HL340" s="1804"/>
      <c r="HM340" s="1804"/>
      <c r="HN340" s="1804"/>
      <c r="HO340" s="1804"/>
      <c r="HP340" s="1804"/>
      <c r="HQ340" s="1804"/>
      <c r="HR340" s="1804"/>
      <c r="HS340" s="1804"/>
      <c r="HT340" s="1804"/>
      <c r="HU340" s="1804"/>
      <c r="HV340" s="1804"/>
      <c r="HW340" s="1804"/>
      <c r="HX340" s="1804"/>
      <c r="HY340" s="1804"/>
      <c r="HZ340" s="1804"/>
      <c r="IA340" s="1804"/>
      <c r="IB340" s="1804"/>
      <c r="IC340" s="1804"/>
      <c r="ID340" s="1804"/>
      <c r="IE340" s="1804"/>
      <c r="IF340" s="1804"/>
      <c r="IG340" s="1804"/>
      <c r="IH340" s="1804"/>
      <c r="II340" s="1804"/>
      <c r="IJ340" s="1804"/>
      <c r="IK340" s="1804"/>
      <c r="IL340" s="1804"/>
      <c r="IM340" s="1804"/>
      <c r="IN340" s="1804"/>
      <c r="IO340" s="1804"/>
      <c r="IP340" s="1804"/>
      <c r="IQ340" s="1804"/>
      <c r="IR340" s="1804"/>
      <c r="IS340" s="1804"/>
      <c r="IT340" s="1804"/>
      <c r="IU340" s="1804"/>
      <c r="IV340" s="1804"/>
      <c r="IW340" s="1804"/>
    </row>
    <row r="341" spans="3:259" s="888" customFormat="1" x14ac:dyDescent="0.45">
      <c r="C341" s="1810"/>
      <c r="D341" s="1826"/>
      <c r="E341" s="1826"/>
      <c r="F341" s="1827"/>
      <c r="G341" s="1827"/>
      <c r="H341" s="1827"/>
      <c r="I341" s="1827"/>
      <c r="J341" s="1827"/>
      <c r="K341" s="1827"/>
      <c r="L341" s="1827"/>
      <c r="M341" s="1827"/>
      <c r="N341" s="1828"/>
      <c r="O341" s="1804"/>
      <c r="P341" s="1804"/>
      <c r="Q341" s="1804"/>
      <c r="R341" s="1804"/>
      <c r="S341" s="1804"/>
      <c r="T341" s="1804"/>
      <c r="U341" s="1804"/>
      <c r="V341" s="1804"/>
      <c r="W341" s="1804"/>
      <c r="X341" s="1804"/>
      <c r="Y341" s="1804"/>
      <c r="Z341" s="1804"/>
      <c r="AA341" s="1804"/>
      <c r="AB341" s="1804"/>
      <c r="AC341" s="1804"/>
      <c r="AD341" s="1804"/>
      <c r="AE341" s="1804"/>
      <c r="AF341" s="1804"/>
      <c r="AG341" s="1804"/>
      <c r="AH341" s="1804"/>
      <c r="AI341" s="1804"/>
      <c r="AJ341" s="1804"/>
      <c r="AK341" s="1804"/>
      <c r="AL341" s="1804"/>
      <c r="AM341" s="1804"/>
      <c r="AN341" s="1804"/>
      <c r="AO341" s="1804"/>
      <c r="AP341" s="1804"/>
      <c r="AQ341" s="1804"/>
      <c r="AR341" s="1804"/>
      <c r="AS341" s="1804"/>
      <c r="AT341" s="1804"/>
      <c r="AU341" s="1804"/>
      <c r="AV341" s="1804"/>
      <c r="AW341" s="1804"/>
      <c r="AX341" s="1804"/>
      <c r="AY341" s="1804"/>
      <c r="AZ341" s="1804"/>
      <c r="BA341" s="1804"/>
      <c r="BB341" s="1804"/>
      <c r="BC341" s="1804"/>
      <c r="BD341" s="1804"/>
      <c r="BE341" s="1804"/>
      <c r="BF341" s="1804"/>
      <c r="BG341" s="1804"/>
      <c r="BH341" s="1804"/>
      <c r="BI341" s="1804"/>
      <c r="BJ341" s="1804"/>
      <c r="BK341" s="1804"/>
      <c r="BL341" s="1804"/>
      <c r="BM341" s="1804"/>
      <c r="BN341" s="1804"/>
      <c r="BO341" s="1804"/>
      <c r="BP341" s="1804"/>
      <c r="BQ341" s="1804"/>
      <c r="BR341" s="1804"/>
      <c r="BS341" s="1804"/>
      <c r="BT341" s="1804"/>
      <c r="BU341" s="1804"/>
      <c r="BV341" s="1804"/>
      <c r="BW341" s="1804"/>
      <c r="BX341" s="1804"/>
      <c r="BY341" s="1804"/>
      <c r="BZ341" s="1804"/>
      <c r="CA341" s="1804"/>
      <c r="CB341" s="1804"/>
      <c r="CC341" s="1804"/>
      <c r="CD341" s="1804"/>
      <c r="CE341" s="1804"/>
      <c r="CF341" s="1804"/>
      <c r="CG341" s="1804"/>
      <c r="CH341" s="1804"/>
      <c r="CI341" s="1804"/>
      <c r="CJ341" s="1804"/>
      <c r="CK341" s="1804"/>
      <c r="CL341" s="1804"/>
      <c r="CM341" s="1804"/>
      <c r="CN341" s="1804"/>
      <c r="CO341" s="1804"/>
      <c r="CP341" s="1804"/>
      <c r="CQ341" s="1804"/>
      <c r="CR341" s="1804"/>
      <c r="CS341" s="1804"/>
      <c r="CT341" s="1804"/>
      <c r="CU341" s="1804"/>
      <c r="CV341" s="1804"/>
      <c r="CW341" s="1804"/>
      <c r="CX341" s="1804"/>
      <c r="CY341" s="1804"/>
      <c r="CZ341" s="1804"/>
      <c r="DA341" s="1804"/>
      <c r="DB341" s="1804"/>
      <c r="DC341" s="1804"/>
      <c r="DD341" s="1804"/>
      <c r="DE341" s="1804"/>
      <c r="DF341" s="1804"/>
      <c r="DG341" s="1804"/>
      <c r="DH341" s="1804"/>
      <c r="DI341" s="1804"/>
      <c r="DJ341" s="1804"/>
      <c r="DK341" s="1804"/>
      <c r="DL341" s="1804"/>
      <c r="DM341" s="1804"/>
      <c r="DN341" s="1804"/>
      <c r="DO341" s="1804"/>
      <c r="DP341" s="1804"/>
      <c r="DQ341" s="1804"/>
      <c r="DR341" s="1804"/>
      <c r="DS341" s="1804"/>
      <c r="DT341" s="1804"/>
      <c r="DU341" s="1804"/>
      <c r="DV341" s="1804"/>
      <c r="DW341" s="1804"/>
      <c r="DX341" s="1804"/>
      <c r="DY341" s="1804"/>
      <c r="DZ341" s="1804"/>
      <c r="EA341" s="1804"/>
      <c r="EB341" s="1804"/>
      <c r="EC341" s="1804"/>
      <c r="ED341" s="1804"/>
      <c r="EE341" s="1804"/>
      <c r="EF341" s="1804"/>
      <c r="EG341" s="1804"/>
      <c r="EH341" s="1804"/>
      <c r="EI341" s="1804"/>
      <c r="EJ341" s="1804"/>
      <c r="EK341" s="1804"/>
      <c r="EL341" s="1804"/>
      <c r="EM341" s="1804"/>
      <c r="EN341" s="1804"/>
      <c r="EO341" s="1804"/>
      <c r="EP341" s="1804"/>
      <c r="EQ341" s="1804"/>
      <c r="ER341" s="1804"/>
      <c r="ES341" s="1804"/>
      <c r="ET341" s="1804"/>
      <c r="EU341" s="1804"/>
      <c r="EV341" s="1804"/>
      <c r="EW341" s="1804"/>
      <c r="EX341" s="1804"/>
      <c r="EY341" s="1804"/>
      <c r="EZ341" s="1804"/>
      <c r="FA341" s="1804"/>
      <c r="FB341" s="1804"/>
      <c r="FC341" s="1804"/>
      <c r="FD341" s="1804"/>
      <c r="FE341" s="1804"/>
      <c r="FF341" s="1804"/>
      <c r="FG341" s="1804"/>
      <c r="FH341" s="1804"/>
      <c r="FI341" s="1804"/>
      <c r="FJ341" s="1804"/>
      <c r="FK341" s="1804"/>
      <c r="FL341" s="1804"/>
      <c r="FM341" s="1804"/>
      <c r="FN341" s="1804"/>
      <c r="FO341" s="1804"/>
      <c r="FP341" s="1804"/>
      <c r="FQ341" s="1804"/>
      <c r="FR341" s="1804"/>
      <c r="FS341" s="1804"/>
      <c r="FT341" s="1804"/>
      <c r="FU341" s="1804"/>
      <c r="FV341" s="1804"/>
      <c r="FW341" s="1804"/>
      <c r="FX341" s="1804"/>
      <c r="FY341" s="1804"/>
      <c r="FZ341" s="1804"/>
      <c r="GA341" s="1804"/>
      <c r="GB341" s="1804"/>
      <c r="GC341" s="1804"/>
      <c r="GD341" s="1804"/>
      <c r="GE341" s="1804"/>
      <c r="GF341" s="1804"/>
      <c r="GG341" s="1804"/>
      <c r="GH341" s="1804"/>
      <c r="GI341" s="1804"/>
      <c r="GJ341" s="1804"/>
      <c r="GK341" s="1804"/>
      <c r="GL341" s="1804"/>
      <c r="GM341" s="1804"/>
      <c r="GN341" s="1804"/>
      <c r="GO341" s="1804"/>
      <c r="GP341" s="1804"/>
      <c r="GQ341" s="1804"/>
      <c r="GR341" s="1804"/>
      <c r="GS341" s="1804"/>
      <c r="GT341" s="1804"/>
      <c r="GU341" s="1804"/>
      <c r="GV341" s="1804"/>
      <c r="GW341" s="1804"/>
      <c r="GX341" s="1804"/>
      <c r="GY341" s="1804"/>
      <c r="GZ341" s="1804"/>
      <c r="HA341" s="1804"/>
      <c r="HB341" s="1804"/>
      <c r="HC341" s="1804"/>
      <c r="HD341" s="1804"/>
      <c r="HE341" s="1804"/>
      <c r="HF341" s="1804"/>
      <c r="HG341" s="1804"/>
      <c r="HH341" s="1804"/>
      <c r="HI341" s="1804"/>
      <c r="HJ341" s="1804"/>
      <c r="HK341" s="1804"/>
      <c r="HL341" s="1804"/>
      <c r="HM341" s="1804"/>
      <c r="HN341" s="1804"/>
      <c r="HO341" s="1804"/>
      <c r="HP341" s="1804"/>
      <c r="HQ341" s="1804"/>
      <c r="HR341" s="1804"/>
      <c r="HS341" s="1804"/>
      <c r="HT341" s="1804"/>
      <c r="HU341" s="1804"/>
      <c r="HV341" s="1804"/>
      <c r="HW341" s="1804"/>
      <c r="HX341" s="1804"/>
      <c r="HY341" s="1804"/>
      <c r="HZ341" s="1804"/>
      <c r="IA341" s="1804"/>
      <c r="IB341" s="1804"/>
      <c r="IC341" s="1804"/>
      <c r="ID341" s="1804"/>
      <c r="IE341" s="1804"/>
      <c r="IF341" s="1804"/>
      <c r="IG341" s="1804"/>
      <c r="IH341" s="1804"/>
      <c r="II341" s="1804"/>
      <c r="IJ341" s="1804"/>
      <c r="IK341" s="1804"/>
      <c r="IL341" s="1804"/>
      <c r="IM341" s="1804"/>
      <c r="IN341" s="1804"/>
      <c r="IO341" s="1804"/>
      <c r="IP341" s="1804"/>
      <c r="IQ341" s="1804"/>
      <c r="IR341" s="1804"/>
      <c r="IS341" s="1804"/>
      <c r="IT341" s="1804"/>
      <c r="IU341" s="1804"/>
      <c r="IV341" s="1804"/>
      <c r="IW341" s="1804"/>
    </row>
    <row r="342" spans="3:259" s="888" customFormat="1" x14ac:dyDescent="0.45">
      <c r="C342" s="1810" t="s">
        <v>712</v>
      </c>
      <c r="D342" s="1826"/>
      <c r="E342" s="1826"/>
      <c r="F342" s="1827"/>
      <c r="G342" s="1827"/>
      <c r="H342" s="1827"/>
      <c r="I342" s="1827"/>
      <c r="J342" s="1827"/>
      <c r="K342" s="1827"/>
      <c r="L342" s="1827"/>
      <c r="M342" s="1827"/>
      <c r="N342" s="1828"/>
      <c r="O342" s="1804"/>
      <c r="P342" s="1804"/>
      <c r="Q342" s="1804"/>
      <c r="R342" s="1804"/>
      <c r="S342" s="1804"/>
      <c r="T342" s="1804"/>
      <c r="U342" s="1804"/>
      <c r="V342" s="1804"/>
      <c r="W342" s="1804"/>
      <c r="X342" s="1804"/>
      <c r="Y342" s="1804"/>
      <c r="Z342" s="1804"/>
      <c r="AA342" s="1804"/>
      <c r="AB342" s="1804"/>
      <c r="AC342" s="1804"/>
      <c r="AD342" s="1804"/>
      <c r="AE342" s="1804"/>
      <c r="AF342" s="1804"/>
      <c r="AG342" s="1804"/>
      <c r="AH342" s="1804"/>
      <c r="AI342" s="1804"/>
      <c r="AJ342" s="1804"/>
      <c r="AK342" s="1804"/>
      <c r="AL342" s="1804"/>
      <c r="AM342" s="1804"/>
      <c r="AN342" s="1804"/>
      <c r="AO342" s="1804"/>
      <c r="AP342" s="1804"/>
      <c r="AQ342" s="1804"/>
      <c r="AR342" s="1804"/>
      <c r="AS342" s="1804"/>
      <c r="AT342" s="1804"/>
      <c r="AU342" s="1804"/>
      <c r="AV342" s="1804"/>
      <c r="AW342" s="1804"/>
      <c r="AX342" s="1804"/>
      <c r="AY342" s="1804"/>
      <c r="AZ342" s="1804"/>
      <c r="BA342" s="1804"/>
      <c r="BB342" s="1804"/>
      <c r="BC342" s="1804"/>
      <c r="BD342" s="1804"/>
      <c r="BE342" s="1804"/>
      <c r="BF342" s="1804"/>
      <c r="BG342" s="1804"/>
      <c r="BH342" s="1804"/>
      <c r="BI342" s="1804"/>
      <c r="BJ342" s="1804"/>
      <c r="BK342" s="1804"/>
      <c r="BL342" s="1804"/>
      <c r="BM342" s="1804"/>
      <c r="BN342" s="1804"/>
      <c r="BO342" s="1804"/>
      <c r="BP342" s="1804"/>
      <c r="BQ342" s="1804"/>
      <c r="BR342" s="1804"/>
      <c r="BS342" s="1804"/>
      <c r="BT342" s="1804"/>
      <c r="BU342" s="1804"/>
      <c r="BV342" s="1804"/>
      <c r="BW342" s="1804"/>
      <c r="BX342" s="1804"/>
      <c r="BY342" s="1804"/>
      <c r="BZ342" s="1804"/>
      <c r="CA342" s="1804"/>
      <c r="CB342" s="1804"/>
      <c r="CC342" s="1804"/>
      <c r="CD342" s="1804"/>
      <c r="CE342" s="1804"/>
      <c r="CF342" s="1804"/>
      <c r="CG342" s="1804"/>
      <c r="CH342" s="1804"/>
      <c r="CI342" s="1804"/>
      <c r="CJ342" s="1804"/>
      <c r="CK342" s="1804"/>
      <c r="CL342" s="1804"/>
      <c r="CM342" s="1804"/>
      <c r="CN342" s="1804"/>
      <c r="CO342" s="1804"/>
      <c r="CP342" s="1804"/>
      <c r="CQ342" s="1804"/>
      <c r="CR342" s="1804"/>
      <c r="CS342" s="1804"/>
      <c r="CT342" s="1804"/>
      <c r="CU342" s="1804"/>
      <c r="CV342" s="1804"/>
      <c r="CW342" s="1804"/>
      <c r="CX342" s="1804"/>
      <c r="CY342" s="1804"/>
      <c r="CZ342" s="1804"/>
      <c r="DA342" s="1804"/>
      <c r="DB342" s="1804"/>
      <c r="DC342" s="1804"/>
      <c r="DD342" s="1804"/>
      <c r="DE342" s="1804"/>
      <c r="DF342" s="1804"/>
      <c r="DG342" s="1804"/>
      <c r="DH342" s="1804"/>
      <c r="DI342" s="1804"/>
      <c r="DJ342" s="1804"/>
      <c r="DK342" s="1804"/>
      <c r="DL342" s="1804"/>
      <c r="DM342" s="1804"/>
      <c r="DN342" s="1804"/>
      <c r="DO342" s="1804"/>
      <c r="DP342" s="1804"/>
      <c r="DQ342" s="1804"/>
      <c r="DR342" s="1804"/>
      <c r="DS342" s="1804"/>
      <c r="DT342" s="1804"/>
      <c r="DU342" s="1804"/>
      <c r="DV342" s="1804"/>
      <c r="DW342" s="1804"/>
      <c r="DX342" s="1804"/>
      <c r="DY342" s="1804"/>
      <c r="DZ342" s="1804"/>
      <c r="EA342" s="1804"/>
      <c r="EB342" s="1804"/>
      <c r="EC342" s="1804"/>
      <c r="ED342" s="1804"/>
      <c r="EE342" s="1804"/>
      <c r="EF342" s="1804"/>
      <c r="EG342" s="1804"/>
      <c r="EH342" s="1804"/>
      <c r="EI342" s="1804"/>
      <c r="EJ342" s="1804"/>
      <c r="EK342" s="1804"/>
      <c r="EL342" s="1804"/>
      <c r="EM342" s="1804"/>
      <c r="EN342" s="1804"/>
      <c r="EO342" s="1804"/>
      <c r="EP342" s="1804"/>
      <c r="EQ342" s="1804"/>
      <c r="ER342" s="1804"/>
      <c r="ES342" s="1804"/>
      <c r="ET342" s="1804"/>
      <c r="EU342" s="1804"/>
      <c r="EV342" s="1804"/>
      <c r="EW342" s="1804"/>
      <c r="EX342" s="1804"/>
      <c r="EY342" s="1804"/>
      <c r="EZ342" s="1804"/>
      <c r="FA342" s="1804"/>
      <c r="FB342" s="1804"/>
      <c r="FC342" s="1804"/>
      <c r="FD342" s="1804"/>
      <c r="FE342" s="1804"/>
      <c r="FF342" s="1804"/>
      <c r="FG342" s="1804"/>
      <c r="FH342" s="1804"/>
      <c r="FI342" s="1804"/>
      <c r="FJ342" s="1804"/>
      <c r="FK342" s="1804"/>
      <c r="FL342" s="1804"/>
      <c r="FM342" s="1804"/>
      <c r="FN342" s="1804"/>
      <c r="FO342" s="1804"/>
      <c r="FP342" s="1804"/>
      <c r="FQ342" s="1804"/>
      <c r="FR342" s="1804"/>
      <c r="FS342" s="1804"/>
      <c r="FT342" s="1804"/>
      <c r="FU342" s="1804"/>
      <c r="FV342" s="1804"/>
      <c r="FW342" s="1804"/>
      <c r="FX342" s="1804"/>
      <c r="FY342" s="1804"/>
      <c r="FZ342" s="1804"/>
      <c r="GA342" s="1804"/>
      <c r="GB342" s="1804"/>
      <c r="GC342" s="1804"/>
      <c r="GD342" s="1804"/>
      <c r="GE342" s="1804"/>
      <c r="GF342" s="1804"/>
      <c r="GG342" s="1804"/>
      <c r="GH342" s="1804"/>
      <c r="GI342" s="1804"/>
      <c r="GJ342" s="1804"/>
      <c r="GK342" s="1804"/>
      <c r="GL342" s="1804"/>
      <c r="GM342" s="1804"/>
      <c r="GN342" s="1804"/>
      <c r="GO342" s="1804"/>
      <c r="GP342" s="1804"/>
      <c r="GQ342" s="1804"/>
      <c r="GR342" s="1804"/>
      <c r="GS342" s="1804"/>
      <c r="GT342" s="1804"/>
      <c r="GU342" s="1804"/>
      <c r="GV342" s="1804"/>
      <c r="GW342" s="1804"/>
      <c r="GX342" s="1804"/>
      <c r="GY342" s="1804"/>
      <c r="GZ342" s="1804"/>
      <c r="HA342" s="1804"/>
      <c r="HB342" s="1804"/>
      <c r="HC342" s="1804"/>
      <c r="HD342" s="1804"/>
      <c r="HE342" s="1804"/>
      <c r="HF342" s="1804"/>
      <c r="HG342" s="1804"/>
      <c r="HH342" s="1804"/>
      <c r="HI342" s="1804"/>
      <c r="HJ342" s="1804"/>
      <c r="HK342" s="1804"/>
      <c r="HL342" s="1804"/>
      <c r="HM342" s="1804"/>
      <c r="HN342" s="1804"/>
      <c r="HO342" s="1804"/>
      <c r="HP342" s="1804"/>
      <c r="HQ342" s="1804"/>
      <c r="HR342" s="1804"/>
      <c r="HS342" s="1804"/>
      <c r="HT342" s="1804"/>
      <c r="HU342" s="1804"/>
      <c r="HV342" s="1804"/>
      <c r="HW342" s="1804"/>
      <c r="HX342" s="1804"/>
      <c r="HY342" s="1804"/>
      <c r="HZ342" s="1804"/>
      <c r="IA342" s="1804"/>
      <c r="IB342" s="1804"/>
      <c r="IC342" s="1804"/>
      <c r="ID342" s="1804"/>
      <c r="IE342" s="1804"/>
      <c r="IF342" s="1804"/>
      <c r="IG342" s="1804"/>
      <c r="IH342" s="1804"/>
      <c r="II342" s="1804"/>
      <c r="IJ342" s="1804"/>
      <c r="IK342" s="1804"/>
      <c r="IL342" s="1804"/>
      <c r="IM342" s="1804"/>
      <c r="IN342" s="1804"/>
      <c r="IO342" s="1804"/>
      <c r="IP342" s="1804"/>
      <c r="IQ342" s="1804"/>
      <c r="IR342" s="1804"/>
      <c r="IS342" s="1804"/>
      <c r="IT342" s="1804"/>
      <c r="IU342" s="1804"/>
      <c r="IV342" s="1804"/>
      <c r="IW342" s="1804"/>
    </row>
    <row r="343" spans="3:259" s="888" customFormat="1" x14ac:dyDescent="0.45">
      <c r="C343" s="1810" t="s">
        <v>713</v>
      </c>
      <c r="D343" s="1826"/>
      <c r="E343" s="1826"/>
      <c r="F343" s="1827"/>
      <c r="G343" s="1827"/>
      <c r="H343" s="1827"/>
      <c r="I343" s="1827"/>
      <c r="J343" s="1827"/>
      <c r="K343" s="1827"/>
      <c r="L343" s="1827"/>
      <c r="M343" s="1827"/>
      <c r="N343" s="1828"/>
      <c r="O343" s="1804"/>
      <c r="P343" s="1804"/>
      <c r="Q343" s="1804"/>
      <c r="R343" s="1804"/>
      <c r="S343" s="1804"/>
      <c r="T343" s="1804"/>
      <c r="U343" s="1804"/>
      <c r="V343" s="1804"/>
      <c r="W343" s="1804"/>
      <c r="X343" s="1804"/>
      <c r="Y343" s="1804"/>
      <c r="Z343" s="1804"/>
      <c r="AA343" s="1804"/>
      <c r="AB343" s="1804"/>
      <c r="AC343" s="1804"/>
      <c r="AD343" s="1804"/>
      <c r="AE343" s="1804"/>
      <c r="AF343" s="1804"/>
      <c r="AG343" s="1804"/>
      <c r="AH343" s="1804"/>
      <c r="AI343" s="1804"/>
      <c r="AJ343" s="1804"/>
      <c r="AK343" s="1804"/>
      <c r="AL343" s="1804"/>
      <c r="AM343" s="1804"/>
      <c r="AN343" s="1804"/>
      <c r="AO343" s="1804"/>
      <c r="AP343" s="1804"/>
      <c r="AQ343" s="1804"/>
      <c r="AR343" s="1804"/>
      <c r="AS343" s="1804"/>
      <c r="AT343" s="1804"/>
      <c r="AU343" s="1804"/>
      <c r="AV343" s="1804"/>
      <c r="AW343" s="1804"/>
      <c r="AX343" s="1804"/>
      <c r="AY343" s="1804"/>
      <c r="AZ343" s="1804"/>
      <c r="BA343" s="1804"/>
      <c r="BB343" s="1804"/>
      <c r="BC343" s="1804"/>
      <c r="BD343" s="1804"/>
      <c r="BE343" s="1804"/>
      <c r="BF343" s="1804"/>
      <c r="BG343" s="1804"/>
      <c r="BH343" s="1804"/>
      <c r="BI343" s="1804"/>
      <c r="BJ343" s="1804"/>
      <c r="BK343" s="1804"/>
      <c r="BL343" s="1804"/>
      <c r="BM343" s="1804"/>
      <c r="BN343" s="1804"/>
      <c r="BO343" s="1804"/>
      <c r="BP343" s="1804"/>
      <c r="BQ343" s="1804"/>
      <c r="BR343" s="1804"/>
      <c r="BS343" s="1804"/>
      <c r="BT343" s="1804"/>
      <c r="BU343" s="1804"/>
      <c r="BV343" s="1804"/>
      <c r="BW343" s="1804"/>
      <c r="BX343" s="1804"/>
      <c r="BY343" s="1804"/>
      <c r="BZ343" s="1804"/>
      <c r="CA343" s="1804"/>
      <c r="CB343" s="1804"/>
      <c r="CC343" s="1804"/>
      <c r="CD343" s="1804"/>
      <c r="CE343" s="1804"/>
      <c r="CF343" s="1804"/>
      <c r="CG343" s="1804"/>
      <c r="CH343" s="1804"/>
      <c r="CI343" s="1804"/>
      <c r="CJ343" s="1804"/>
      <c r="CK343" s="1804"/>
      <c r="CL343" s="1804"/>
      <c r="CM343" s="1804"/>
      <c r="CN343" s="1804"/>
      <c r="CO343" s="1804"/>
      <c r="CP343" s="1804"/>
      <c r="CQ343" s="1804"/>
      <c r="CR343" s="1804"/>
      <c r="CS343" s="1804"/>
      <c r="CT343" s="1804"/>
      <c r="CU343" s="1804"/>
      <c r="CV343" s="1804"/>
      <c r="CW343" s="1804"/>
      <c r="CX343" s="1804"/>
      <c r="CY343" s="1804"/>
      <c r="CZ343" s="1804"/>
      <c r="DA343" s="1804"/>
      <c r="DB343" s="1804"/>
      <c r="DC343" s="1804"/>
      <c r="DD343" s="1804"/>
      <c r="DE343" s="1804"/>
      <c r="DF343" s="1804"/>
      <c r="DG343" s="1804"/>
      <c r="DH343" s="1804"/>
      <c r="DI343" s="1804"/>
      <c r="DJ343" s="1804"/>
      <c r="DK343" s="1804"/>
      <c r="DL343" s="1804"/>
      <c r="DM343" s="1804"/>
      <c r="DN343" s="1804"/>
      <c r="DO343" s="1804"/>
      <c r="DP343" s="1804"/>
      <c r="DQ343" s="1804"/>
      <c r="DR343" s="1804"/>
      <c r="DS343" s="1804"/>
      <c r="DT343" s="1804"/>
      <c r="DU343" s="1804"/>
      <c r="DV343" s="1804"/>
      <c r="DW343" s="1804"/>
      <c r="DX343" s="1804"/>
      <c r="DY343" s="1804"/>
      <c r="DZ343" s="1804"/>
      <c r="EA343" s="1804"/>
      <c r="EB343" s="1804"/>
      <c r="EC343" s="1804"/>
      <c r="ED343" s="1804"/>
      <c r="EE343" s="1804"/>
      <c r="EF343" s="1804"/>
      <c r="EG343" s="1804"/>
      <c r="EH343" s="1804"/>
      <c r="EI343" s="1804"/>
      <c r="EJ343" s="1804"/>
      <c r="EK343" s="1804"/>
      <c r="EL343" s="1804"/>
      <c r="EM343" s="1804"/>
      <c r="EN343" s="1804"/>
      <c r="EO343" s="1804"/>
      <c r="EP343" s="1804"/>
      <c r="EQ343" s="1804"/>
      <c r="ER343" s="1804"/>
      <c r="ES343" s="1804"/>
      <c r="ET343" s="1804"/>
      <c r="EU343" s="1804"/>
      <c r="EV343" s="1804"/>
      <c r="EW343" s="1804"/>
      <c r="EX343" s="1804"/>
      <c r="EY343" s="1804"/>
      <c r="EZ343" s="1804"/>
      <c r="FA343" s="1804"/>
      <c r="FB343" s="1804"/>
      <c r="FC343" s="1804"/>
      <c r="FD343" s="1804"/>
      <c r="FE343" s="1804"/>
      <c r="FF343" s="1804"/>
      <c r="FG343" s="1804"/>
      <c r="FH343" s="1804"/>
      <c r="FI343" s="1804"/>
      <c r="FJ343" s="1804"/>
      <c r="FK343" s="1804"/>
      <c r="FL343" s="1804"/>
      <c r="FM343" s="1804"/>
      <c r="FN343" s="1804"/>
      <c r="FO343" s="1804"/>
      <c r="FP343" s="1804"/>
      <c r="FQ343" s="1804"/>
      <c r="FR343" s="1804"/>
      <c r="FS343" s="1804"/>
      <c r="FT343" s="1804"/>
      <c r="FU343" s="1804"/>
      <c r="FV343" s="1804"/>
      <c r="FW343" s="1804"/>
      <c r="FX343" s="1804"/>
      <c r="FY343" s="1804"/>
      <c r="FZ343" s="1804"/>
      <c r="GA343" s="1804"/>
      <c r="GB343" s="1804"/>
      <c r="GC343" s="1804"/>
      <c r="GD343" s="1804"/>
      <c r="GE343" s="1804"/>
      <c r="GF343" s="1804"/>
      <c r="GG343" s="1804"/>
      <c r="GH343" s="1804"/>
      <c r="GI343" s="1804"/>
      <c r="GJ343" s="1804"/>
      <c r="GK343" s="1804"/>
      <c r="GL343" s="1804"/>
      <c r="GM343" s="1804"/>
      <c r="GN343" s="1804"/>
      <c r="GO343" s="1804"/>
      <c r="GP343" s="1804"/>
      <c r="GQ343" s="1804"/>
      <c r="GR343" s="1804"/>
      <c r="GS343" s="1804"/>
      <c r="GT343" s="1804"/>
      <c r="GU343" s="1804"/>
      <c r="GV343" s="1804"/>
      <c r="GW343" s="1804"/>
      <c r="GX343" s="1804"/>
      <c r="GY343" s="1804"/>
      <c r="GZ343" s="1804"/>
      <c r="HA343" s="1804"/>
      <c r="HB343" s="1804"/>
      <c r="HC343" s="1804"/>
      <c r="HD343" s="1804"/>
      <c r="HE343" s="1804"/>
      <c r="HF343" s="1804"/>
      <c r="HG343" s="1804"/>
      <c r="HH343" s="1804"/>
      <c r="HI343" s="1804"/>
      <c r="HJ343" s="1804"/>
      <c r="HK343" s="1804"/>
      <c r="HL343" s="1804"/>
      <c r="HM343" s="1804"/>
      <c r="HN343" s="1804"/>
      <c r="HO343" s="1804"/>
      <c r="HP343" s="1804"/>
      <c r="HQ343" s="1804"/>
      <c r="HR343" s="1804"/>
      <c r="HS343" s="1804"/>
      <c r="HT343" s="1804"/>
      <c r="HU343" s="1804"/>
      <c r="HV343" s="1804"/>
      <c r="HW343" s="1804"/>
      <c r="HX343" s="1804"/>
      <c r="HY343" s="1804"/>
      <c r="HZ343" s="1804"/>
      <c r="IA343" s="1804"/>
      <c r="IB343" s="1804"/>
      <c r="IC343" s="1804"/>
      <c r="ID343" s="1804"/>
      <c r="IE343" s="1804"/>
      <c r="IF343" s="1804"/>
      <c r="IG343" s="1804"/>
      <c r="IH343" s="1804"/>
      <c r="II343" s="1804"/>
      <c r="IJ343" s="1804"/>
      <c r="IK343" s="1804"/>
      <c r="IL343" s="1804"/>
      <c r="IM343" s="1804"/>
      <c r="IN343" s="1804"/>
      <c r="IO343" s="1804"/>
      <c r="IP343" s="1804"/>
      <c r="IQ343" s="1804"/>
      <c r="IR343" s="1804"/>
      <c r="IS343" s="1804"/>
      <c r="IT343" s="1804"/>
      <c r="IU343" s="1804"/>
      <c r="IV343" s="1804"/>
      <c r="IW343" s="1804"/>
    </row>
    <row r="344" spans="3:259" s="888" customFormat="1" x14ac:dyDescent="0.45">
      <c r="C344" s="1804"/>
      <c r="D344" s="1804"/>
      <c r="E344" s="1804"/>
      <c r="F344" s="1804"/>
      <c r="G344" s="1804"/>
      <c r="H344" s="1804"/>
      <c r="I344" s="1804"/>
      <c r="J344" s="1804"/>
      <c r="K344" s="1804"/>
      <c r="L344" s="1804"/>
      <c r="M344" s="1804"/>
      <c r="N344" s="1804"/>
      <c r="O344" s="1804"/>
      <c r="P344" s="1804"/>
      <c r="Q344" s="1804"/>
      <c r="R344" s="1804"/>
      <c r="S344" s="1804"/>
      <c r="T344" s="1804"/>
      <c r="U344" s="1804"/>
      <c r="V344" s="1804"/>
      <c r="W344" s="1804"/>
      <c r="X344" s="1804"/>
      <c r="Y344" s="1804"/>
      <c r="Z344" s="1804"/>
      <c r="AA344" s="1804"/>
      <c r="AB344" s="1804"/>
      <c r="AC344" s="1804"/>
      <c r="AD344" s="1804"/>
      <c r="AE344" s="1804"/>
      <c r="AF344" s="1804"/>
      <c r="AG344" s="1804"/>
      <c r="AH344" s="1804"/>
      <c r="AI344" s="1804"/>
      <c r="AJ344" s="1804"/>
      <c r="AK344" s="1804"/>
      <c r="AL344" s="1804"/>
      <c r="AM344" s="1804"/>
      <c r="AN344" s="1804"/>
      <c r="AO344" s="1804"/>
      <c r="AP344" s="1804"/>
      <c r="AQ344" s="1804"/>
      <c r="AR344" s="1804"/>
      <c r="AS344" s="1804"/>
      <c r="AT344" s="1804"/>
      <c r="AU344" s="1804"/>
      <c r="AV344" s="1804"/>
      <c r="AW344" s="1804"/>
      <c r="AX344" s="1804"/>
      <c r="AY344" s="1804"/>
      <c r="AZ344" s="1804"/>
      <c r="BA344" s="1804"/>
      <c r="BB344" s="1804"/>
      <c r="BC344" s="1804"/>
      <c r="BD344" s="1804"/>
      <c r="BE344" s="1804"/>
      <c r="BF344" s="1804"/>
      <c r="BG344" s="1804"/>
      <c r="BH344" s="1804"/>
      <c r="BI344" s="1804"/>
      <c r="BJ344" s="1804"/>
      <c r="BK344" s="1804"/>
      <c r="BL344" s="1804"/>
      <c r="BM344" s="1804"/>
      <c r="BN344" s="1804"/>
      <c r="BO344" s="1804"/>
      <c r="BP344" s="1804"/>
      <c r="BQ344" s="1804"/>
      <c r="BR344" s="1804"/>
      <c r="BS344" s="1804"/>
      <c r="BT344" s="1804"/>
      <c r="BU344" s="1804"/>
      <c r="BV344" s="1804"/>
      <c r="BW344" s="1804"/>
      <c r="BX344" s="1804"/>
      <c r="BY344" s="1804"/>
      <c r="BZ344" s="1804"/>
      <c r="CA344" s="1804"/>
      <c r="CB344" s="1804"/>
      <c r="CC344" s="1804"/>
      <c r="CD344" s="1804"/>
      <c r="CE344" s="1804"/>
      <c r="CF344" s="1804"/>
      <c r="CG344" s="1804"/>
      <c r="CH344" s="1804"/>
      <c r="CI344" s="1804"/>
      <c r="CJ344" s="1804"/>
      <c r="CK344" s="1804"/>
      <c r="CL344" s="1804"/>
      <c r="CM344" s="1804"/>
      <c r="CN344" s="1804"/>
      <c r="CO344" s="1804"/>
      <c r="CP344" s="1804"/>
      <c r="CQ344" s="1804"/>
      <c r="CR344" s="1804"/>
      <c r="CS344" s="1804"/>
      <c r="CT344" s="1804"/>
      <c r="CU344" s="1804"/>
      <c r="CV344" s="1804"/>
      <c r="CW344" s="1804"/>
      <c r="CX344" s="1804"/>
      <c r="CY344" s="1804"/>
      <c r="CZ344" s="1804"/>
      <c r="DA344" s="1804"/>
      <c r="DB344" s="1804"/>
      <c r="DC344" s="1804"/>
      <c r="DD344" s="1804"/>
      <c r="DE344" s="1804"/>
      <c r="DF344" s="1804"/>
      <c r="DG344" s="1804"/>
      <c r="DH344" s="1804"/>
      <c r="DI344" s="1804"/>
      <c r="DJ344" s="1804"/>
      <c r="DK344" s="1804"/>
      <c r="DL344" s="1804"/>
      <c r="DM344" s="1804"/>
      <c r="DN344" s="1804"/>
      <c r="DO344" s="1804"/>
      <c r="DP344" s="1804"/>
      <c r="DQ344" s="1804"/>
      <c r="DR344" s="1804"/>
      <c r="DS344" s="1804"/>
      <c r="DT344" s="1804"/>
      <c r="DU344" s="1804"/>
      <c r="DV344" s="1804"/>
      <c r="DW344" s="1804"/>
      <c r="DX344" s="1804"/>
      <c r="DY344" s="1804"/>
      <c r="DZ344" s="1804"/>
      <c r="EA344" s="1804"/>
      <c r="EB344" s="1804"/>
      <c r="EC344" s="1804"/>
      <c r="ED344" s="1804"/>
      <c r="EE344" s="1804"/>
      <c r="EF344" s="1804"/>
      <c r="EG344" s="1804"/>
      <c r="EH344" s="1804"/>
      <c r="EI344" s="1804"/>
      <c r="EJ344" s="1804"/>
      <c r="EK344" s="1804"/>
      <c r="EL344" s="1804"/>
      <c r="EM344" s="1804"/>
      <c r="EN344" s="1804"/>
      <c r="EO344" s="1804"/>
      <c r="EP344" s="1804"/>
      <c r="EQ344" s="1804"/>
      <c r="ER344" s="1804"/>
      <c r="ES344" s="1804"/>
      <c r="ET344" s="1804"/>
      <c r="EU344" s="1804"/>
      <c r="EV344" s="1804"/>
      <c r="EW344" s="1804"/>
      <c r="EX344" s="1804"/>
      <c r="EY344" s="1804"/>
      <c r="EZ344" s="1804"/>
      <c r="FA344" s="1804"/>
      <c r="FB344" s="1804"/>
      <c r="FC344" s="1804"/>
      <c r="FD344" s="1804"/>
      <c r="FE344" s="1804"/>
      <c r="FF344" s="1804"/>
      <c r="FG344" s="1804"/>
      <c r="FH344" s="1804"/>
      <c r="FI344" s="1804"/>
      <c r="FJ344" s="1804"/>
      <c r="FK344" s="1804"/>
      <c r="FL344" s="1804"/>
      <c r="FM344" s="1804"/>
      <c r="FN344" s="1804"/>
      <c r="FO344" s="1804"/>
      <c r="FP344" s="1804"/>
      <c r="FQ344" s="1804"/>
      <c r="FR344" s="1804"/>
      <c r="FS344" s="1804"/>
      <c r="FT344" s="1804"/>
      <c r="FU344" s="1804"/>
      <c r="FV344" s="1804"/>
      <c r="FW344" s="1804"/>
      <c r="FX344" s="1804"/>
      <c r="FY344" s="1804"/>
      <c r="FZ344" s="1804"/>
      <c r="GA344" s="1804"/>
      <c r="GB344" s="1804"/>
      <c r="GC344" s="1804"/>
      <c r="GD344" s="1804"/>
      <c r="GE344" s="1804"/>
      <c r="GF344" s="1804"/>
      <c r="GG344" s="1804"/>
      <c r="GH344" s="1804"/>
      <c r="GI344" s="1804"/>
      <c r="GJ344" s="1804"/>
      <c r="GK344" s="1804"/>
      <c r="GL344" s="1804"/>
      <c r="GM344" s="1804"/>
      <c r="GN344" s="1804"/>
      <c r="GO344" s="1804"/>
      <c r="GP344" s="1804"/>
      <c r="GQ344" s="1804"/>
      <c r="GR344" s="1804"/>
      <c r="GS344" s="1804"/>
      <c r="GT344" s="1804"/>
      <c r="GU344" s="1804"/>
      <c r="GV344" s="1804"/>
      <c r="GW344" s="1804"/>
      <c r="GX344" s="1804"/>
      <c r="GY344" s="1804"/>
      <c r="GZ344" s="1804"/>
      <c r="HA344" s="1804"/>
      <c r="HB344" s="1804"/>
      <c r="HC344" s="1804"/>
      <c r="HD344" s="1804"/>
      <c r="HE344" s="1804"/>
      <c r="HF344" s="1804"/>
      <c r="HG344" s="1804"/>
      <c r="HH344" s="1804"/>
      <c r="HI344" s="1804"/>
      <c r="HJ344" s="1804"/>
      <c r="HK344" s="1804"/>
      <c r="HL344" s="1804"/>
      <c r="HM344" s="1804"/>
      <c r="HN344" s="1804"/>
      <c r="HO344" s="1804"/>
      <c r="HP344" s="1804"/>
      <c r="HQ344" s="1804"/>
      <c r="HR344" s="1804"/>
      <c r="HS344" s="1804"/>
      <c r="HT344" s="1804"/>
      <c r="HU344" s="1804"/>
      <c r="HV344" s="1804"/>
      <c r="HW344" s="1804"/>
      <c r="HX344" s="1804"/>
      <c r="HY344" s="1804"/>
      <c r="HZ344" s="1804"/>
      <c r="IA344" s="1804"/>
      <c r="IB344" s="1804"/>
      <c r="IC344" s="1804"/>
      <c r="ID344" s="1804"/>
      <c r="IE344" s="1804"/>
      <c r="IF344" s="1804"/>
      <c r="IG344" s="1804"/>
      <c r="IH344" s="1804"/>
      <c r="II344" s="1804"/>
      <c r="IJ344" s="1804"/>
      <c r="IK344" s="1804"/>
      <c r="IL344" s="1804"/>
      <c r="IM344" s="1804"/>
      <c r="IN344" s="1804"/>
      <c r="IO344" s="1804"/>
      <c r="IP344" s="1804"/>
      <c r="IQ344" s="1804"/>
      <c r="IR344" s="1804"/>
      <c r="IS344" s="1804"/>
      <c r="IT344" s="1804"/>
      <c r="IU344" s="1804"/>
      <c r="IV344" s="1804"/>
      <c r="IW344" s="1804"/>
    </row>
    <row r="345" spans="3:259" s="888" customFormat="1" ht="21" x14ac:dyDescent="0.45">
      <c r="C345" s="1803" t="s">
        <v>714</v>
      </c>
      <c r="D345" s="1803" t="s">
        <v>868</v>
      </c>
      <c r="E345" s="1829"/>
      <c r="F345" s="1804"/>
      <c r="G345" s="1804"/>
      <c r="H345" s="1804"/>
      <c r="I345" s="1804"/>
      <c r="J345" s="1804"/>
      <c r="K345" s="1804"/>
      <c r="L345" s="1804"/>
      <c r="M345" s="1804"/>
      <c r="N345" s="1804"/>
      <c r="O345" s="1804"/>
      <c r="P345" s="1804"/>
      <c r="Q345" s="1804"/>
      <c r="R345" s="1804"/>
      <c r="S345" s="1828"/>
      <c r="T345" s="1804"/>
      <c r="U345" s="1804"/>
      <c r="V345" s="1804"/>
      <c r="W345" s="1804"/>
      <c r="X345" s="1804"/>
      <c r="Y345" s="1804"/>
      <c r="Z345" s="1804"/>
      <c r="AA345" s="1804"/>
      <c r="AB345" s="1804"/>
      <c r="AC345" s="1804"/>
      <c r="AD345" s="1804"/>
      <c r="AE345" s="1804"/>
      <c r="AF345" s="1804"/>
      <c r="AG345" s="1804"/>
      <c r="AH345" s="1804"/>
      <c r="AI345" s="1804"/>
      <c r="AJ345" s="1804"/>
      <c r="AK345" s="1804"/>
      <c r="AL345" s="1804"/>
      <c r="AM345" s="1804"/>
      <c r="AN345" s="1804"/>
      <c r="AO345" s="1804"/>
      <c r="AP345" s="1804"/>
      <c r="AQ345" s="1804"/>
      <c r="AR345" s="1804"/>
      <c r="AS345" s="1804"/>
      <c r="AT345" s="1804"/>
      <c r="AU345" s="1804"/>
      <c r="AV345" s="1804"/>
      <c r="AW345" s="1804"/>
      <c r="AX345" s="1804"/>
      <c r="AY345" s="1804"/>
      <c r="AZ345" s="1804"/>
      <c r="BA345" s="1804"/>
      <c r="BB345" s="1804"/>
      <c r="BC345" s="1804"/>
      <c r="BD345" s="1804"/>
      <c r="BE345" s="1804"/>
      <c r="BF345" s="1804"/>
      <c r="BG345" s="1804"/>
      <c r="BH345" s="1804"/>
      <c r="BI345" s="1804"/>
      <c r="BJ345" s="1804"/>
      <c r="BK345" s="1804"/>
      <c r="BL345" s="1804"/>
      <c r="BM345" s="1804"/>
      <c r="BN345" s="1804"/>
      <c r="BO345" s="1804"/>
      <c r="BP345" s="1804"/>
      <c r="BQ345" s="1804"/>
      <c r="BR345" s="1804"/>
      <c r="BS345" s="1804"/>
      <c r="BT345" s="1804"/>
      <c r="BU345" s="1804"/>
      <c r="BV345" s="1804"/>
      <c r="BW345" s="1804"/>
      <c r="BX345" s="1804"/>
      <c r="BY345" s="1804"/>
      <c r="BZ345" s="1804"/>
      <c r="CA345" s="1804"/>
      <c r="CB345" s="1804"/>
      <c r="CC345" s="1804"/>
      <c r="CD345" s="1804"/>
      <c r="CE345" s="1804"/>
      <c r="CF345" s="1804"/>
      <c r="CG345" s="1804"/>
      <c r="CH345" s="1804"/>
      <c r="CI345" s="1804"/>
      <c r="CJ345" s="1804"/>
      <c r="CK345" s="1804"/>
      <c r="CL345" s="1804"/>
      <c r="CM345" s="1804"/>
      <c r="CN345" s="1804"/>
      <c r="CO345" s="1804"/>
      <c r="CP345" s="1804"/>
      <c r="CQ345" s="1804"/>
      <c r="CR345" s="1804"/>
      <c r="CS345" s="1804"/>
      <c r="CT345" s="1804"/>
      <c r="CU345" s="1804"/>
      <c r="CV345" s="1804"/>
      <c r="CW345" s="1804"/>
      <c r="CX345" s="1804"/>
      <c r="CY345" s="1804"/>
      <c r="CZ345" s="1804"/>
      <c r="DA345" s="1804"/>
      <c r="DB345" s="1804"/>
      <c r="DC345" s="1804"/>
      <c r="DD345" s="1804"/>
      <c r="DE345" s="1804"/>
      <c r="DF345" s="1804"/>
      <c r="DG345" s="1804"/>
      <c r="DH345" s="1804"/>
      <c r="DI345" s="1804"/>
      <c r="DJ345" s="1804"/>
      <c r="DK345" s="1804"/>
      <c r="DL345" s="1804"/>
      <c r="DM345" s="1804"/>
      <c r="DN345" s="1804"/>
      <c r="DO345" s="1804"/>
      <c r="DP345" s="1804"/>
      <c r="DQ345" s="1804"/>
      <c r="DR345" s="1804"/>
      <c r="DS345" s="1804"/>
      <c r="DT345" s="1804"/>
      <c r="DU345" s="1804"/>
      <c r="DV345" s="1804"/>
      <c r="DW345" s="1804"/>
      <c r="DX345" s="1804"/>
      <c r="DY345" s="1804"/>
      <c r="DZ345" s="1804"/>
      <c r="EA345" s="1804"/>
      <c r="EB345" s="1804"/>
      <c r="EC345" s="1804"/>
      <c r="ED345" s="1804"/>
      <c r="EE345" s="1804"/>
      <c r="EF345" s="1804"/>
      <c r="EG345" s="1804"/>
      <c r="EH345" s="1804"/>
      <c r="EI345" s="1804"/>
      <c r="EJ345" s="1804"/>
      <c r="EK345" s="1804"/>
      <c r="EL345" s="1804"/>
      <c r="EM345" s="1804"/>
      <c r="EN345" s="1804"/>
      <c r="EO345" s="1804"/>
      <c r="EP345" s="1804"/>
      <c r="EQ345" s="1804"/>
      <c r="ER345" s="1804"/>
      <c r="ES345" s="1804"/>
      <c r="ET345" s="1804"/>
      <c r="EU345" s="1804"/>
      <c r="EV345" s="1804"/>
      <c r="EW345" s="1804"/>
      <c r="EX345" s="1804"/>
      <c r="EY345" s="1804"/>
      <c r="EZ345" s="1804"/>
      <c r="FA345" s="1804"/>
      <c r="FB345" s="1804"/>
      <c r="FC345" s="1804"/>
      <c r="FD345" s="1804"/>
      <c r="FE345" s="1804"/>
      <c r="FF345" s="1804"/>
      <c r="FG345" s="1804"/>
      <c r="FH345" s="1804"/>
      <c r="FI345" s="1804"/>
      <c r="FJ345" s="1804"/>
      <c r="FK345" s="1804"/>
      <c r="FL345" s="1804"/>
      <c r="FM345" s="1804"/>
      <c r="FN345" s="1804"/>
      <c r="FO345" s="1804"/>
      <c r="FP345" s="1804"/>
      <c r="FQ345" s="1804"/>
      <c r="FR345" s="1804"/>
      <c r="FS345" s="1804"/>
      <c r="FT345" s="1804"/>
      <c r="FU345" s="1804"/>
      <c r="FV345" s="1804"/>
      <c r="FW345" s="1804"/>
      <c r="FX345" s="1804"/>
      <c r="FY345" s="1804"/>
      <c r="FZ345" s="1804"/>
      <c r="GA345" s="1804"/>
      <c r="GB345" s="1804"/>
      <c r="GC345" s="1804"/>
      <c r="GD345" s="1804"/>
      <c r="GE345" s="1804"/>
      <c r="GF345" s="1804"/>
      <c r="GG345" s="1804"/>
      <c r="GH345" s="1804"/>
      <c r="GI345" s="1804"/>
      <c r="GJ345" s="1804"/>
      <c r="GK345" s="1804"/>
      <c r="GL345" s="1804"/>
      <c r="GM345" s="1804"/>
      <c r="GN345" s="1804"/>
      <c r="GO345" s="1804"/>
      <c r="GP345" s="1804"/>
      <c r="GQ345" s="1804"/>
      <c r="GR345" s="1804"/>
      <c r="GS345" s="1804"/>
      <c r="GT345" s="1804"/>
      <c r="GU345" s="1804"/>
      <c r="GV345" s="1804"/>
      <c r="GW345" s="1804"/>
      <c r="GX345" s="1804"/>
      <c r="GY345" s="1804"/>
      <c r="GZ345" s="1804"/>
      <c r="HA345" s="1804"/>
      <c r="HB345" s="1804"/>
      <c r="HC345" s="1804"/>
      <c r="HD345" s="1804"/>
      <c r="HE345" s="1804"/>
      <c r="HF345" s="1804"/>
      <c r="HG345" s="1804"/>
      <c r="HH345" s="1804"/>
      <c r="HI345" s="1804"/>
      <c r="HJ345" s="1804"/>
      <c r="HK345" s="1804"/>
      <c r="HL345" s="1804"/>
      <c r="HM345" s="1804"/>
      <c r="HN345" s="1804"/>
      <c r="HO345" s="1804"/>
      <c r="HP345" s="1804"/>
      <c r="HQ345" s="1804"/>
      <c r="HR345" s="1804"/>
      <c r="HS345" s="1804"/>
      <c r="HT345" s="1804"/>
      <c r="HU345" s="1804"/>
      <c r="HV345" s="1804"/>
      <c r="HW345" s="1804"/>
      <c r="HX345" s="1804"/>
      <c r="HY345" s="1804"/>
      <c r="HZ345" s="1804"/>
      <c r="IA345" s="1804"/>
      <c r="IB345" s="1804"/>
      <c r="IC345" s="1804"/>
      <c r="ID345" s="1804"/>
      <c r="IE345" s="1804"/>
      <c r="IF345" s="1804"/>
      <c r="IG345" s="1804"/>
      <c r="IH345" s="1804"/>
      <c r="II345" s="1804"/>
      <c r="IJ345" s="1804"/>
      <c r="IK345" s="1804"/>
      <c r="IL345" s="1804"/>
      <c r="IM345" s="1804"/>
      <c r="IN345" s="1804"/>
      <c r="IO345" s="1804"/>
      <c r="IP345" s="1804"/>
      <c r="IQ345" s="1804"/>
      <c r="IR345" s="1804"/>
      <c r="IS345" s="1804"/>
      <c r="IT345" s="1804"/>
      <c r="IU345" s="1804"/>
      <c r="IV345" s="1804"/>
      <c r="IW345" s="1804"/>
    </row>
    <row r="346" spans="3:259" s="888" customFormat="1" ht="14.65" thickBot="1" x14ac:dyDescent="0.5">
      <c r="C346" s="1804"/>
      <c r="D346" s="1804"/>
      <c r="E346" s="1804"/>
      <c r="F346" s="1804"/>
      <c r="G346" s="1804"/>
      <c r="H346" s="1804"/>
      <c r="I346" s="1804"/>
      <c r="J346" s="1804"/>
      <c r="K346" s="1804"/>
      <c r="L346" s="1804"/>
      <c r="M346" s="1808"/>
      <c r="N346" s="1804"/>
      <c r="O346" s="1804"/>
      <c r="P346" s="1804"/>
      <c r="Q346" s="1804"/>
      <c r="R346" s="1804"/>
      <c r="S346" s="1804"/>
      <c r="T346" s="1804"/>
      <c r="U346" s="1804"/>
      <c r="V346" s="1804"/>
      <c r="W346" s="1804"/>
      <c r="X346" s="1804"/>
      <c r="Y346" s="1804"/>
      <c r="Z346" s="1804"/>
      <c r="AA346" s="1804"/>
      <c r="AB346" s="1804"/>
      <c r="AC346" s="1804"/>
      <c r="AD346" s="1804"/>
      <c r="AE346" s="1804"/>
      <c r="AF346" s="1804"/>
      <c r="AG346" s="1804"/>
      <c r="AH346" s="1804"/>
      <c r="AI346" s="1804"/>
      <c r="AJ346" s="1804"/>
      <c r="AK346" s="1804"/>
      <c r="AL346" s="1804"/>
      <c r="AM346" s="1804"/>
      <c r="AN346" s="1804"/>
      <c r="AO346" s="1804"/>
      <c r="AP346" s="1804"/>
      <c r="AQ346" s="1804"/>
      <c r="AR346" s="1804"/>
      <c r="AS346" s="1804"/>
      <c r="AT346" s="1804"/>
      <c r="AU346" s="1804"/>
      <c r="AV346" s="1804"/>
      <c r="AW346" s="1804"/>
      <c r="AX346" s="1804"/>
      <c r="AY346" s="1804"/>
      <c r="AZ346" s="1804"/>
      <c r="BA346" s="1804"/>
      <c r="BB346" s="1804"/>
      <c r="BC346" s="1804"/>
      <c r="BD346" s="1804"/>
      <c r="BE346" s="1804"/>
      <c r="BF346" s="1804"/>
      <c r="BG346" s="1804"/>
      <c r="BH346" s="1804"/>
      <c r="BI346" s="1804"/>
      <c r="BJ346" s="1804"/>
      <c r="BK346" s="1804"/>
      <c r="BL346" s="1804"/>
      <c r="BM346" s="1804"/>
      <c r="BN346" s="1804"/>
      <c r="BO346" s="1804"/>
      <c r="BP346" s="1804"/>
      <c r="BQ346" s="1804"/>
      <c r="BR346" s="1804"/>
      <c r="BS346" s="1804"/>
      <c r="BT346" s="1804"/>
      <c r="BU346" s="1804"/>
      <c r="BV346" s="1804"/>
      <c r="BW346" s="1804"/>
      <c r="BX346" s="1804"/>
      <c r="BY346" s="1804"/>
      <c r="BZ346" s="1804"/>
      <c r="CA346" s="1804"/>
      <c r="CB346" s="1804"/>
      <c r="CC346" s="1804"/>
      <c r="CD346" s="1804"/>
      <c r="CE346" s="1804"/>
      <c r="CF346" s="1804"/>
      <c r="CG346" s="1804"/>
      <c r="CH346" s="1804"/>
      <c r="CI346" s="1804"/>
      <c r="CJ346" s="1804"/>
      <c r="CK346" s="1804"/>
      <c r="CL346" s="1804"/>
      <c r="CM346" s="1804"/>
      <c r="CN346" s="1804"/>
      <c r="CO346" s="1804"/>
      <c r="CP346" s="1804"/>
      <c r="CQ346" s="1804"/>
      <c r="CR346" s="1804"/>
      <c r="CS346" s="1804"/>
      <c r="CT346" s="1804"/>
      <c r="CU346" s="1804"/>
      <c r="CV346" s="1804"/>
      <c r="CW346" s="1804"/>
      <c r="CX346" s="1804"/>
      <c r="CY346" s="1804"/>
      <c r="CZ346" s="1804"/>
      <c r="DA346" s="1804"/>
      <c r="DB346" s="1804"/>
      <c r="DC346" s="1804"/>
      <c r="DD346" s="1804"/>
      <c r="DE346" s="1804"/>
      <c r="DF346" s="1804"/>
      <c r="DG346" s="1804"/>
      <c r="DH346" s="1804"/>
      <c r="DI346" s="1804"/>
      <c r="DJ346" s="1804"/>
      <c r="DK346" s="1804"/>
      <c r="DL346" s="1804"/>
      <c r="DM346" s="1804"/>
      <c r="DN346" s="1804"/>
      <c r="DO346" s="1804"/>
      <c r="DP346" s="1804"/>
      <c r="DQ346" s="1804"/>
      <c r="DR346" s="1804"/>
      <c r="DS346" s="1804"/>
      <c r="DT346" s="1804"/>
      <c r="DU346" s="1804"/>
      <c r="DV346" s="1804"/>
      <c r="DW346" s="1804"/>
      <c r="DX346" s="1804"/>
      <c r="DY346" s="1804"/>
      <c r="DZ346" s="1804"/>
      <c r="EA346" s="1804"/>
      <c r="EB346" s="1804"/>
      <c r="EC346" s="1804"/>
      <c r="ED346" s="1804"/>
      <c r="EE346" s="1804"/>
      <c r="EF346" s="1804"/>
      <c r="EG346" s="1804"/>
      <c r="EH346" s="1804"/>
      <c r="EI346" s="1804"/>
      <c r="EJ346" s="1804"/>
      <c r="EK346" s="1804"/>
      <c r="EL346" s="1804"/>
      <c r="EM346" s="1804"/>
      <c r="EN346" s="1804"/>
      <c r="EO346" s="1804"/>
      <c r="EP346" s="1804"/>
      <c r="EQ346" s="1804"/>
      <c r="ER346" s="1804"/>
      <c r="ES346" s="1804"/>
      <c r="ET346" s="1804"/>
      <c r="EU346" s="1804"/>
      <c r="EV346" s="1804"/>
      <c r="EW346" s="1804"/>
      <c r="EX346" s="1804"/>
      <c r="EY346" s="1804"/>
      <c r="EZ346" s="1804"/>
      <c r="FA346" s="1804"/>
      <c r="FB346" s="1804"/>
      <c r="FC346" s="1804"/>
      <c r="FD346" s="1804"/>
      <c r="FE346" s="1804"/>
      <c r="FF346" s="1804"/>
      <c r="FG346" s="1804"/>
      <c r="FH346" s="1804"/>
      <c r="FI346" s="1804"/>
      <c r="FJ346" s="1804"/>
      <c r="FK346" s="1804"/>
      <c r="FL346" s="1804"/>
      <c r="FM346" s="1804"/>
      <c r="FN346" s="1804"/>
      <c r="FO346" s="1804"/>
      <c r="FP346" s="1804"/>
      <c r="FQ346" s="1804"/>
      <c r="FR346" s="1804"/>
      <c r="FS346" s="1804"/>
      <c r="FT346" s="1804"/>
      <c r="FU346" s="1804"/>
      <c r="FV346" s="1804"/>
      <c r="FW346" s="1804"/>
      <c r="FX346" s="1804"/>
      <c r="FY346" s="1804"/>
      <c r="FZ346" s="1804"/>
      <c r="GA346" s="1804"/>
      <c r="GB346" s="1804"/>
      <c r="GC346" s="1804"/>
      <c r="GD346" s="1804"/>
      <c r="GE346" s="1804"/>
      <c r="GF346" s="1804"/>
      <c r="GG346" s="1804"/>
      <c r="GH346" s="1804"/>
      <c r="GI346" s="1804"/>
      <c r="GJ346" s="1804"/>
      <c r="GK346" s="1804"/>
      <c r="GL346" s="1804"/>
      <c r="GM346" s="1804"/>
      <c r="GN346" s="1804"/>
      <c r="GO346" s="1804"/>
      <c r="GP346" s="1804"/>
      <c r="GQ346" s="1804"/>
      <c r="GR346" s="1804"/>
      <c r="GS346" s="1804"/>
      <c r="GT346" s="1804"/>
      <c r="GU346" s="1804"/>
      <c r="GV346" s="1804"/>
      <c r="GW346" s="1804"/>
      <c r="GX346" s="1804"/>
      <c r="GY346" s="1804"/>
      <c r="GZ346" s="1804"/>
      <c r="HA346" s="1804"/>
      <c r="HB346" s="1804"/>
      <c r="HC346" s="1804"/>
      <c r="HD346" s="1804"/>
      <c r="HE346" s="1804"/>
      <c r="HF346" s="1804"/>
      <c r="HG346" s="1804"/>
      <c r="HH346" s="1804"/>
      <c r="HI346" s="1804"/>
      <c r="HJ346" s="1804"/>
      <c r="HK346" s="1804"/>
      <c r="HL346" s="1804"/>
      <c r="HM346" s="1804"/>
      <c r="HN346" s="1804"/>
      <c r="HO346" s="1804"/>
      <c r="HP346" s="1804"/>
      <c r="HQ346" s="1804"/>
      <c r="HR346" s="1804"/>
      <c r="HS346" s="1804"/>
      <c r="HT346" s="1804"/>
      <c r="HU346" s="1804"/>
      <c r="HV346" s="1804"/>
      <c r="HW346" s="1804"/>
      <c r="HX346" s="1804"/>
      <c r="HY346" s="1804"/>
      <c r="HZ346" s="1804"/>
      <c r="IA346" s="1804"/>
      <c r="IB346" s="1804"/>
      <c r="IC346" s="1804"/>
      <c r="ID346" s="1804"/>
      <c r="IE346" s="1804"/>
      <c r="IF346" s="1804"/>
      <c r="IG346" s="1804"/>
      <c r="IH346" s="1804"/>
      <c r="II346" s="1804"/>
      <c r="IJ346" s="1804"/>
      <c r="IK346" s="1804"/>
      <c r="IL346" s="1804"/>
      <c r="IM346" s="1804"/>
      <c r="IN346" s="1804"/>
      <c r="IO346" s="1804"/>
      <c r="IP346" s="1804"/>
      <c r="IQ346" s="1804"/>
      <c r="IR346" s="1804"/>
      <c r="IS346" s="1804"/>
      <c r="IT346" s="1804"/>
      <c r="IU346" s="1804"/>
      <c r="IV346" s="1804"/>
      <c r="IW346" s="1804"/>
    </row>
    <row r="347" spans="3:259" s="888" customFormat="1" x14ac:dyDescent="0.45">
      <c r="C347" s="51" t="s">
        <v>618</v>
      </c>
      <c r="D347" s="52" t="s">
        <v>619</v>
      </c>
      <c r="E347" s="53" t="s">
        <v>620</v>
      </c>
      <c r="F347" s="2341" t="s">
        <v>715</v>
      </c>
      <c r="G347" s="2309"/>
      <c r="H347" s="2309"/>
      <c r="I347" s="2309"/>
      <c r="J347" s="2309"/>
      <c r="K347" s="2309"/>
      <c r="L347" s="2309"/>
      <c r="M347" s="2309"/>
      <c r="N347" s="2309"/>
      <c r="O347" s="2342"/>
      <c r="P347" s="2341" t="s">
        <v>716</v>
      </c>
      <c r="Q347" s="2355"/>
      <c r="R347" s="2355"/>
      <c r="S347" s="2355"/>
      <c r="T347" s="2355"/>
      <c r="U347" s="2355"/>
      <c r="V347" s="2355"/>
      <c r="W347" s="2355"/>
      <c r="X347" s="2355"/>
      <c r="Y347" s="2356"/>
      <c r="Z347" s="1295" t="s">
        <v>1174</v>
      </c>
      <c r="AA347" s="1339"/>
      <c r="AB347" s="2341" t="s">
        <v>667</v>
      </c>
      <c r="AC347" s="2355"/>
      <c r="AD347" s="2355"/>
      <c r="AE347" s="2355"/>
      <c r="AF347" s="2355"/>
      <c r="AG347" s="2356"/>
      <c r="AH347" s="1804"/>
      <c r="AI347" s="1804"/>
      <c r="AJ347" s="1804"/>
      <c r="AK347" s="1804"/>
      <c r="AL347" s="1804"/>
      <c r="AM347" s="1804"/>
      <c r="AN347" s="1804"/>
      <c r="AO347" s="1804"/>
      <c r="AP347" s="1804"/>
      <c r="AQ347" s="1804"/>
      <c r="AR347" s="1804"/>
      <c r="AS347" s="1804"/>
      <c r="AT347" s="1804"/>
      <c r="AU347" s="1804"/>
      <c r="AV347" s="1804"/>
      <c r="AW347" s="1804"/>
      <c r="AX347" s="1804"/>
      <c r="AY347" s="1804"/>
      <c r="AZ347" s="1804"/>
      <c r="BA347" s="1804"/>
      <c r="BB347" s="1804"/>
      <c r="BC347" s="1804"/>
      <c r="BD347" s="1804"/>
      <c r="BE347" s="1804"/>
      <c r="BF347" s="1804"/>
      <c r="BG347" s="1804"/>
      <c r="BH347" s="1804"/>
      <c r="BI347" s="1804"/>
      <c r="BJ347" s="1804"/>
      <c r="BK347" s="1804"/>
      <c r="BL347" s="1804"/>
      <c r="BM347" s="1804"/>
      <c r="BN347" s="1804"/>
      <c r="BO347" s="1804"/>
      <c r="BP347" s="1804"/>
      <c r="BQ347" s="1804"/>
      <c r="BR347" s="1804"/>
      <c r="BS347" s="1804"/>
      <c r="BT347" s="1804"/>
      <c r="BU347" s="1804"/>
      <c r="BV347" s="1804"/>
      <c r="BW347" s="1804"/>
      <c r="BX347" s="1804"/>
      <c r="BY347" s="1804"/>
      <c r="BZ347" s="1804"/>
      <c r="CA347" s="1804"/>
      <c r="CB347" s="1804"/>
      <c r="CC347" s="1804"/>
      <c r="CD347" s="1804"/>
      <c r="CE347" s="1804"/>
      <c r="CF347" s="1804"/>
      <c r="CG347" s="1804"/>
      <c r="CH347" s="1804"/>
      <c r="CI347" s="1804"/>
      <c r="CJ347" s="1804"/>
      <c r="CK347" s="1804"/>
      <c r="CL347" s="1804"/>
      <c r="CM347" s="1804"/>
      <c r="CN347" s="1804"/>
      <c r="CO347" s="1804"/>
      <c r="CP347" s="1804"/>
      <c r="CQ347" s="1804"/>
      <c r="CR347" s="1804"/>
      <c r="CS347" s="1804"/>
      <c r="CT347" s="1804"/>
      <c r="CU347" s="1804"/>
      <c r="CV347" s="1804"/>
      <c r="CW347" s="1804"/>
      <c r="CX347" s="1804"/>
      <c r="CY347" s="1804"/>
      <c r="CZ347" s="1804"/>
      <c r="DA347" s="1804"/>
      <c r="DB347" s="1804"/>
      <c r="DC347" s="1804"/>
      <c r="DD347" s="1804"/>
      <c r="DE347" s="1804"/>
      <c r="DF347" s="1804"/>
      <c r="DG347" s="1804"/>
      <c r="DH347" s="1804"/>
      <c r="DI347" s="1804"/>
      <c r="DJ347" s="1804"/>
      <c r="DK347" s="1804"/>
      <c r="DL347" s="1804"/>
      <c r="DM347" s="1804"/>
      <c r="DN347" s="1804"/>
      <c r="DO347" s="1804"/>
      <c r="DP347" s="1804"/>
      <c r="DQ347" s="1804"/>
      <c r="DR347" s="1804"/>
      <c r="DS347" s="1804"/>
      <c r="DT347" s="1804"/>
      <c r="DU347" s="1804"/>
      <c r="DV347" s="1804"/>
      <c r="DW347" s="1804"/>
      <c r="DX347" s="1804"/>
      <c r="DY347" s="1804"/>
      <c r="DZ347" s="1804"/>
      <c r="EA347" s="1804"/>
      <c r="EB347" s="1804"/>
      <c r="EC347" s="1804"/>
      <c r="ED347" s="1804"/>
      <c r="EE347" s="1804"/>
      <c r="EF347" s="1804"/>
      <c r="EG347" s="1804"/>
      <c r="EH347" s="1804"/>
      <c r="EI347" s="1804"/>
      <c r="EJ347" s="1804"/>
      <c r="EK347" s="1804"/>
      <c r="EL347" s="1804"/>
      <c r="EM347" s="1804"/>
      <c r="EN347" s="1804"/>
      <c r="EO347" s="1804"/>
      <c r="EP347" s="1804"/>
      <c r="EQ347" s="1804"/>
      <c r="ER347" s="1804"/>
      <c r="ES347" s="1804"/>
      <c r="ET347" s="1804"/>
      <c r="EU347" s="1804"/>
      <c r="EV347" s="1804"/>
      <c r="EW347" s="1804"/>
      <c r="EX347" s="1804"/>
      <c r="EY347" s="1804"/>
      <c r="EZ347" s="1804"/>
      <c r="FA347" s="1804"/>
      <c r="FB347" s="1804"/>
      <c r="FC347" s="1804"/>
      <c r="FD347" s="1804"/>
      <c r="FE347" s="1804"/>
      <c r="FF347" s="1804"/>
      <c r="FG347" s="1804"/>
      <c r="FH347" s="1804"/>
      <c r="FI347" s="1804"/>
      <c r="FJ347" s="1804"/>
      <c r="FK347" s="1804"/>
      <c r="FL347" s="1804"/>
      <c r="FM347" s="1804"/>
      <c r="FN347" s="1804"/>
      <c r="FO347" s="1804"/>
      <c r="FP347" s="1804"/>
      <c r="FQ347" s="1804"/>
      <c r="FR347" s="1804"/>
      <c r="FS347" s="1804"/>
      <c r="FT347" s="1804"/>
      <c r="FU347" s="1804"/>
      <c r="FV347" s="1804"/>
      <c r="FW347" s="1804"/>
      <c r="FX347" s="1804"/>
      <c r="FY347" s="1804"/>
      <c r="FZ347" s="1804"/>
      <c r="GA347" s="1804"/>
      <c r="GB347" s="1804"/>
      <c r="GC347" s="1804"/>
      <c r="GD347" s="1804"/>
      <c r="GE347" s="1804"/>
      <c r="GF347" s="1804"/>
      <c r="GG347" s="1804"/>
      <c r="GH347" s="1804"/>
      <c r="GI347" s="1804"/>
      <c r="GJ347" s="1804"/>
      <c r="GK347" s="1804"/>
      <c r="GL347" s="1804"/>
      <c r="GM347" s="1804"/>
      <c r="GN347" s="1804"/>
      <c r="GO347" s="1804"/>
      <c r="GP347" s="1804"/>
      <c r="GQ347" s="1804"/>
      <c r="GR347" s="1804"/>
      <c r="GS347" s="1804"/>
      <c r="GT347" s="1804"/>
      <c r="GU347" s="1804"/>
      <c r="GV347" s="1804"/>
      <c r="GW347" s="1804"/>
      <c r="GX347" s="1804"/>
      <c r="GY347" s="1804"/>
      <c r="GZ347" s="1804"/>
      <c r="HA347" s="1804"/>
      <c r="HB347" s="1804"/>
      <c r="HC347" s="1804"/>
      <c r="HD347" s="1804"/>
      <c r="HE347" s="1804"/>
      <c r="HF347" s="1804"/>
      <c r="HG347" s="1804"/>
      <c r="HH347" s="1804"/>
      <c r="HI347" s="1804"/>
      <c r="HJ347" s="1804"/>
      <c r="HK347" s="1804"/>
      <c r="HL347" s="1804"/>
      <c r="HM347" s="1804"/>
      <c r="HN347" s="1804"/>
      <c r="HO347" s="1804"/>
      <c r="HP347" s="1804"/>
      <c r="HQ347" s="1804"/>
      <c r="HR347" s="1804"/>
      <c r="HS347" s="1804"/>
      <c r="HT347" s="1804"/>
      <c r="HU347" s="1804"/>
      <c r="HV347" s="1804"/>
      <c r="HW347" s="1804"/>
      <c r="HX347" s="1804"/>
      <c r="HY347" s="1804"/>
      <c r="HZ347" s="1804"/>
      <c r="IA347" s="1804"/>
      <c r="IB347" s="1804"/>
      <c r="IC347" s="1804"/>
      <c r="ID347" s="1804"/>
      <c r="IE347" s="1804"/>
      <c r="IF347" s="1804"/>
      <c r="IG347" s="1804"/>
      <c r="IH347" s="1804"/>
      <c r="II347" s="1804"/>
      <c r="IJ347" s="1804"/>
      <c r="IK347" s="1804"/>
      <c r="IL347" s="1804"/>
      <c r="IM347" s="1804"/>
      <c r="IN347" s="1804"/>
      <c r="IO347" s="1804"/>
      <c r="IP347" s="1804"/>
      <c r="IQ347" s="1804"/>
      <c r="IR347" s="1804"/>
      <c r="IS347" s="1804"/>
      <c r="IT347" s="1804"/>
      <c r="IU347" s="1804"/>
      <c r="IV347" s="1804"/>
      <c r="IW347" s="1804"/>
      <c r="IX347" s="1804"/>
      <c r="IY347" s="1804"/>
    </row>
    <row r="348" spans="3:259" s="888" customFormat="1" x14ac:dyDescent="0.45">
      <c r="C348" s="54"/>
      <c r="D348" s="55"/>
      <c r="E348" s="56"/>
      <c r="F348" s="2343" t="s">
        <v>717</v>
      </c>
      <c r="G348" s="2344"/>
      <c r="H348" s="2345" t="s">
        <v>718</v>
      </c>
      <c r="I348" s="2344"/>
      <c r="J348" s="2345" t="s">
        <v>719</v>
      </c>
      <c r="K348" s="2344"/>
      <c r="L348" s="2345" t="s">
        <v>720</v>
      </c>
      <c r="M348" s="2346"/>
      <c r="N348" s="2345" t="s">
        <v>721</v>
      </c>
      <c r="O348" s="2347"/>
      <c r="P348" s="2348" t="s">
        <v>722</v>
      </c>
      <c r="Q348" s="2349"/>
      <c r="R348" s="2350" t="s">
        <v>723</v>
      </c>
      <c r="S348" s="2349"/>
      <c r="T348" s="1296" t="s">
        <v>724</v>
      </c>
      <c r="U348" s="1296"/>
      <c r="V348" s="2351" t="s">
        <v>725</v>
      </c>
      <c r="W348" s="2350"/>
      <c r="X348" s="1340" t="s">
        <v>667</v>
      </c>
      <c r="Y348" s="1345"/>
      <c r="Z348" s="2352" t="s">
        <v>725</v>
      </c>
      <c r="AA348" s="2353"/>
      <c r="AB348" s="2354" t="s">
        <v>604</v>
      </c>
      <c r="AC348" s="2339"/>
      <c r="AD348" s="2338" t="s">
        <v>629</v>
      </c>
      <c r="AE348" s="2339"/>
      <c r="AF348" s="2338" t="s">
        <v>726</v>
      </c>
      <c r="AG348" s="2340"/>
      <c r="AH348" s="1804"/>
      <c r="AI348" s="1804"/>
      <c r="AJ348" s="1804"/>
      <c r="AK348" s="1804"/>
      <c r="AL348" s="1804"/>
      <c r="AM348" s="1804"/>
      <c r="AN348" s="1804"/>
      <c r="AO348" s="1804"/>
      <c r="AP348" s="1804"/>
      <c r="AQ348" s="1804"/>
      <c r="AR348" s="1804"/>
      <c r="AS348" s="1804"/>
      <c r="AT348" s="1804"/>
      <c r="AU348" s="1804"/>
      <c r="AV348" s="1804"/>
      <c r="AW348" s="1804"/>
      <c r="AX348" s="1804"/>
      <c r="AY348" s="1804"/>
      <c r="AZ348" s="1804"/>
      <c r="BA348" s="1804"/>
      <c r="BB348" s="1804"/>
      <c r="BC348" s="1804"/>
      <c r="BD348" s="1804"/>
      <c r="BE348" s="1804"/>
      <c r="BF348" s="1804"/>
      <c r="BG348" s="1804"/>
      <c r="BH348" s="1804"/>
      <c r="BI348" s="1804"/>
      <c r="BJ348" s="1804"/>
      <c r="BK348" s="1804"/>
      <c r="BL348" s="1804"/>
      <c r="BM348" s="1804"/>
      <c r="BN348" s="1804"/>
      <c r="BO348" s="1804"/>
      <c r="BP348" s="1804"/>
      <c r="BQ348" s="1804"/>
      <c r="BR348" s="1804"/>
      <c r="BS348" s="1804"/>
      <c r="BT348" s="1804"/>
      <c r="BU348" s="1804"/>
      <c r="BV348" s="1804"/>
      <c r="BW348" s="1804"/>
      <c r="BX348" s="1804"/>
      <c r="BY348" s="1804"/>
      <c r="BZ348" s="1804"/>
      <c r="CA348" s="1804"/>
      <c r="CB348" s="1804"/>
      <c r="CC348" s="1804"/>
      <c r="CD348" s="1804"/>
      <c r="CE348" s="1804"/>
      <c r="CF348" s="1804"/>
      <c r="CG348" s="1804"/>
      <c r="CH348" s="1804"/>
      <c r="CI348" s="1804"/>
      <c r="CJ348" s="1804"/>
      <c r="CK348" s="1804"/>
      <c r="CL348" s="1804"/>
      <c r="CM348" s="1804"/>
      <c r="CN348" s="1804"/>
      <c r="CO348" s="1804"/>
      <c r="CP348" s="1804"/>
      <c r="CQ348" s="1804"/>
      <c r="CR348" s="1804"/>
      <c r="CS348" s="1804"/>
      <c r="CT348" s="1804"/>
      <c r="CU348" s="1804"/>
      <c r="CV348" s="1804"/>
      <c r="CW348" s="1804"/>
      <c r="CX348" s="1804"/>
      <c r="CY348" s="1804"/>
      <c r="CZ348" s="1804"/>
      <c r="DA348" s="1804"/>
      <c r="DB348" s="1804"/>
      <c r="DC348" s="1804"/>
      <c r="DD348" s="1804"/>
      <c r="DE348" s="1804"/>
      <c r="DF348" s="1804"/>
      <c r="DG348" s="1804"/>
      <c r="DH348" s="1804"/>
      <c r="DI348" s="1804"/>
      <c r="DJ348" s="1804"/>
      <c r="DK348" s="1804"/>
      <c r="DL348" s="1804"/>
      <c r="DM348" s="1804"/>
      <c r="DN348" s="1804"/>
      <c r="DO348" s="1804"/>
      <c r="DP348" s="1804"/>
      <c r="DQ348" s="1804"/>
      <c r="DR348" s="1804"/>
      <c r="DS348" s="1804"/>
      <c r="DT348" s="1804"/>
      <c r="DU348" s="1804"/>
      <c r="DV348" s="1804"/>
      <c r="DW348" s="1804"/>
      <c r="DX348" s="1804"/>
      <c r="DY348" s="1804"/>
      <c r="DZ348" s="1804"/>
      <c r="EA348" s="1804"/>
      <c r="EB348" s="1804"/>
      <c r="EC348" s="1804"/>
      <c r="ED348" s="1804"/>
      <c r="EE348" s="1804"/>
      <c r="EF348" s="1804"/>
      <c r="EG348" s="1804"/>
      <c r="EH348" s="1804"/>
      <c r="EI348" s="1804"/>
      <c r="EJ348" s="1804"/>
      <c r="EK348" s="1804"/>
      <c r="EL348" s="1804"/>
      <c r="EM348" s="1804"/>
      <c r="EN348" s="1804"/>
      <c r="EO348" s="1804"/>
      <c r="EP348" s="1804"/>
      <c r="EQ348" s="1804"/>
      <c r="ER348" s="1804"/>
      <c r="ES348" s="1804"/>
      <c r="ET348" s="1804"/>
      <c r="EU348" s="1804"/>
      <c r="EV348" s="1804"/>
      <c r="EW348" s="1804"/>
      <c r="EX348" s="1804"/>
      <c r="EY348" s="1804"/>
      <c r="EZ348" s="1804"/>
      <c r="FA348" s="1804"/>
      <c r="FB348" s="1804"/>
      <c r="FC348" s="1804"/>
      <c r="FD348" s="1804"/>
      <c r="FE348" s="1804"/>
      <c r="FF348" s="1804"/>
      <c r="FG348" s="1804"/>
      <c r="FH348" s="1804"/>
      <c r="FI348" s="1804"/>
      <c r="FJ348" s="1804"/>
      <c r="FK348" s="1804"/>
      <c r="FL348" s="1804"/>
      <c r="FM348" s="1804"/>
      <c r="FN348" s="1804"/>
      <c r="FO348" s="1804"/>
      <c r="FP348" s="1804"/>
      <c r="FQ348" s="1804"/>
      <c r="FR348" s="1804"/>
      <c r="FS348" s="1804"/>
      <c r="FT348" s="1804"/>
      <c r="FU348" s="1804"/>
      <c r="FV348" s="1804"/>
      <c r="FW348" s="1804"/>
      <c r="FX348" s="1804"/>
      <c r="FY348" s="1804"/>
      <c r="FZ348" s="1804"/>
      <c r="GA348" s="1804"/>
      <c r="GB348" s="1804"/>
      <c r="GC348" s="1804"/>
      <c r="GD348" s="1804"/>
      <c r="GE348" s="1804"/>
      <c r="GF348" s="1804"/>
      <c r="GG348" s="1804"/>
      <c r="GH348" s="1804"/>
      <c r="GI348" s="1804"/>
      <c r="GJ348" s="1804"/>
      <c r="GK348" s="1804"/>
      <c r="GL348" s="1804"/>
      <c r="GM348" s="1804"/>
      <c r="GN348" s="1804"/>
      <c r="GO348" s="1804"/>
      <c r="GP348" s="1804"/>
      <c r="GQ348" s="1804"/>
      <c r="GR348" s="1804"/>
      <c r="GS348" s="1804"/>
      <c r="GT348" s="1804"/>
      <c r="GU348" s="1804"/>
      <c r="GV348" s="1804"/>
      <c r="GW348" s="1804"/>
      <c r="GX348" s="1804"/>
      <c r="GY348" s="1804"/>
      <c r="GZ348" s="1804"/>
      <c r="HA348" s="1804"/>
      <c r="HB348" s="1804"/>
      <c r="HC348" s="1804"/>
      <c r="HD348" s="1804"/>
      <c r="HE348" s="1804"/>
      <c r="HF348" s="1804"/>
      <c r="HG348" s="1804"/>
      <c r="HH348" s="1804"/>
      <c r="HI348" s="1804"/>
      <c r="HJ348" s="1804"/>
      <c r="HK348" s="1804"/>
      <c r="HL348" s="1804"/>
      <c r="HM348" s="1804"/>
      <c r="HN348" s="1804"/>
      <c r="HO348" s="1804"/>
      <c r="HP348" s="1804"/>
      <c r="HQ348" s="1804"/>
      <c r="HR348" s="1804"/>
      <c r="HS348" s="1804"/>
      <c r="HT348" s="1804"/>
      <c r="HU348" s="1804"/>
      <c r="HV348" s="1804"/>
      <c r="HW348" s="1804"/>
      <c r="HX348" s="1804"/>
      <c r="HY348" s="1804"/>
      <c r="HZ348" s="1804"/>
      <c r="IA348" s="1804"/>
      <c r="IB348" s="1804"/>
      <c r="IC348" s="1804"/>
      <c r="ID348" s="1804"/>
      <c r="IE348" s="1804"/>
      <c r="IF348" s="1804"/>
      <c r="IG348" s="1804"/>
      <c r="IH348" s="1804"/>
      <c r="II348" s="1804"/>
      <c r="IJ348" s="1804"/>
      <c r="IK348" s="1804"/>
      <c r="IL348" s="1804"/>
      <c r="IM348" s="1804"/>
      <c r="IN348" s="1804"/>
      <c r="IO348" s="1804"/>
      <c r="IP348" s="1804"/>
      <c r="IQ348" s="1804"/>
      <c r="IR348" s="1804"/>
      <c r="IS348" s="1804"/>
      <c r="IT348" s="1804"/>
      <c r="IU348" s="1804"/>
      <c r="IV348" s="1804"/>
      <c r="IW348" s="1804"/>
      <c r="IX348" s="1804"/>
      <c r="IY348" s="1804"/>
    </row>
    <row r="349" spans="3:259" s="888" customFormat="1" ht="15.75" thickBot="1" x14ac:dyDescent="0.6">
      <c r="C349" s="60"/>
      <c r="D349" s="61"/>
      <c r="E349" s="62"/>
      <c r="F349" s="1343" t="s">
        <v>115</v>
      </c>
      <c r="G349" s="595" t="s">
        <v>705</v>
      </c>
      <c r="H349" s="1344" t="s">
        <v>115</v>
      </c>
      <c r="I349" s="595" t="s">
        <v>705</v>
      </c>
      <c r="J349" s="1344" t="s">
        <v>115</v>
      </c>
      <c r="K349" s="595" t="s">
        <v>705</v>
      </c>
      <c r="L349" s="1344" t="s">
        <v>115</v>
      </c>
      <c r="M349" s="595" t="s">
        <v>705</v>
      </c>
      <c r="N349" s="1344" t="s">
        <v>115</v>
      </c>
      <c r="O349" s="1342" t="s">
        <v>705</v>
      </c>
      <c r="P349" s="1343" t="s">
        <v>115</v>
      </c>
      <c r="Q349" s="595" t="s">
        <v>705</v>
      </c>
      <c r="R349" s="1344" t="s">
        <v>115</v>
      </c>
      <c r="S349" s="595" t="s">
        <v>705</v>
      </c>
      <c r="T349" s="1344" t="s">
        <v>115</v>
      </c>
      <c r="U349" s="1336" t="s">
        <v>705</v>
      </c>
      <c r="V349" s="64" t="s">
        <v>115</v>
      </c>
      <c r="W349" s="1336" t="s">
        <v>705</v>
      </c>
      <c r="X349" s="1334" t="s">
        <v>115</v>
      </c>
      <c r="Y349" s="124" t="s">
        <v>705</v>
      </c>
      <c r="Z349" s="1341" t="s">
        <v>1662</v>
      </c>
      <c r="AA349" s="1342" t="s">
        <v>590</v>
      </c>
      <c r="AB349" s="1343" t="s">
        <v>115</v>
      </c>
      <c r="AC349" s="595" t="s">
        <v>705</v>
      </c>
      <c r="AD349" s="1344" t="s">
        <v>115</v>
      </c>
      <c r="AE349" s="595" t="s">
        <v>705</v>
      </c>
      <c r="AF349" s="1344" t="s">
        <v>115</v>
      </c>
      <c r="AG349" s="1346" t="s">
        <v>705</v>
      </c>
      <c r="AH349" s="1804"/>
      <c r="AI349" s="1804"/>
      <c r="AJ349" s="1804"/>
      <c r="AK349" s="1804"/>
      <c r="AL349" s="1804"/>
      <c r="AM349" s="1804"/>
      <c r="AN349" s="1804"/>
      <c r="AO349" s="1804"/>
      <c r="AP349" s="1804"/>
      <c r="AQ349" s="1804"/>
      <c r="AR349" s="1804"/>
      <c r="AS349" s="1804"/>
      <c r="AT349" s="1804"/>
      <c r="AU349" s="1804"/>
      <c r="AV349" s="1804"/>
      <c r="AW349" s="1804"/>
      <c r="AX349" s="1804"/>
      <c r="AY349" s="1804"/>
      <c r="AZ349" s="1804"/>
      <c r="BA349" s="1804"/>
      <c r="BB349" s="1804"/>
      <c r="BC349" s="1804"/>
      <c r="BD349" s="1804"/>
      <c r="BE349" s="1804"/>
      <c r="BF349" s="1804"/>
      <c r="BG349" s="1804"/>
      <c r="BH349" s="1804"/>
      <c r="BI349" s="1804"/>
      <c r="BJ349" s="1804"/>
      <c r="BK349" s="1804"/>
      <c r="BL349" s="1804"/>
      <c r="BM349" s="1804"/>
      <c r="BN349" s="1804"/>
      <c r="BO349" s="1804"/>
      <c r="BP349" s="1804"/>
      <c r="BQ349" s="1804"/>
      <c r="BR349" s="1804"/>
      <c r="BS349" s="1804"/>
      <c r="BT349" s="1804"/>
      <c r="BU349" s="1804"/>
      <c r="BV349" s="1804"/>
      <c r="BW349" s="1804"/>
      <c r="BX349" s="1804"/>
      <c r="BY349" s="1804"/>
      <c r="BZ349" s="1804"/>
      <c r="CA349" s="1804"/>
      <c r="CB349" s="1804"/>
      <c r="CC349" s="1804"/>
      <c r="CD349" s="1804"/>
      <c r="CE349" s="1804"/>
      <c r="CF349" s="1804"/>
      <c r="CG349" s="1804"/>
      <c r="CH349" s="1804"/>
      <c r="CI349" s="1804"/>
      <c r="CJ349" s="1804"/>
      <c r="CK349" s="1804"/>
      <c r="CL349" s="1804"/>
      <c r="CM349" s="1804"/>
      <c r="CN349" s="1804"/>
      <c r="CO349" s="1804"/>
      <c r="CP349" s="1804"/>
      <c r="CQ349" s="1804"/>
      <c r="CR349" s="1804"/>
      <c r="CS349" s="1804"/>
      <c r="CT349" s="1804"/>
      <c r="CU349" s="1804"/>
      <c r="CV349" s="1804"/>
      <c r="CW349" s="1804"/>
      <c r="CX349" s="1804"/>
      <c r="CY349" s="1804"/>
      <c r="CZ349" s="1804"/>
      <c r="DA349" s="1804"/>
      <c r="DB349" s="1804"/>
      <c r="DC349" s="1804"/>
      <c r="DD349" s="1804"/>
      <c r="DE349" s="1804"/>
      <c r="DF349" s="1804"/>
      <c r="DG349" s="1804"/>
      <c r="DH349" s="1804"/>
      <c r="DI349" s="1804"/>
      <c r="DJ349" s="1804"/>
      <c r="DK349" s="1804"/>
      <c r="DL349" s="1804"/>
      <c r="DM349" s="1804"/>
      <c r="DN349" s="1804"/>
      <c r="DO349" s="1804"/>
      <c r="DP349" s="1804"/>
      <c r="DQ349" s="1804"/>
      <c r="DR349" s="1804"/>
      <c r="DS349" s="1804"/>
      <c r="DT349" s="1804"/>
      <c r="DU349" s="1804"/>
      <c r="DV349" s="1804"/>
      <c r="DW349" s="1804"/>
      <c r="DX349" s="1804"/>
      <c r="DY349" s="1804"/>
      <c r="DZ349" s="1804"/>
      <c r="EA349" s="1804"/>
      <c r="EB349" s="1804"/>
      <c r="EC349" s="1804"/>
      <c r="ED349" s="1804"/>
      <c r="EE349" s="1804"/>
      <c r="EF349" s="1804"/>
      <c r="EG349" s="1804"/>
      <c r="EH349" s="1804"/>
      <c r="EI349" s="1804"/>
      <c r="EJ349" s="1804"/>
      <c r="EK349" s="1804"/>
      <c r="EL349" s="1804"/>
      <c r="EM349" s="1804"/>
      <c r="EN349" s="1804"/>
      <c r="EO349" s="1804"/>
      <c r="EP349" s="1804"/>
      <c r="EQ349" s="1804"/>
      <c r="ER349" s="1804"/>
      <c r="ES349" s="1804"/>
      <c r="ET349" s="1804"/>
      <c r="EU349" s="1804"/>
      <c r="EV349" s="1804"/>
      <c r="EW349" s="1804"/>
      <c r="EX349" s="1804"/>
      <c r="EY349" s="1804"/>
      <c r="EZ349" s="1804"/>
      <c r="FA349" s="1804"/>
      <c r="FB349" s="1804"/>
      <c r="FC349" s="1804"/>
      <c r="FD349" s="1804"/>
      <c r="FE349" s="1804"/>
      <c r="FF349" s="1804"/>
      <c r="FG349" s="1804"/>
      <c r="FH349" s="1804"/>
      <c r="FI349" s="1804"/>
      <c r="FJ349" s="1804"/>
      <c r="FK349" s="1804"/>
      <c r="FL349" s="1804"/>
      <c r="FM349" s="1804"/>
      <c r="FN349" s="1804"/>
      <c r="FO349" s="1804"/>
      <c r="FP349" s="1804"/>
      <c r="FQ349" s="1804"/>
      <c r="FR349" s="1804"/>
      <c r="FS349" s="1804"/>
      <c r="FT349" s="1804"/>
      <c r="FU349" s="1804"/>
      <c r="FV349" s="1804"/>
      <c r="FW349" s="1804"/>
      <c r="FX349" s="1804"/>
      <c r="FY349" s="1804"/>
      <c r="FZ349" s="1804"/>
      <c r="GA349" s="1804"/>
      <c r="GB349" s="1804"/>
      <c r="GC349" s="1804"/>
      <c r="GD349" s="1804"/>
      <c r="GE349" s="1804"/>
      <c r="GF349" s="1804"/>
      <c r="GG349" s="1804"/>
      <c r="GH349" s="1804"/>
      <c r="GI349" s="1804"/>
      <c r="GJ349" s="1804"/>
      <c r="GK349" s="1804"/>
      <c r="GL349" s="1804"/>
      <c r="GM349" s="1804"/>
      <c r="GN349" s="1804"/>
      <c r="GO349" s="1804"/>
      <c r="GP349" s="1804"/>
      <c r="GQ349" s="1804"/>
      <c r="GR349" s="1804"/>
      <c r="GS349" s="1804"/>
      <c r="GT349" s="1804"/>
      <c r="GU349" s="1804"/>
      <c r="GV349" s="1804"/>
      <c r="GW349" s="1804"/>
      <c r="GX349" s="1804"/>
      <c r="GY349" s="1804"/>
      <c r="GZ349" s="1804"/>
      <c r="HA349" s="1804"/>
      <c r="HB349" s="1804"/>
      <c r="HC349" s="1804"/>
      <c r="HD349" s="1804"/>
      <c r="HE349" s="1804"/>
      <c r="HF349" s="1804"/>
      <c r="HG349" s="1804"/>
      <c r="HH349" s="1804"/>
      <c r="HI349" s="1804"/>
      <c r="HJ349" s="1804"/>
      <c r="HK349" s="1804"/>
      <c r="HL349" s="1804"/>
      <c r="HM349" s="1804"/>
      <c r="HN349" s="1804"/>
      <c r="HO349" s="1804"/>
      <c r="HP349" s="1804"/>
      <c r="HQ349" s="1804"/>
      <c r="HR349" s="1804"/>
      <c r="HS349" s="1804"/>
      <c r="HT349" s="1804"/>
      <c r="HU349" s="1804"/>
      <c r="HV349" s="1804"/>
      <c r="HW349" s="1804"/>
      <c r="HX349" s="1804"/>
      <c r="HY349" s="1804"/>
      <c r="HZ349" s="1804"/>
      <c r="IA349" s="1804"/>
      <c r="IB349" s="1804"/>
      <c r="IC349" s="1804"/>
      <c r="ID349" s="1804"/>
      <c r="IE349" s="1804"/>
      <c r="IF349" s="1804"/>
      <c r="IG349" s="1804"/>
      <c r="IH349" s="1804"/>
      <c r="II349" s="1804"/>
      <c r="IJ349" s="1804"/>
      <c r="IK349" s="1804"/>
      <c r="IL349" s="1804"/>
      <c r="IM349" s="1804"/>
      <c r="IN349" s="1804"/>
      <c r="IO349" s="1804"/>
      <c r="IP349" s="1804"/>
      <c r="IQ349" s="1804"/>
      <c r="IR349" s="1804"/>
      <c r="IS349" s="1804"/>
      <c r="IT349" s="1804"/>
      <c r="IU349" s="1804"/>
      <c r="IV349" s="1804"/>
      <c r="IW349" s="1804"/>
      <c r="IX349" s="1804"/>
      <c r="IY349" s="1804"/>
    </row>
    <row r="350" spans="3:259" s="888" customFormat="1" x14ac:dyDescent="0.45">
      <c r="C350" s="67" t="s">
        <v>528</v>
      </c>
      <c r="D350" s="68" t="s">
        <v>630</v>
      </c>
      <c r="E350" s="69"/>
      <c r="F350" s="125">
        <v>705881.58104549709</v>
      </c>
      <c r="G350" s="126">
        <f t="shared" ref="G350:G382" si="55">(F350*EF_CO2_GasOil*ConFact_0.001)+(F350*EF_N2O_GasOil*ConFact_0.001)+(F350*EF_CH4_GasOil*ConFact_0.001)</f>
        <v>181.20686067018954</v>
      </c>
      <c r="H350" s="118">
        <v>21330976.232467465</v>
      </c>
      <c r="I350" s="127">
        <f t="shared" ref="I350:I382" si="56">H350*(EF_GHG_ElectGen+EF_GHG_ElectTD)*ConFact_0.001</f>
        <v>5400.7898722984373</v>
      </c>
      <c r="J350" s="121">
        <f>F350+H350</f>
        <v>22036857.813512962</v>
      </c>
      <c r="K350" s="128">
        <f>G350+I350</f>
        <v>5581.9967329686269</v>
      </c>
      <c r="L350" s="125">
        <v>5467508.2856621314</v>
      </c>
      <c r="M350" s="126">
        <f t="shared" ref="M350:M382" si="57">(L350*EF_CO2_GasOil*ConFact_0.001)+(L350*EF_N2O_GasOil*ConFact_0.001)+(L350*EF_CH4_GasOil*ConFact_0.001)</f>
        <v>1403.5640520123256</v>
      </c>
      <c r="N350" s="126">
        <f>J350+L350</f>
        <v>27504366.099175096</v>
      </c>
      <c r="O350" s="126">
        <f>K350+M350</f>
        <v>6985.560784980953</v>
      </c>
      <c r="P350" s="118">
        <v>23592206.213702563</v>
      </c>
      <c r="Q350" s="126">
        <f t="shared" ref="Q350:Q382" si="58">P350*(EF_GHG_ElectGen+EF_GHG_ElectTD)*ConFact_0.001</f>
        <v>5973.3106912473513</v>
      </c>
      <c r="R350" s="95">
        <v>0</v>
      </c>
      <c r="S350" s="126">
        <f t="shared" ref="S350:S382" si="59">R350*(EF_GHG_ElectGen+EF_GHG_ElectTD)*ConFact_0.001</f>
        <v>0</v>
      </c>
      <c r="T350" s="1335">
        <v>0</v>
      </c>
      <c r="U350" s="126">
        <f t="shared" ref="U350:U382" si="60">T350*(EF_GHG_ElectGen+EF_GHG_ElectTD)*ConFact_0.001</f>
        <v>0</v>
      </c>
      <c r="V350" s="129"/>
      <c r="W350" s="129"/>
      <c r="X350" s="130">
        <f t="shared" ref="X350:X383" si="61">P350+R350+T350+V350</f>
        <v>23592206.213702563</v>
      </c>
      <c r="Y350" s="130">
        <f t="shared" ref="Y350:Y383" si="62">Q350+S350+U350+W350</f>
        <v>5973.3106912473513</v>
      </c>
      <c r="Z350" s="129"/>
      <c r="AA350" s="129"/>
      <c r="AB350" s="131">
        <f t="shared" ref="AB350:AB383" si="63">L350+F350+Z350</f>
        <v>6173389.8667076286</v>
      </c>
      <c r="AC350" s="132">
        <f t="shared" ref="AC350:AC383" si="64">G350+M350+AA350</f>
        <v>1584.7709126825152</v>
      </c>
      <c r="AD350" s="132">
        <f t="shared" ref="AD350:AD383" si="65">H350+X350</f>
        <v>44923182.446170032</v>
      </c>
      <c r="AE350" s="132">
        <f t="shared" ref="AE350:AE383" si="66">Y350+I350</f>
        <v>11374.100563545788</v>
      </c>
      <c r="AF350" s="133">
        <f>AB350+AD350</f>
        <v>51096572.312877662</v>
      </c>
      <c r="AG350" s="134">
        <f>AC350+AE350</f>
        <v>12958.871476228303</v>
      </c>
      <c r="AH350" s="1804"/>
      <c r="AI350" s="1804"/>
      <c r="AJ350" s="1804"/>
      <c r="AK350" s="1804"/>
      <c r="AL350" s="1804"/>
      <c r="AM350" s="1804"/>
      <c r="AN350" s="1804"/>
      <c r="AO350" s="1804"/>
      <c r="AP350" s="1804"/>
      <c r="AQ350" s="1804"/>
      <c r="AR350" s="1804"/>
      <c r="AS350" s="1804"/>
      <c r="AT350" s="1804"/>
      <c r="AU350" s="1804"/>
      <c r="AV350" s="1804"/>
      <c r="AW350" s="1804"/>
      <c r="AX350" s="1804"/>
      <c r="AY350" s="1804"/>
      <c r="AZ350" s="1804"/>
      <c r="BA350" s="1804"/>
      <c r="BB350" s="1804"/>
      <c r="BC350" s="1804"/>
      <c r="BD350" s="1804"/>
      <c r="BE350" s="1804"/>
      <c r="BF350" s="1804"/>
      <c r="BG350" s="1804"/>
      <c r="BH350" s="1804"/>
      <c r="BI350" s="1804"/>
      <c r="BJ350" s="1804"/>
      <c r="BK350" s="1804"/>
      <c r="BL350" s="1804"/>
      <c r="BM350" s="1804"/>
      <c r="BN350" s="1804"/>
      <c r="BO350" s="1804"/>
      <c r="BP350" s="1804"/>
      <c r="BQ350" s="1804"/>
      <c r="BR350" s="1804"/>
      <c r="BS350" s="1804"/>
      <c r="BT350" s="1804"/>
      <c r="BU350" s="1804"/>
      <c r="BV350" s="1804"/>
      <c r="BW350" s="1804"/>
      <c r="BX350" s="1804"/>
      <c r="BY350" s="1804"/>
      <c r="BZ350" s="1804"/>
      <c r="CA350" s="1804"/>
      <c r="CB350" s="1804"/>
      <c r="CC350" s="1804"/>
      <c r="CD350" s="1804"/>
      <c r="CE350" s="1804"/>
      <c r="CF350" s="1804"/>
      <c r="CG350" s="1804"/>
      <c r="CH350" s="1804"/>
      <c r="CI350" s="1804"/>
      <c r="CJ350" s="1804"/>
      <c r="CK350" s="1804"/>
      <c r="CL350" s="1804"/>
      <c r="CM350" s="1804"/>
      <c r="CN350" s="1804"/>
      <c r="CO350" s="1804"/>
      <c r="CP350" s="1804"/>
      <c r="CQ350" s="1804"/>
      <c r="CR350" s="1804"/>
      <c r="CS350" s="1804"/>
      <c r="CT350" s="1804"/>
      <c r="CU350" s="1804"/>
      <c r="CV350" s="1804"/>
      <c r="CW350" s="1804"/>
      <c r="CX350" s="1804"/>
      <c r="CY350" s="1804"/>
      <c r="CZ350" s="1804"/>
      <c r="DA350" s="1804"/>
      <c r="DB350" s="1804"/>
      <c r="DC350" s="1804"/>
      <c r="DD350" s="1804"/>
      <c r="DE350" s="1804"/>
      <c r="DF350" s="1804"/>
      <c r="DG350" s="1804"/>
      <c r="DH350" s="1804"/>
      <c r="DI350" s="1804"/>
      <c r="DJ350" s="1804"/>
      <c r="DK350" s="1804"/>
      <c r="DL350" s="1804"/>
      <c r="DM350" s="1804"/>
      <c r="DN350" s="1804"/>
      <c r="DO350" s="1804"/>
      <c r="DP350" s="1804"/>
      <c r="DQ350" s="1804"/>
      <c r="DR350" s="1804"/>
      <c r="DS350" s="1804"/>
      <c r="DT350" s="1804"/>
      <c r="DU350" s="1804"/>
      <c r="DV350" s="1804"/>
      <c r="DW350" s="1804"/>
      <c r="DX350" s="1804"/>
      <c r="DY350" s="1804"/>
      <c r="DZ350" s="1804"/>
      <c r="EA350" s="1804"/>
      <c r="EB350" s="1804"/>
      <c r="EC350" s="1804"/>
      <c r="ED350" s="1804"/>
      <c r="EE350" s="1804"/>
      <c r="EF350" s="1804"/>
      <c r="EG350" s="1804"/>
      <c r="EH350" s="1804"/>
      <c r="EI350" s="1804"/>
      <c r="EJ350" s="1804"/>
      <c r="EK350" s="1804"/>
      <c r="EL350" s="1804"/>
      <c r="EM350" s="1804"/>
      <c r="EN350" s="1804"/>
      <c r="EO350" s="1804"/>
      <c r="EP350" s="1804"/>
      <c r="EQ350" s="1804"/>
      <c r="ER350" s="1804"/>
      <c r="ES350" s="1804"/>
      <c r="ET350" s="1804"/>
      <c r="EU350" s="1804"/>
      <c r="EV350" s="1804"/>
      <c r="EW350" s="1804"/>
      <c r="EX350" s="1804"/>
      <c r="EY350" s="1804"/>
      <c r="EZ350" s="1804"/>
      <c r="FA350" s="1804"/>
      <c r="FB350" s="1804"/>
      <c r="FC350" s="1804"/>
      <c r="FD350" s="1804"/>
      <c r="FE350" s="1804"/>
      <c r="FF350" s="1804"/>
      <c r="FG350" s="1804"/>
      <c r="FH350" s="1804"/>
      <c r="FI350" s="1804"/>
      <c r="FJ350" s="1804"/>
      <c r="FK350" s="1804"/>
      <c r="FL350" s="1804"/>
      <c r="FM350" s="1804"/>
      <c r="FN350" s="1804"/>
      <c r="FO350" s="1804"/>
      <c r="FP350" s="1804"/>
      <c r="FQ350" s="1804"/>
      <c r="FR350" s="1804"/>
      <c r="FS350" s="1804"/>
      <c r="FT350" s="1804"/>
      <c r="FU350" s="1804"/>
      <c r="FV350" s="1804"/>
      <c r="FW350" s="1804"/>
      <c r="FX350" s="1804"/>
      <c r="FY350" s="1804"/>
      <c r="FZ350" s="1804"/>
      <c r="GA350" s="1804"/>
      <c r="GB350" s="1804"/>
      <c r="GC350" s="1804"/>
      <c r="GD350" s="1804"/>
      <c r="GE350" s="1804"/>
      <c r="GF350" s="1804"/>
      <c r="GG350" s="1804"/>
      <c r="GH350" s="1804"/>
      <c r="GI350" s="1804"/>
      <c r="GJ350" s="1804"/>
      <c r="GK350" s="1804"/>
      <c r="GL350" s="1804"/>
      <c r="GM350" s="1804"/>
      <c r="GN350" s="1804"/>
      <c r="GO350" s="1804"/>
      <c r="GP350" s="1804"/>
      <c r="GQ350" s="1804"/>
      <c r="GR350" s="1804"/>
      <c r="GS350" s="1804"/>
      <c r="GT350" s="1804"/>
      <c r="GU350" s="1804"/>
      <c r="GV350" s="1804"/>
      <c r="GW350" s="1804"/>
      <c r="GX350" s="1804"/>
      <c r="GY350" s="1804"/>
      <c r="GZ350" s="1804"/>
      <c r="HA350" s="1804"/>
      <c r="HB350" s="1804"/>
      <c r="HC350" s="1804"/>
      <c r="HD350" s="1804"/>
      <c r="HE350" s="1804"/>
      <c r="HF350" s="1804"/>
      <c r="HG350" s="1804"/>
      <c r="HH350" s="1804"/>
      <c r="HI350" s="1804"/>
      <c r="HJ350" s="1804"/>
      <c r="HK350" s="1804"/>
      <c r="HL350" s="1804"/>
      <c r="HM350" s="1804"/>
      <c r="HN350" s="1804"/>
      <c r="HO350" s="1804"/>
      <c r="HP350" s="1804"/>
      <c r="HQ350" s="1804"/>
      <c r="HR350" s="1804"/>
      <c r="HS350" s="1804"/>
      <c r="HT350" s="1804"/>
      <c r="HU350" s="1804"/>
      <c r="HV350" s="1804"/>
      <c r="HW350" s="1804"/>
      <c r="HX350" s="1804"/>
      <c r="HY350" s="1804"/>
      <c r="HZ350" s="1804"/>
      <c r="IA350" s="1804"/>
      <c r="IB350" s="1804"/>
      <c r="IC350" s="1804"/>
      <c r="ID350" s="1804"/>
      <c r="IE350" s="1804"/>
      <c r="IF350" s="1804"/>
      <c r="IG350" s="1804"/>
      <c r="IH350" s="1804"/>
      <c r="II350" s="1804"/>
      <c r="IJ350" s="1804"/>
      <c r="IK350" s="1804"/>
      <c r="IL350" s="1804"/>
      <c r="IM350" s="1804"/>
      <c r="IN350" s="1804"/>
      <c r="IO350" s="1804"/>
      <c r="IP350" s="1804"/>
      <c r="IQ350" s="1804"/>
      <c r="IR350" s="1804"/>
      <c r="IS350" s="1804"/>
      <c r="IT350" s="1804"/>
      <c r="IU350" s="1804"/>
      <c r="IV350" s="1804"/>
      <c r="IW350" s="1804"/>
      <c r="IX350" s="1804"/>
      <c r="IY350" s="1804"/>
    </row>
    <row r="351" spans="3:259" s="888" customFormat="1" x14ac:dyDescent="0.45">
      <c r="C351" s="67" t="s">
        <v>529</v>
      </c>
      <c r="D351" s="68" t="s">
        <v>631</v>
      </c>
      <c r="E351" s="69"/>
      <c r="F351" s="125">
        <v>17230354.522876423</v>
      </c>
      <c r="G351" s="126">
        <f t="shared" si="55"/>
        <v>4423.2043095676063</v>
      </c>
      <c r="H351" s="118">
        <v>23298989.166996542</v>
      </c>
      <c r="I351" s="127">
        <f t="shared" si="56"/>
        <v>5899.0710671918541</v>
      </c>
      <c r="J351" s="121">
        <f t="shared" ref="J351:K382" si="67">F351+H351</f>
        <v>40529343.689872965</v>
      </c>
      <c r="K351" s="128">
        <f t="shared" si="67"/>
        <v>10322.27537675946</v>
      </c>
      <c r="L351" s="125">
        <v>2384270.6405990045</v>
      </c>
      <c r="M351" s="126">
        <f t="shared" si="57"/>
        <v>612.06611614817041</v>
      </c>
      <c r="N351" s="126">
        <f t="shared" ref="N351:O382" si="68">J351+L351</f>
        <v>42913614.33047197</v>
      </c>
      <c r="O351" s="126">
        <f t="shared" si="68"/>
        <v>10934.341492907632</v>
      </c>
      <c r="P351" s="118">
        <v>57024402.695375055</v>
      </c>
      <c r="Q351" s="126">
        <f t="shared" si="58"/>
        <v>14438.00851844201</v>
      </c>
      <c r="R351" s="95">
        <v>0</v>
      </c>
      <c r="S351" s="126">
        <f t="shared" si="59"/>
        <v>0</v>
      </c>
      <c r="T351" s="95">
        <v>0</v>
      </c>
      <c r="U351" s="126">
        <f t="shared" si="60"/>
        <v>0</v>
      </c>
      <c r="V351" s="129"/>
      <c r="W351" s="129"/>
      <c r="X351" s="130">
        <f t="shared" si="61"/>
        <v>57024402.695375055</v>
      </c>
      <c r="Y351" s="130">
        <f t="shared" si="62"/>
        <v>14438.00851844201</v>
      </c>
      <c r="Z351" s="129"/>
      <c r="AA351" s="129"/>
      <c r="AB351" s="131">
        <f t="shared" si="63"/>
        <v>19614625.163475428</v>
      </c>
      <c r="AC351" s="132">
        <f t="shared" si="64"/>
        <v>5035.2704257157766</v>
      </c>
      <c r="AD351" s="132">
        <f t="shared" si="65"/>
        <v>80323391.862371594</v>
      </c>
      <c r="AE351" s="132">
        <f t="shared" si="66"/>
        <v>20337.079585633863</v>
      </c>
      <c r="AF351" s="133">
        <f t="shared" ref="AF351:AG383" si="69">AB351+AD351</f>
        <v>99938017.025847018</v>
      </c>
      <c r="AG351" s="134">
        <f t="shared" si="69"/>
        <v>25372.350011349641</v>
      </c>
      <c r="AH351" s="1804"/>
      <c r="AI351" s="1804"/>
      <c r="AJ351" s="1804"/>
      <c r="AK351" s="1804"/>
      <c r="AL351" s="1804"/>
      <c r="AM351" s="1804"/>
      <c r="AN351" s="1804"/>
      <c r="AO351" s="1804"/>
      <c r="AP351" s="1804"/>
      <c r="AQ351" s="1804"/>
      <c r="AR351" s="1804"/>
      <c r="AS351" s="1804"/>
      <c r="AT351" s="1804"/>
      <c r="AU351" s="1804"/>
      <c r="AV351" s="1804"/>
      <c r="AW351" s="1804"/>
      <c r="AX351" s="1804"/>
      <c r="AY351" s="1804"/>
      <c r="AZ351" s="1804"/>
      <c r="BA351" s="1804"/>
      <c r="BB351" s="1804"/>
      <c r="BC351" s="1804"/>
      <c r="BD351" s="1804"/>
      <c r="BE351" s="1804"/>
      <c r="BF351" s="1804"/>
      <c r="BG351" s="1804"/>
      <c r="BH351" s="1804"/>
      <c r="BI351" s="1804"/>
      <c r="BJ351" s="1804"/>
      <c r="BK351" s="1804"/>
      <c r="BL351" s="1804"/>
      <c r="BM351" s="1804"/>
      <c r="BN351" s="1804"/>
      <c r="BO351" s="1804"/>
      <c r="BP351" s="1804"/>
      <c r="BQ351" s="1804"/>
      <c r="BR351" s="1804"/>
      <c r="BS351" s="1804"/>
      <c r="BT351" s="1804"/>
      <c r="BU351" s="1804"/>
      <c r="BV351" s="1804"/>
      <c r="BW351" s="1804"/>
      <c r="BX351" s="1804"/>
      <c r="BY351" s="1804"/>
      <c r="BZ351" s="1804"/>
      <c r="CA351" s="1804"/>
      <c r="CB351" s="1804"/>
      <c r="CC351" s="1804"/>
      <c r="CD351" s="1804"/>
      <c r="CE351" s="1804"/>
      <c r="CF351" s="1804"/>
      <c r="CG351" s="1804"/>
      <c r="CH351" s="1804"/>
      <c r="CI351" s="1804"/>
      <c r="CJ351" s="1804"/>
      <c r="CK351" s="1804"/>
      <c r="CL351" s="1804"/>
      <c r="CM351" s="1804"/>
      <c r="CN351" s="1804"/>
      <c r="CO351" s="1804"/>
      <c r="CP351" s="1804"/>
      <c r="CQ351" s="1804"/>
      <c r="CR351" s="1804"/>
      <c r="CS351" s="1804"/>
      <c r="CT351" s="1804"/>
      <c r="CU351" s="1804"/>
      <c r="CV351" s="1804"/>
      <c r="CW351" s="1804"/>
      <c r="CX351" s="1804"/>
      <c r="CY351" s="1804"/>
      <c r="CZ351" s="1804"/>
      <c r="DA351" s="1804"/>
      <c r="DB351" s="1804"/>
      <c r="DC351" s="1804"/>
      <c r="DD351" s="1804"/>
      <c r="DE351" s="1804"/>
      <c r="DF351" s="1804"/>
      <c r="DG351" s="1804"/>
      <c r="DH351" s="1804"/>
      <c r="DI351" s="1804"/>
      <c r="DJ351" s="1804"/>
      <c r="DK351" s="1804"/>
      <c r="DL351" s="1804"/>
      <c r="DM351" s="1804"/>
      <c r="DN351" s="1804"/>
      <c r="DO351" s="1804"/>
      <c r="DP351" s="1804"/>
      <c r="DQ351" s="1804"/>
      <c r="DR351" s="1804"/>
      <c r="DS351" s="1804"/>
      <c r="DT351" s="1804"/>
      <c r="DU351" s="1804"/>
      <c r="DV351" s="1804"/>
      <c r="DW351" s="1804"/>
      <c r="DX351" s="1804"/>
      <c r="DY351" s="1804"/>
      <c r="DZ351" s="1804"/>
      <c r="EA351" s="1804"/>
      <c r="EB351" s="1804"/>
      <c r="EC351" s="1804"/>
      <c r="ED351" s="1804"/>
      <c r="EE351" s="1804"/>
      <c r="EF351" s="1804"/>
      <c r="EG351" s="1804"/>
      <c r="EH351" s="1804"/>
      <c r="EI351" s="1804"/>
      <c r="EJ351" s="1804"/>
      <c r="EK351" s="1804"/>
      <c r="EL351" s="1804"/>
      <c r="EM351" s="1804"/>
      <c r="EN351" s="1804"/>
      <c r="EO351" s="1804"/>
      <c r="EP351" s="1804"/>
      <c r="EQ351" s="1804"/>
      <c r="ER351" s="1804"/>
      <c r="ES351" s="1804"/>
      <c r="ET351" s="1804"/>
      <c r="EU351" s="1804"/>
      <c r="EV351" s="1804"/>
      <c r="EW351" s="1804"/>
      <c r="EX351" s="1804"/>
      <c r="EY351" s="1804"/>
      <c r="EZ351" s="1804"/>
      <c r="FA351" s="1804"/>
      <c r="FB351" s="1804"/>
      <c r="FC351" s="1804"/>
      <c r="FD351" s="1804"/>
      <c r="FE351" s="1804"/>
      <c r="FF351" s="1804"/>
      <c r="FG351" s="1804"/>
      <c r="FH351" s="1804"/>
      <c r="FI351" s="1804"/>
      <c r="FJ351" s="1804"/>
      <c r="FK351" s="1804"/>
      <c r="FL351" s="1804"/>
      <c r="FM351" s="1804"/>
      <c r="FN351" s="1804"/>
      <c r="FO351" s="1804"/>
      <c r="FP351" s="1804"/>
      <c r="FQ351" s="1804"/>
      <c r="FR351" s="1804"/>
      <c r="FS351" s="1804"/>
      <c r="FT351" s="1804"/>
      <c r="FU351" s="1804"/>
      <c r="FV351" s="1804"/>
      <c r="FW351" s="1804"/>
      <c r="FX351" s="1804"/>
      <c r="FY351" s="1804"/>
      <c r="FZ351" s="1804"/>
      <c r="GA351" s="1804"/>
      <c r="GB351" s="1804"/>
      <c r="GC351" s="1804"/>
      <c r="GD351" s="1804"/>
      <c r="GE351" s="1804"/>
      <c r="GF351" s="1804"/>
      <c r="GG351" s="1804"/>
      <c r="GH351" s="1804"/>
      <c r="GI351" s="1804"/>
      <c r="GJ351" s="1804"/>
      <c r="GK351" s="1804"/>
      <c r="GL351" s="1804"/>
      <c r="GM351" s="1804"/>
      <c r="GN351" s="1804"/>
      <c r="GO351" s="1804"/>
      <c r="GP351" s="1804"/>
      <c r="GQ351" s="1804"/>
      <c r="GR351" s="1804"/>
      <c r="GS351" s="1804"/>
      <c r="GT351" s="1804"/>
      <c r="GU351" s="1804"/>
      <c r="GV351" s="1804"/>
      <c r="GW351" s="1804"/>
      <c r="GX351" s="1804"/>
      <c r="GY351" s="1804"/>
      <c r="GZ351" s="1804"/>
      <c r="HA351" s="1804"/>
      <c r="HB351" s="1804"/>
      <c r="HC351" s="1804"/>
      <c r="HD351" s="1804"/>
      <c r="HE351" s="1804"/>
      <c r="HF351" s="1804"/>
      <c r="HG351" s="1804"/>
      <c r="HH351" s="1804"/>
      <c r="HI351" s="1804"/>
      <c r="HJ351" s="1804"/>
      <c r="HK351" s="1804"/>
      <c r="HL351" s="1804"/>
      <c r="HM351" s="1804"/>
      <c r="HN351" s="1804"/>
      <c r="HO351" s="1804"/>
      <c r="HP351" s="1804"/>
      <c r="HQ351" s="1804"/>
      <c r="HR351" s="1804"/>
      <c r="HS351" s="1804"/>
      <c r="HT351" s="1804"/>
      <c r="HU351" s="1804"/>
      <c r="HV351" s="1804"/>
      <c r="HW351" s="1804"/>
      <c r="HX351" s="1804"/>
      <c r="HY351" s="1804"/>
      <c r="HZ351" s="1804"/>
      <c r="IA351" s="1804"/>
      <c r="IB351" s="1804"/>
      <c r="IC351" s="1804"/>
      <c r="ID351" s="1804"/>
      <c r="IE351" s="1804"/>
      <c r="IF351" s="1804"/>
      <c r="IG351" s="1804"/>
      <c r="IH351" s="1804"/>
      <c r="II351" s="1804"/>
      <c r="IJ351" s="1804"/>
      <c r="IK351" s="1804"/>
      <c r="IL351" s="1804"/>
      <c r="IM351" s="1804"/>
      <c r="IN351" s="1804"/>
      <c r="IO351" s="1804"/>
      <c r="IP351" s="1804"/>
      <c r="IQ351" s="1804"/>
      <c r="IR351" s="1804"/>
      <c r="IS351" s="1804"/>
      <c r="IT351" s="1804"/>
      <c r="IU351" s="1804"/>
      <c r="IV351" s="1804"/>
      <c r="IW351" s="1804"/>
      <c r="IX351" s="1804"/>
      <c r="IY351" s="1804"/>
    </row>
    <row r="352" spans="3:259" s="888" customFormat="1" x14ac:dyDescent="0.45">
      <c r="C352" s="67" t="s">
        <v>530</v>
      </c>
      <c r="D352" s="68" t="s">
        <v>632</v>
      </c>
      <c r="E352" s="69"/>
      <c r="F352" s="125">
        <v>0</v>
      </c>
      <c r="G352" s="126">
        <f t="shared" si="55"/>
        <v>0</v>
      </c>
      <c r="H352" s="118">
        <v>20703867.205102108</v>
      </c>
      <c r="I352" s="127">
        <f t="shared" si="56"/>
        <v>5242.0121376598026</v>
      </c>
      <c r="J352" s="121">
        <f t="shared" si="67"/>
        <v>20703867.205102108</v>
      </c>
      <c r="K352" s="128">
        <f t="shared" si="67"/>
        <v>5242.0121376598026</v>
      </c>
      <c r="L352" s="125">
        <v>3191701.2134066112</v>
      </c>
      <c r="M352" s="126">
        <f t="shared" si="57"/>
        <v>819.34161849361112</v>
      </c>
      <c r="N352" s="126">
        <f t="shared" si="68"/>
        <v>23895568.41850872</v>
      </c>
      <c r="O352" s="126">
        <f t="shared" si="68"/>
        <v>6061.353756153414</v>
      </c>
      <c r="P352" s="118">
        <v>0</v>
      </c>
      <c r="Q352" s="126">
        <f t="shared" si="58"/>
        <v>0</v>
      </c>
      <c r="R352" s="95">
        <v>0</v>
      </c>
      <c r="S352" s="126">
        <f t="shared" si="59"/>
        <v>0</v>
      </c>
      <c r="T352" s="95">
        <v>0</v>
      </c>
      <c r="U352" s="126">
        <f t="shared" si="60"/>
        <v>0</v>
      </c>
      <c r="V352" s="129"/>
      <c r="W352" s="129"/>
      <c r="X352" s="130">
        <f t="shared" si="61"/>
        <v>0</v>
      </c>
      <c r="Y352" s="130">
        <f t="shared" si="62"/>
        <v>0</v>
      </c>
      <c r="Z352" s="129"/>
      <c r="AA352" s="129"/>
      <c r="AB352" s="131">
        <f t="shared" si="63"/>
        <v>3191701.2134066112</v>
      </c>
      <c r="AC352" s="132">
        <f t="shared" si="64"/>
        <v>819.34161849361112</v>
      </c>
      <c r="AD352" s="132">
        <f t="shared" si="65"/>
        <v>20703867.205102108</v>
      </c>
      <c r="AE352" s="132">
        <f t="shared" si="66"/>
        <v>5242.0121376598026</v>
      </c>
      <c r="AF352" s="133">
        <f t="shared" si="69"/>
        <v>23895568.41850872</v>
      </c>
      <c r="AG352" s="134">
        <f t="shared" si="69"/>
        <v>6061.353756153414</v>
      </c>
      <c r="AH352" s="1804"/>
      <c r="AI352" s="1804"/>
      <c r="AJ352" s="1804"/>
      <c r="AK352" s="1804"/>
      <c r="AL352" s="1804"/>
      <c r="AM352" s="1804"/>
      <c r="AN352" s="1804"/>
      <c r="AO352" s="1804"/>
      <c r="AP352" s="1804"/>
      <c r="AQ352" s="1804"/>
      <c r="AR352" s="1804"/>
      <c r="AS352" s="1804"/>
      <c r="AT352" s="1804"/>
      <c r="AU352" s="1804"/>
      <c r="AV352" s="1804"/>
      <c r="AW352" s="1804"/>
      <c r="AX352" s="1804"/>
      <c r="AY352" s="1804"/>
      <c r="AZ352" s="1804"/>
      <c r="BA352" s="1804"/>
      <c r="BB352" s="1804"/>
      <c r="BC352" s="1804"/>
      <c r="BD352" s="1804"/>
      <c r="BE352" s="1804"/>
      <c r="BF352" s="1804"/>
      <c r="BG352" s="1804"/>
      <c r="BH352" s="1804"/>
      <c r="BI352" s="1804"/>
      <c r="BJ352" s="1804"/>
      <c r="BK352" s="1804"/>
      <c r="BL352" s="1804"/>
      <c r="BM352" s="1804"/>
      <c r="BN352" s="1804"/>
      <c r="BO352" s="1804"/>
      <c r="BP352" s="1804"/>
      <c r="BQ352" s="1804"/>
      <c r="BR352" s="1804"/>
      <c r="BS352" s="1804"/>
      <c r="BT352" s="1804"/>
      <c r="BU352" s="1804"/>
      <c r="BV352" s="1804"/>
      <c r="BW352" s="1804"/>
      <c r="BX352" s="1804"/>
      <c r="BY352" s="1804"/>
      <c r="BZ352" s="1804"/>
      <c r="CA352" s="1804"/>
      <c r="CB352" s="1804"/>
      <c r="CC352" s="1804"/>
      <c r="CD352" s="1804"/>
      <c r="CE352" s="1804"/>
      <c r="CF352" s="1804"/>
      <c r="CG352" s="1804"/>
      <c r="CH352" s="1804"/>
      <c r="CI352" s="1804"/>
      <c r="CJ352" s="1804"/>
      <c r="CK352" s="1804"/>
      <c r="CL352" s="1804"/>
      <c r="CM352" s="1804"/>
      <c r="CN352" s="1804"/>
      <c r="CO352" s="1804"/>
      <c r="CP352" s="1804"/>
      <c r="CQ352" s="1804"/>
      <c r="CR352" s="1804"/>
      <c r="CS352" s="1804"/>
      <c r="CT352" s="1804"/>
      <c r="CU352" s="1804"/>
      <c r="CV352" s="1804"/>
      <c r="CW352" s="1804"/>
      <c r="CX352" s="1804"/>
      <c r="CY352" s="1804"/>
      <c r="CZ352" s="1804"/>
      <c r="DA352" s="1804"/>
      <c r="DB352" s="1804"/>
      <c r="DC352" s="1804"/>
      <c r="DD352" s="1804"/>
      <c r="DE352" s="1804"/>
      <c r="DF352" s="1804"/>
      <c r="DG352" s="1804"/>
      <c r="DH352" s="1804"/>
      <c r="DI352" s="1804"/>
      <c r="DJ352" s="1804"/>
      <c r="DK352" s="1804"/>
      <c r="DL352" s="1804"/>
      <c r="DM352" s="1804"/>
      <c r="DN352" s="1804"/>
      <c r="DO352" s="1804"/>
      <c r="DP352" s="1804"/>
      <c r="DQ352" s="1804"/>
      <c r="DR352" s="1804"/>
      <c r="DS352" s="1804"/>
      <c r="DT352" s="1804"/>
      <c r="DU352" s="1804"/>
      <c r="DV352" s="1804"/>
      <c r="DW352" s="1804"/>
      <c r="DX352" s="1804"/>
      <c r="DY352" s="1804"/>
      <c r="DZ352" s="1804"/>
      <c r="EA352" s="1804"/>
      <c r="EB352" s="1804"/>
      <c r="EC352" s="1804"/>
      <c r="ED352" s="1804"/>
      <c r="EE352" s="1804"/>
      <c r="EF352" s="1804"/>
      <c r="EG352" s="1804"/>
      <c r="EH352" s="1804"/>
      <c r="EI352" s="1804"/>
      <c r="EJ352" s="1804"/>
      <c r="EK352" s="1804"/>
      <c r="EL352" s="1804"/>
      <c r="EM352" s="1804"/>
      <c r="EN352" s="1804"/>
      <c r="EO352" s="1804"/>
      <c r="EP352" s="1804"/>
      <c r="EQ352" s="1804"/>
      <c r="ER352" s="1804"/>
      <c r="ES352" s="1804"/>
      <c r="ET352" s="1804"/>
      <c r="EU352" s="1804"/>
      <c r="EV352" s="1804"/>
      <c r="EW352" s="1804"/>
      <c r="EX352" s="1804"/>
      <c r="EY352" s="1804"/>
      <c r="EZ352" s="1804"/>
      <c r="FA352" s="1804"/>
      <c r="FB352" s="1804"/>
      <c r="FC352" s="1804"/>
      <c r="FD352" s="1804"/>
      <c r="FE352" s="1804"/>
      <c r="FF352" s="1804"/>
      <c r="FG352" s="1804"/>
      <c r="FH352" s="1804"/>
      <c r="FI352" s="1804"/>
      <c r="FJ352" s="1804"/>
      <c r="FK352" s="1804"/>
      <c r="FL352" s="1804"/>
      <c r="FM352" s="1804"/>
      <c r="FN352" s="1804"/>
      <c r="FO352" s="1804"/>
      <c r="FP352" s="1804"/>
      <c r="FQ352" s="1804"/>
      <c r="FR352" s="1804"/>
      <c r="FS352" s="1804"/>
      <c r="FT352" s="1804"/>
      <c r="FU352" s="1804"/>
      <c r="FV352" s="1804"/>
      <c r="FW352" s="1804"/>
      <c r="FX352" s="1804"/>
      <c r="FY352" s="1804"/>
      <c r="FZ352" s="1804"/>
      <c r="GA352" s="1804"/>
      <c r="GB352" s="1804"/>
      <c r="GC352" s="1804"/>
      <c r="GD352" s="1804"/>
      <c r="GE352" s="1804"/>
      <c r="GF352" s="1804"/>
      <c r="GG352" s="1804"/>
      <c r="GH352" s="1804"/>
      <c r="GI352" s="1804"/>
      <c r="GJ352" s="1804"/>
      <c r="GK352" s="1804"/>
      <c r="GL352" s="1804"/>
      <c r="GM352" s="1804"/>
      <c r="GN352" s="1804"/>
      <c r="GO352" s="1804"/>
      <c r="GP352" s="1804"/>
      <c r="GQ352" s="1804"/>
      <c r="GR352" s="1804"/>
      <c r="GS352" s="1804"/>
      <c r="GT352" s="1804"/>
      <c r="GU352" s="1804"/>
      <c r="GV352" s="1804"/>
      <c r="GW352" s="1804"/>
      <c r="GX352" s="1804"/>
      <c r="GY352" s="1804"/>
      <c r="GZ352" s="1804"/>
      <c r="HA352" s="1804"/>
      <c r="HB352" s="1804"/>
      <c r="HC352" s="1804"/>
      <c r="HD352" s="1804"/>
      <c r="HE352" s="1804"/>
      <c r="HF352" s="1804"/>
      <c r="HG352" s="1804"/>
      <c r="HH352" s="1804"/>
      <c r="HI352" s="1804"/>
      <c r="HJ352" s="1804"/>
      <c r="HK352" s="1804"/>
      <c r="HL352" s="1804"/>
      <c r="HM352" s="1804"/>
      <c r="HN352" s="1804"/>
      <c r="HO352" s="1804"/>
      <c r="HP352" s="1804"/>
      <c r="HQ352" s="1804"/>
      <c r="HR352" s="1804"/>
      <c r="HS352" s="1804"/>
      <c r="HT352" s="1804"/>
      <c r="HU352" s="1804"/>
      <c r="HV352" s="1804"/>
      <c r="HW352" s="1804"/>
      <c r="HX352" s="1804"/>
      <c r="HY352" s="1804"/>
      <c r="HZ352" s="1804"/>
      <c r="IA352" s="1804"/>
      <c r="IB352" s="1804"/>
      <c r="IC352" s="1804"/>
      <c r="ID352" s="1804"/>
      <c r="IE352" s="1804"/>
      <c r="IF352" s="1804"/>
      <c r="IG352" s="1804"/>
      <c r="IH352" s="1804"/>
      <c r="II352" s="1804"/>
      <c r="IJ352" s="1804"/>
      <c r="IK352" s="1804"/>
      <c r="IL352" s="1804"/>
      <c r="IM352" s="1804"/>
      <c r="IN352" s="1804"/>
      <c r="IO352" s="1804"/>
      <c r="IP352" s="1804"/>
      <c r="IQ352" s="1804"/>
      <c r="IR352" s="1804"/>
      <c r="IS352" s="1804"/>
      <c r="IT352" s="1804"/>
      <c r="IU352" s="1804"/>
      <c r="IV352" s="1804"/>
      <c r="IW352" s="1804"/>
      <c r="IX352" s="1804"/>
      <c r="IY352" s="1804"/>
    </row>
    <row r="353" spans="3:259" s="888" customFormat="1" x14ac:dyDescent="0.45">
      <c r="C353" s="67" t="s">
        <v>531</v>
      </c>
      <c r="D353" s="68" t="s">
        <v>633</v>
      </c>
      <c r="E353" s="69"/>
      <c r="F353" s="125">
        <v>24344327.503890302</v>
      </c>
      <c r="G353" s="126">
        <f t="shared" si="55"/>
        <v>6249.4323135236791</v>
      </c>
      <c r="H353" s="118">
        <v>18993319.082537875</v>
      </c>
      <c r="I353" s="127">
        <f t="shared" si="56"/>
        <v>4808.9184585077646</v>
      </c>
      <c r="J353" s="121">
        <f t="shared" si="67"/>
        <v>43337646.58642818</v>
      </c>
      <c r="K353" s="128">
        <f t="shared" si="67"/>
        <v>11058.350772031445</v>
      </c>
      <c r="L353" s="125">
        <v>8042473.1331808278</v>
      </c>
      <c r="M353" s="126">
        <f t="shared" si="57"/>
        <v>2064.5832780188503</v>
      </c>
      <c r="N353" s="126">
        <f t="shared" si="68"/>
        <v>51380119.719609007</v>
      </c>
      <c r="O353" s="126">
        <f t="shared" si="68"/>
        <v>13122.934050050295</v>
      </c>
      <c r="P353" s="118">
        <v>80712697.060094401</v>
      </c>
      <c r="Q353" s="126">
        <f t="shared" si="58"/>
        <v>20435.6477686453</v>
      </c>
      <c r="R353" s="95">
        <v>0</v>
      </c>
      <c r="S353" s="126">
        <f t="shared" si="59"/>
        <v>0</v>
      </c>
      <c r="T353" s="95">
        <v>0</v>
      </c>
      <c r="U353" s="126">
        <f t="shared" si="60"/>
        <v>0</v>
      </c>
      <c r="V353" s="129"/>
      <c r="W353" s="129"/>
      <c r="X353" s="130">
        <f t="shared" si="61"/>
        <v>80712697.060094401</v>
      </c>
      <c r="Y353" s="130">
        <f t="shared" si="62"/>
        <v>20435.6477686453</v>
      </c>
      <c r="Z353" s="129"/>
      <c r="AA353" s="129"/>
      <c r="AB353" s="131">
        <f t="shared" si="63"/>
        <v>32386800.637071129</v>
      </c>
      <c r="AC353" s="132">
        <f t="shared" si="64"/>
        <v>8314.0155915425294</v>
      </c>
      <c r="AD353" s="132">
        <f t="shared" si="65"/>
        <v>99706016.142632276</v>
      </c>
      <c r="AE353" s="132">
        <f t="shared" si="66"/>
        <v>25244.566227153064</v>
      </c>
      <c r="AF353" s="133">
        <f t="shared" si="69"/>
        <v>132092816.77970341</v>
      </c>
      <c r="AG353" s="134">
        <f t="shared" si="69"/>
        <v>33558.581818695595</v>
      </c>
      <c r="AH353" s="1804"/>
      <c r="AI353" s="1804"/>
      <c r="AJ353" s="1804"/>
      <c r="AK353" s="1804"/>
      <c r="AL353" s="1804"/>
      <c r="AM353" s="1804"/>
      <c r="AN353" s="1804"/>
      <c r="AO353" s="1804"/>
      <c r="AP353" s="1804"/>
      <c r="AQ353" s="1804"/>
      <c r="AR353" s="1804"/>
      <c r="AS353" s="1804"/>
      <c r="AT353" s="1804"/>
      <c r="AU353" s="1804"/>
      <c r="AV353" s="1804"/>
      <c r="AW353" s="1804"/>
      <c r="AX353" s="1804"/>
      <c r="AY353" s="1804"/>
      <c r="AZ353" s="1804"/>
      <c r="BA353" s="1804"/>
      <c r="BB353" s="1804"/>
      <c r="BC353" s="1804"/>
      <c r="BD353" s="1804"/>
      <c r="BE353" s="1804"/>
      <c r="BF353" s="1804"/>
      <c r="BG353" s="1804"/>
      <c r="BH353" s="1804"/>
      <c r="BI353" s="1804"/>
      <c r="BJ353" s="1804"/>
      <c r="BK353" s="1804"/>
      <c r="BL353" s="1804"/>
      <c r="BM353" s="1804"/>
      <c r="BN353" s="1804"/>
      <c r="BO353" s="1804"/>
      <c r="BP353" s="1804"/>
      <c r="BQ353" s="1804"/>
      <c r="BR353" s="1804"/>
      <c r="BS353" s="1804"/>
      <c r="BT353" s="1804"/>
      <c r="BU353" s="1804"/>
      <c r="BV353" s="1804"/>
      <c r="BW353" s="1804"/>
      <c r="BX353" s="1804"/>
      <c r="BY353" s="1804"/>
      <c r="BZ353" s="1804"/>
      <c r="CA353" s="1804"/>
      <c r="CB353" s="1804"/>
      <c r="CC353" s="1804"/>
      <c r="CD353" s="1804"/>
      <c r="CE353" s="1804"/>
      <c r="CF353" s="1804"/>
      <c r="CG353" s="1804"/>
      <c r="CH353" s="1804"/>
      <c r="CI353" s="1804"/>
      <c r="CJ353" s="1804"/>
      <c r="CK353" s="1804"/>
      <c r="CL353" s="1804"/>
      <c r="CM353" s="1804"/>
      <c r="CN353" s="1804"/>
      <c r="CO353" s="1804"/>
      <c r="CP353" s="1804"/>
      <c r="CQ353" s="1804"/>
      <c r="CR353" s="1804"/>
      <c r="CS353" s="1804"/>
      <c r="CT353" s="1804"/>
      <c r="CU353" s="1804"/>
      <c r="CV353" s="1804"/>
      <c r="CW353" s="1804"/>
      <c r="CX353" s="1804"/>
      <c r="CY353" s="1804"/>
      <c r="CZ353" s="1804"/>
      <c r="DA353" s="1804"/>
      <c r="DB353" s="1804"/>
      <c r="DC353" s="1804"/>
      <c r="DD353" s="1804"/>
      <c r="DE353" s="1804"/>
      <c r="DF353" s="1804"/>
      <c r="DG353" s="1804"/>
      <c r="DH353" s="1804"/>
      <c r="DI353" s="1804"/>
      <c r="DJ353" s="1804"/>
      <c r="DK353" s="1804"/>
      <c r="DL353" s="1804"/>
      <c r="DM353" s="1804"/>
      <c r="DN353" s="1804"/>
      <c r="DO353" s="1804"/>
      <c r="DP353" s="1804"/>
      <c r="DQ353" s="1804"/>
      <c r="DR353" s="1804"/>
      <c r="DS353" s="1804"/>
      <c r="DT353" s="1804"/>
      <c r="DU353" s="1804"/>
      <c r="DV353" s="1804"/>
      <c r="DW353" s="1804"/>
      <c r="DX353" s="1804"/>
      <c r="DY353" s="1804"/>
      <c r="DZ353" s="1804"/>
      <c r="EA353" s="1804"/>
      <c r="EB353" s="1804"/>
      <c r="EC353" s="1804"/>
      <c r="ED353" s="1804"/>
      <c r="EE353" s="1804"/>
      <c r="EF353" s="1804"/>
      <c r="EG353" s="1804"/>
      <c r="EH353" s="1804"/>
      <c r="EI353" s="1804"/>
      <c r="EJ353" s="1804"/>
      <c r="EK353" s="1804"/>
      <c r="EL353" s="1804"/>
      <c r="EM353" s="1804"/>
      <c r="EN353" s="1804"/>
      <c r="EO353" s="1804"/>
      <c r="EP353" s="1804"/>
      <c r="EQ353" s="1804"/>
      <c r="ER353" s="1804"/>
      <c r="ES353" s="1804"/>
      <c r="ET353" s="1804"/>
      <c r="EU353" s="1804"/>
      <c r="EV353" s="1804"/>
      <c r="EW353" s="1804"/>
      <c r="EX353" s="1804"/>
      <c r="EY353" s="1804"/>
      <c r="EZ353" s="1804"/>
      <c r="FA353" s="1804"/>
      <c r="FB353" s="1804"/>
      <c r="FC353" s="1804"/>
      <c r="FD353" s="1804"/>
      <c r="FE353" s="1804"/>
      <c r="FF353" s="1804"/>
      <c r="FG353" s="1804"/>
      <c r="FH353" s="1804"/>
      <c r="FI353" s="1804"/>
      <c r="FJ353" s="1804"/>
      <c r="FK353" s="1804"/>
      <c r="FL353" s="1804"/>
      <c r="FM353" s="1804"/>
      <c r="FN353" s="1804"/>
      <c r="FO353" s="1804"/>
      <c r="FP353" s="1804"/>
      <c r="FQ353" s="1804"/>
      <c r="FR353" s="1804"/>
      <c r="FS353" s="1804"/>
      <c r="FT353" s="1804"/>
      <c r="FU353" s="1804"/>
      <c r="FV353" s="1804"/>
      <c r="FW353" s="1804"/>
      <c r="FX353" s="1804"/>
      <c r="FY353" s="1804"/>
      <c r="FZ353" s="1804"/>
      <c r="GA353" s="1804"/>
      <c r="GB353" s="1804"/>
      <c r="GC353" s="1804"/>
      <c r="GD353" s="1804"/>
      <c r="GE353" s="1804"/>
      <c r="GF353" s="1804"/>
      <c r="GG353" s="1804"/>
      <c r="GH353" s="1804"/>
      <c r="GI353" s="1804"/>
      <c r="GJ353" s="1804"/>
      <c r="GK353" s="1804"/>
      <c r="GL353" s="1804"/>
      <c r="GM353" s="1804"/>
      <c r="GN353" s="1804"/>
      <c r="GO353" s="1804"/>
      <c r="GP353" s="1804"/>
      <c r="GQ353" s="1804"/>
      <c r="GR353" s="1804"/>
      <c r="GS353" s="1804"/>
      <c r="GT353" s="1804"/>
      <c r="GU353" s="1804"/>
      <c r="GV353" s="1804"/>
      <c r="GW353" s="1804"/>
      <c r="GX353" s="1804"/>
      <c r="GY353" s="1804"/>
      <c r="GZ353" s="1804"/>
      <c r="HA353" s="1804"/>
      <c r="HB353" s="1804"/>
      <c r="HC353" s="1804"/>
      <c r="HD353" s="1804"/>
      <c r="HE353" s="1804"/>
      <c r="HF353" s="1804"/>
      <c r="HG353" s="1804"/>
      <c r="HH353" s="1804"/>
      <c r="HI353" s="1804"/>
      <c r="HJ353" s="1804"/>
      <c r="HK353" s="1804"/>
      <c r="HL353" s="1804"/>
      <c r="HM353" s="1804"/>
      <c r="HN353" s="1804"/>
      <c r="HO353" s="1804"/>
      <c r="HP353" s="1804"/>
      <c r="HQ353" s="1804"/>
      <c r="HR353" s="1804"/>
      <c r="HS353" s="1804"/>
      <c r="HT353" s="1804"/>
      <c r="HU353" s="1804"/>
      <c r="HV353" s="1804"/>
      <c r="HW353" s="1804"/>
      <c r="HX353" s="1804"/>
      <c r="HY353" s="1804"/>
      <c r="HZ353" s="1804"/>
      <c r="IA353" s="1804"/>
      <c r="IB353" s="1804"/>
      <c r="IC353" s="1804"/>
      <c r="ID353" s="1804"/>
      <c r="IE353" s="1804"/>
      <c r="IF353" s="1804"/>
      <c r="IG353" s="1804"/>
      <c r="IH353" s="1804"/>
      <c r="II353" s="1804"/>
      <c r="IJ353" s="1804"/>
      <c r="IK353" s="1804"/>
      <c r="IL353" s="1804"/>
      <c r="IM353" s="1804"/>
      <c r="IN353" s="1804"/>
      <c r="IO353" s="1804"/>
      <c r="IP353" s="1804"/>
      <c r="IQ353" s="1804"/>
      <c r="IR353" s="1804"/>
      <c r="IS353" s="1804"/>
      <c r="IT353" s="1804"/>
      <c r="IU353" s="1804"/>
      <c r="IV353" s="1804"/>
      <c r="IW353" s="1804"/>
      <c r="IX353" s="1804"/>
      <c r="IY353" s="1804"/>
    </row>
    <row r="354" spans="3:259" s="888" customFormat="1" x14ac:dyDescent="0.45">
      <c r="C354" s="67" t="s">
        <v>532</v>
      </c>
      <c r="D354" s="68" t="s">
        <v>634</v>
      </c>
      <c r="E354" s="69"/>
      <c r="F354" s="125">
        <v>652473.00144814688</v>
      </c>
      <c r="G354" s="126">
        <f t="shared" si="55"/>
        <v>167.49634420175377</v>
      </c>
      <c r="H354" s="118">
        <v>47415366.102017798</v>
      </c>
      <c r="I354" s="127">
        <f t="shared" si="56"/>
        <v>12005.096543369886</v>
      </c>
      <c r="J354" s="121">
        <f t="shared" si="67"/>
        <v>48067839.103465945</v>
      </c>
      <c r="K354" s="128">
        <f t="shared" si="67"/>
        <v>12172.59288757164</v>
      </c>
      <c r="L354" s="125">
        <v>2110942.6850256301</v>
      </c>
      <c r="M354" s="126">
        <f t="shared" si="57"/>
        <v>541.90009667292941</v>
      </c>
      <c r="N354" s="126">
        <f t="shared" si="68"/>
        <v>50178781.788491577</v>
      </c>
      <c r="O354" s="126">
        <f t="shared" si="68"/>
        <v>12714.492984244569</v>
      </c>
      <c r="P354" s="118">
        <v>0</v>
      </c>
      <c r="Q354" s="126">
        <f t="shared" si="58"/>
        <v>0</v>
      </c>
      <c r="R354" s="95">
        <v>0</v>
      </c>
      <c r="S354" s="126">
        <f t="shared" si="59"/>
        <v>0</v>
      </c>
      <c r="T354" s="95">
        <v>1844969.9731316455</v>
      </c>
      <c r="U354" s="126">
        <f t="shared" si="60"/>
        <v>467.12794749720126</v>
      </c>
      <c r="V354" s="129"/>
      <c r="W354" s="129"/>
      <c r="X354" s="130">
        <f t="shared" si="61"/>
        <v>1844969.9731316455</v>
      </c>
      <c r="Y354" s="130">
        <f t="shared" si="62"/>
        <v>467.12794749720126</v>
      </c>
      <c r="Z354" s="129"/>
      <c r="AA354" s="129"/>
      <c r="AB354" s="131">
        <f t="shared" si="63"/>
        <v>2763415.6864737771</v>
      </c>
      <c r="AC354" s="132">
        <f t="shared" si="64"/>
        <v>709.39644087468321</v>
      </c>
      <c r="AD354" s="132">
        <f t="shared" si="65"/>
        <v>49260336.075149447</v>
      </c>
      <c r="AE354" s="132">
        <f t="shared" si="66"/>
        <v>12472.224490867087</v>
      </c>
      <c r="AF354" s="133">
        <f t="shared" si="69"/>
        <v>52023751.761623226</v>
      </c>
      <c r="AG354" s="134">
        <f t="shared" si="69"/>
        <v>13181.620931741771</v>
      </c>
      <c r="AH354" s="1804"/>
      <c r="AI354" s="1804"/>
      <c r="AJ354" s="1804"/>
      <c r="AK354" s="1804"/>
      <c r="AL354" s="1804"/>
      <c r="AM354" s="1804"/>
      <c r="AN354" s="1804"/>
      <c r="AO354" s="1804"/>
      <c r="AP354" s="1804"/>
      <c r="AQ354" s="1804"/>
      <c r="AR354" s="1804"/>
      <c r="AS354" s="1804"/>
      <c r="AT354" s="1804"/>
      <c r="AU354" s="1804"/>
      <c r="AV354" s="1804"/>
      <c r="AW354" s="1804"/>
      <c r="AX354" s="1804"/>
      <c r="AY354" s="1804"/>
      <c r="AZ354" s="1804"/>
      <c r="BA354" s="1804"/>
      <c r="BB354" s="1804"/>
      <c r="BC354" s="1804"/>
      <c r="BD354" s="1804"/>
      <c r="BE354" s="1804"/>
      <c r="BF354" s="1804"/>
      <c r="BG354" s="1804"/>
      <c r="BH354" s="1804"/>
      <c r="BI354" s="1804"/>
      <c r="BJ354" s="1804"/>
      <c r="BK354" s="1804"/>
      <c r="BL354" s="1804"/>
      <c r="BM354" s="1804"/>
      <c r="BN354" s="1804"/>
      <c r="BO354" s="1804"/>
      <c r="BP354" s="1804"/>
      <c r="BQ354" s="1804"/>
      <c r="BR354" s="1804"/>
      <c r="BS354" s="1804"/>
      <c r="BT354" s="1804"/>
      <c r="BU354" s="1804"/>
      <c r="BV354" s="1804"/>
      <c r="BW354" s="1804"/>
      <c r="BX354" s="1804"/>
      <c r="BY354" s="1804"/>
      <c r="BZ354" s="1804"/>
      <c r="CA354" s="1804"/>
      <c r="CB354" s="1804"/>
      <c r="CC354" s="1804"/>
      <c r="CD354" s="1804"/>
      <c r="CE354" s="1804"/>
      <c r="CF354" s="1804"/>
      <c r="CG354" s="1804"/>
      <c r="CH354" s="1804"/>
      <c r="CI354" s="1804"/>
      <c r="CJ354" s="1804"/>
      <c r="CK354" s="1804"/>
      <c r="CL354" s="1804"/>
      <c r="CM354" s="1804"/>
      <c r="CN354" s="1804"/>
      <c r="CO354" s="1804"/>
      <c r="CP354" s="1804"/>
      <c r="CQ354" s="1804"/>
      <c r="CR354" s="1804"/>
      <c r="CS354" s="1804"/>
      <c r="CT354" s="1804"/>
      <c r="CU354" s="1804"/>
      <c r="CV354" s="1804"/>
      <c r="CW354" s="1804"/>
      <c r="CX354" s="1804"/>
      <c r="CY354" s="1804"/>
      <c r="CZ354" s="1804"/>
      <c r="DA354" s="1804"/>
      <c r="DB354" s="1804"/>
      <c r="DC354" s="1804"/>
      <c r="DD354" s="1804"/>
      <c r="DE354" s="1804"/>
      <c r="DF354" s="1804"/>
      <c r="DG354" s="1804"/>
      <c r="DH354" s="1804"/>
      <c r="DI354" s="1804"/>
      <c r="DJ354" s="1804"/>
      <c r="DK354" s="1804"/>
      <c r="DL354" s="1804"/>
      <c r="DM354" s="1804"/>
      <c r="DN354" s="1804"/>
      <c r="DO354" s="1804"/>
      <c r="DP354" s="1804"/>
      <c r="DQ354" s="1804"/>
      <c r="DR354" s="1804"/>
      <c r="DS354" s="1804"/>
      <c r="DT354" s="1804"/>
      <c r="DU354" s="1804"/>
      <c r="DV354" s="1804"/>
      <c r="DW354" s="1804"/>
      <c r="DX354" s="1804"/>
      <c r="DY354" s="1804"/>
      <c r="DZ354" s="1804"/>
      <c r="EA354" s="1804"/>
      <c r="EB354" s="1804"/>
      <c r="EC354" s="1804"/>
      <c r="ED354" s="1804"/>
      <c r="EE354" s="1804"/>
      <c r="EF354" s="1804"/>
      <c r="EG354" s="1804"/>
      <c r="EH354" s="1804"/>
      <c r="EI354" s="1804"/>
      <c r="EJ354" s="1804"/>
      <c r="EK354" s="1804"/>
      <c r="EL354" s="1804"/>
      <c r="EM354" s="1804"/>
      <c r="EN354" s="1804"/>
      <c r="EO354" s="1804"/>
      <c r="EP354" s="1804"/>
      <c r="EQ354" s="1804"/>
      <c r="ER354" s="1804"/>
      <c r="ES354" s="1804"/>
      <c r="ET354" s="1804"/>
      <c r="EU354" s="1804"/>
      <c r="EV354" s="1804"/>
      <c r="EW354" s="1804"/>
      <c r="EX354" s="1804"/>
      <c r="EY354" s="1804"/>
      <c r="EZ354" s="1804"/>
      <c r="FA354" s="1804"/>
      <c r="FB354" s="1804"/>
      <c r="FC354" s="1804"/>
      <c r="FD354" s="1804"/>
      <c r="FE354" s="1804"/>
      <c r="FF354" s="1804"/>
      <c r="FG354" s="1804"/>
      <c r="FH354" s="1804"/>
      <c r="FI354" s="1804"/>
      <c r="FJ354" s="1804"/>
      <c r="FK354" s="1804"/>
      <c r="FL354" s="1804"/>
      <c r="FM354" s="1804"/>
      <c r="FN354" s="1804"/>
      <c r="FO354" s="1804"/>
      <c r="FP354" s="1804"/>
      <c r="FQ354" s="1804"/>
      <c r="FR354" s="1804"/>
      <c r="FS354" s="1804"/>
      <c r="FT354" s="1804"/>
      <c r="FU354" s="1804"/>
      <c r="FV354" s="1804"/>
      <c r="FW354" s="1804"/>
      <c r="FX354" s="1804"/>
      <c r="FY354" s="1804"/>
      <c r="FZ354" s="1804"/>
      <c r="GA354" s="1804"/>
      <c r="GB354" s="1804"/>
      <c r="GC354" s="1804"/>
      <c r="GD354" s="1804"/>
      <c r="GE354" s="1804"/>
      <c r="GF354" s="1804"/>
      <c r="GG354" s="1804"/>
      <c r="GH354" s="1804"/>
      <c r="GI354" s="1804"/>
      <c r="GJ354" s="1804"/>
      <c r="GK354" s="1804"/>
      <c r="GL354" s="1804"/>
      <c r="GM354" s="1804"/>
      <c r="GN354" s="1804"/>
      <c r="GO354" s="1804"/>
      <c r="GP354" s="1804"/>
      <c r="GQ354" s="1804"/>
      <c r="GR354" s="1804"/>
      <c r="GS354" s="1804"/>
      <c r="GT354" s="1804"/>
      <c r="GU354" s="1804"/>
      <c r="GV354" s="1804"/>
      <c r="GW354" s="1804"/>
      <c r="GX354" s="1804"/>
      <c r="GY354" s="1804"/>
      <c r="GZ354" s="1804"/>
      <c r="HA354" s="1804"/>
      <c r="HB354" s="1804"/>
      <c r="HC354" s="1804"/>
      <c r="HD354" s="1804"/>
      <c r="HE354" s="1804"/>
      <c r="HF354" s="1804"/>
      <c r="HG354" s="1804"/>
      <c r="HH354" s="1804"/>
      <c r="HI354" s="1804"/>
      <c r="HJ354" s="1804"/>
      <c r="HK354" s="1804"/>
      <c r="HL354" s="1804"/>
      <c r="HM354" s="1804"/>
      <c r="HN354" s="1804"/>
      <c r="HO354" s="1804"/>
      <c r="HP354" s="1804"/>
      <c r="HQ354" s="1804"/>
      <c r="HR354" s="1804"/>
      <c r="HS354" s="1804"/>
      <c r="HT354" s="1804"/>
      <c r="HU354" s="1804"/>
      <c r="HV354" s="1804"/>
      <c r="HW354" s="1804"/>
      <c r="HX354" s="1804"/>
      <c r="HY354" s="1804"/>
      <c r="HZ354" s="1804"/>
      <c r="IA354" s="1804"/>
      <c r="IB354" s="1804"/>
      <c r="IC354" s="1804"/>
      <c r="ID354" s="1804"/>
      <c r="IE354" s="1804"/>
      <c r="IF354" s="1804"/>
      <c r="IG354" s="1804"/>
      <c r="IH354" s="1804"/>
      <c r="II354" s="1804"/>
      <c r="IJ354" s="1804"/>
      <c r="IK354" s="1804"/>
      <c r="IL354" s="1804"/>
      <c r="IM354" s="1804"/>
      <c r="IN354" s="1804"/>
      <c r="IO354" s="1804"/>
      <c r="IP354" s="1804"/>
      <c r="IQ354" s="1804"/>
      <c r="IR354" s="1804"/>
      <c r="IS354" s="1804"/>
      <c r="IT354" s="1804"/>
      <c r="IU354" s="1804"/>
      <c r="IV354" s="1804"/>
      <c r="IW354" s="1804"/>
      <c r="IX354" s="1804"/>
      <c r="IY354" s="1804"/>
    </row>
    <row r="355" spans="3:259" s="888" customFormat="1" x14ac:dyDescent="0.45">
      <c r="C355" s="67" t="s">
        <v>533</v>
      </c>
      <c r="D355" s="68" t="s">
        <v>635</v>
      </c>
      <c r="E355" s="69"/>
      <c r="F355" s="125">
        <v>18971518.79140823</v>
      </c>
      <c r="G355" s="126">
        <f t="shared" si="55"/>
        <v>4870.1785889424054</v>
      </c>
      <c r="H355" s="118">
        <v>23856744.984326214</v>
      </c>
      <c r="I355" s="127">
        <f t="shared" si="56"/>
        <v>6040.2892625815539</v>
      </c>
      <c r="J355" s="121">
        <f t="shared" si="67"/>
        <v>42828263.775734439</v>
      </c>
      <c r="K355" s="128">
        <f t="shared" si="67"/>
        <v>10910.467851523959</v>
      </c>
      <c r="L355" s="125">
        <v>6386624.3879510751</v>
      </c>
      <c r="M355" s="126">
        <f t="shared" si="57"/>
        <v>1639.5103466309204</v>
      </c>
      <c r="N355" s="126">
        <f t="shared" si="68"/>
        <v>49214888.163685516</v>
      </c>
      <c r="O355" s="126">
        <f t="shared" si="68"/>
        <v>12549.97819815488</v>
      </c>
      <c r="P355" s="118">
        <v>82234097.383458078</v>
      </c>
      <c r="Q355" s="126">
        <f t="shared" si="58"/>
        <v>20820.851116517748</v>
      </c>
      <c r="R355" s="95">
        <v>0</v>
      </c>
      <c r="S355" s="126">
        <f t="shared" si="59"/>
        <v>0</v>
      </c>
      <c r="T355" s="95">
        <v>0</v>
      </c>
      <c r="U355" s="126">
        <f t="shared" si="60"/>
        <v>0</v>
      </c>
      <c r="V355" s="129"/>
      <c r="W355" s="129"/>
      <c r="X355" s="130">
        <f t="shared" si="61"/>
        <v>82234097.383458078</v>
      </c>
      <c r="Y355" s="130">
        <f t="shared" si="62"/>
        <v>20820.851116517748</v>
      </c>
      <c r="Z355" s="129"/>
      <c r="AA355" s="129"/>
      <c r="AB355" s="131">
        <f t="shared" si="63"/>
        <v>25358143.179359306</v>
      </c>
      <c r="AC355" s="132">
        <f t="shared" si="64"/>
        <v>6509.6889355733256</v>
      </c>
      <c r="AD355" s="132">
        <f t="shared" si="65"/>
        <v>106090842.36778429</v>
      </c>
      <c r="AE355" s="132">
        <f t="shared" si="66"/>
        <v>26861.140379099303</v>
      </c>
      <c r="AF355" s="133">
        <f t="shared" si="69"/>
        <v>131448985.54714359</v>
      </c>
      <c r="AG355" s="134">
        <f t="shared" si="69"/>
        <v>33370.829314672628</v>
      </c>
      <c r="AH355" s="1804"/>
      <c r="AI355" s="1804"/>
      <c r="AJ355" s="1804"/>
      <c r="AK355" s="1804"/>
      <c r="AL355" s="1804"/>
      <c r="AM355" s="1804"/>
      <c r="AN355" s="1804"/>
      <c r="AO355" s="1804"/>
      <c r="AP355" s="1804"/>
      <c r="AQ355" s="1804"/>
      <c r="AR355" s="1804"/>
      <c r="AS355" s="1804"/>
      <c r="AT355" s="1804"/>
      <c r="AU355" s="1804"/>
      <c r="AV355" s="1804"/>
      <c r="AW355" s="1804"/>
      <c r="AX355" s="1804"/>
      <c r="AY355" s="1804"/>
      <c r="AZ355" s="1804"/>
      <c r="BA355" s="1804"/>
      <c r="BB355" s="1804"/>
      <c r="BC355" s="1804"/>
      <c r="BD355" s="1804"/>
      <c r="BE355" s="1804"/>
      <c r="BF355" s="1804"/>
      <c r="BG355" s="1804"/>
      <c r="BH355" s="1804"/>
      <c r="BI355" s="1804"/>
      <c r="BJ355" s="1804"/>
      <c r="BK355" s="1804"/>
      <c r="BL355" s="1804"/>
      <c r="BM355" s="1804"/>
      <c r="BN355" s="1804"/>
      <c r="BO355" s="1804"/>
      <c r="BP355" s="1804"/>
      <c r="BQ355" s="1804"/>
      <c r="BR355" s="1804"/>
      <c r="BS355" s="1804"/>
      <c r="BT355" s="1804"/>
      <c r="BU355" s="1804"/>
      <c r="BV355" s="1804"/>
      <c r="BW355" s="1804"/>
      <c r="BX355" s="1804"/>
      <c r="BY355" s="1804"/>
      <c r="BZ355" s="1804"/>
      <c r="CA355" s="1804"/>
      <c r="CB355" s="1804"/>
      <c r="CC355" s="1804"/>
      <c r="CD355" s="1804"/>
      <c r="CE355" s="1804"/>
      <c r="CF355" s="1804"/>
      <c r="CG355" s="1804"/>
      <c r="CH355" s="1804"/>
      <c r="CI355" s="1804"/>
      <c r="CJ355" s="1804"/>
      <c r="CK355" s="1804"/>
      <c r="CL355" s="1804"/>
      <c r="CM355" s="1804"/>
      <c r="CN355" s="1804"/>
      <c r="CO355" s="1804"/>
      <c r="CP355" s="1804"/>
      <c r="CQ355" s="1804"/>
      <c r="CR355" s="1804"/>
      <c r="CS355" s="1804"/>
      <c r="CT355" s="1804"/>
      <c r="CU355" s="1804"/>
      <c r="CV355" s="1804"/>
      <c r="CW355" s="1804"/>
      <c r="CX355" s="1804"/>
      <c r="CY355" s="1804"/>
      <c r="CZ355" s="1804"/>
      <c r="DA355" s="1804"/>
      <c r="DB355" s="1804"/>
      <c r="DC355" s="1804"/>
      <c r="DD355" s="1804"/>
      <c r="DE355" s="1804"/>
      <c r="DF355" s="1804"/>
      <c r="DG355" s="1804"/>
      <c r="DH355" s="1804"/>
      <c r="DI355" s="1804"/>
      <c r="DJ355" s="1804"/>
      <c r="DK355" s="1804"/>
      <c r="DL355" s="1804"/>
      <c r="DM355" s="1804"/>
      <c r="DN355" s="1804"/>
      <c r="DO355" s="1804"/>
      <c r="DP355" s="1804"/>
      <c r="DQ355" s="1804"/>
      <c r="DR355" s="1804"/>
      <c r="DS355" s="1804"/>
      <c r="DT355" s="1804"/>
      <c r="DU355" s="1804"/>
      <c r="DV355" s="1804"/>
      <c r="DW355" s="1804"/>
      <c r="DX355" s="1804"/>
      <c r="DY355" s="1804"/>
      <c r="DZ355" s="1804"/>
      <c r="EA355" s="1804"/>
      <c r="EB355" s="1804"/>
      <c r="EC355" s="1804"/>
      <c r="ED355" s="1804"/>
      <c r="EE355" s="1804"/>
      <c r="EF355" s="1804"/>
      <c r="EG355" s="1804"/>
      <c r="EH355" s="1804"/>
      <c r="EI355" s="1804"/>
      <c r="EJ355" s="1804"/>
      <c r="EK355" s="1804"/>
      <c r="EL355" s="1804"/>
      <c r="EM355" s="1804"/>
      <c r="EN355" s="1804"/>
      <c r="EO355" s="1804"/>
      <c r="EP355" s="1804"/>
      <c r="EQ355" s="1804"/>
      <c r="ER355" s="1804"/>
      <c r="ES355" s="1804"/>
      <c r="ET355" s="1804"/>
      <c r="EU355" s="1804"/>
      <c r="EV355" s="1804"/>
      <c r="EW355" s="1804"/>
      <c r="EX355" s="1804"/>
      <c r="EY355" s="1804"/>
      <c r="EZ355" s="1804"/>
      <c r="FA355" s="1804"/>
      <c r="FB355" s="1804"/>
      <c r="FC355" s="1804"/>
      <c r="FD355" s="1804"/>
      <c r="FE355" s="1804"/>
      <c r="FF355" s="1804"/>
      <c r="FG355" s="1804"/>
      <c r="FH355" s="1804"/>
      <c r="FI355" s="1804"/>
      <c r="FJ355" s="1804"/>
      <c r="FK355" s="1804"/>
      <c r="FL355" s="1804"/>
      <c r="FM355" s="1804"/>
      <c r="FN355" s="1804"/>
      <c r="FO355" s="1804"/>
      <c r="FP355" s="1804"/>
      <c r="FQ355" s="1804"/>
      <c r="FR355" s="1804"/>
      <c r="FS355" s="1804"/>
      <c r="FT355" s="1804"/>
      <c r="FU355" s="1804"/>
      <c r="FV355" s="1804"/>
      <c r="FW355" s="1804"/>
      <c r="FX355" s="1804"/>
      <c r="FY355" s="1804"/>
      <c r="FZ355" s="1804"/>
      <c r="GA355" s="1804"/>
      <c r="GB355" s="1804"/>
      <c r="GC355" s="1804"/>
      <c r="GD355" s="1804"/>
      <c r="GE355" s="1804"/>
      <c r="GF355" s="1804"/>
      <c r="GG355" s="1804"/>
      <c r="GH355" s="1804"/>
      <c r="GI355" s="1804"/>
      <c r="GJ355" s="1804"/>
      <c r="GK355" s="1804"/>
      <c r="GL355" s="1804"/>
      <c r="GM355" s="1804"/>
      <c r="GN355" s="1804"/>
      <c r="GO355" s="1804"/>
      <c r="GP355" s="1804"/>
      <c r="GQ355" s="1804"/>
      <c r="GR355" s="1804"/>
      <c r="GS355" s="1804"/>
      <c r="GT355" s="1804"/>
      <c r="GU355" s="1804"/>
      <c r="GV355" s="1804"/>
      <c r="GW355" s="1804"/>
      <c r="GX355" s="1804"/>
      <c r="GY355" s="1804"/>
      <c r="GZ355" s="1804"/>
      <c r="HA355" s="1804"/>
      <c r="HB355" s="1804"/>
      <c r="HC355" s="1804"/>
      <c r="HD355" s="1804"/>
      <c r="HE355" s="1804"/>
      <c r="HF355" s="1804"/>
      <c r="HG355" s="1804"/>
      <c r="HH355" s="1804"/>
      <c r="HI355" s="1804"/>
      <c r="HJ355" s="1804"/>
      <c r="HK355" s="1804"/>
      <c r="HL355" s="1804"/>
      <c r="HM355" s="1804"/>
      <c r="HN355" s="1804"/>
      <c r="HO355" s="1804"/>
      <c r="HP355" s="1804"/>
      <c r="HQ355" s="1804"/>
      <c r="HR355" s="1804"/>
      <c r="HS355" s="1804"/>
      <c r="HT355" s="1804"/>
      <c r="HU355" s="1804"/>
      <c r="HV355" s="1804"/>
      <c r="HW355" s="1804"/>
      <c r="HX355" s="1804"/>
      <c r="HY355" s="1804"/>
      <c r="HZ355" s="1804"/>
      <c r="IA355" s="1804"/>
      <c r="IB355" s="1804"/>
      <c r="IC355" s="1804"/>
      <c r="ID355" s="1804"/>
      <c r="IE355" s="1804"/>
      <c r="IF355" s="1804"/>
      <c r="IG355" s="1804"/>
      <c r="IH355" s="1804"/>
      <c r="II355" s="1804"/>
      <c r="IJ355" s="1804"/>
      <c r="IK355" s="1804"/>
      <c r="IL355" s="1804"/>
      <c r="IM355" s="1804"/>
      <c r="IN355" s="1804"/>
      <c r="IO355" s="1804"/>
      <c r="IP355" s="1804"/>
      <c r="IQ355" s="1804"/>
      <c r="IR355" s="1804"/>
      <c r="IS355" s="1804"/>
      <c r="IT355" s="1804"/>
      <c r="IU355" s="1804"/>
      <c r="IV355" s="1804"/>
      <c r="IW355" s="1804"/>
      <c r="IX355" s="1804"/>
      <c r="IY355" s="1804"/>
    </row>
    <row r="356" spans="3:259" s="888" customFormat="1" x14ac:dyDescent="0.45">
      <c r="C356" s="67" t="s">
        <v>534</v>
      </c>
      <c r="D356" s="68" t="s">
        <v>636</v>
      </c>
      <c r="E356" s="69"/>
      <c r="F356" s="125">
        <v>0</v>
      </c>
      <c r="G356" s="126">
        <f t="shared" si="55"/>
        <v>0</v>
      </c>
      <c r="H356" s="118">
        <v>4111760.6073456416</v>
      </c>
      <c r="I356" s="127">
        <f t="shared" si="56"/>
        <v>1041.0566681738428</v>
      </c>
      <c r="J356" s="121">
        <f t="shared" si="67"/>
        <v>4111760.6073456416</v>
      </c>
      <c r="K356" s="128">
        <f t="shared" si="67"/>
        <v>1041.0566681738428</v>
      </c>
      <c r="L356" s="125">
        <v>0</v>
      </c>
      <c r="M356" s="126">
        <f t="shared" si="57"/>
        <v>0</v>
      </c>
      <c r="N356" s="126">
        <f t="shared" si="68"/>
        <v>4111760.6073456416</v>
      </c>
      <c r="O356" s="126">
        <f t="shared" si="68"/>
        <v>1041.0566681738428</v>
      </c>
      <c r="P356" s="118">
        <v>39174303.126828946</v>
      </c>
      <c r="Q356" s="126">
        <f t="shared" si="58"/>
        <v>9918.541808681819</v>
      </c>
      <c r="R356" s="95">
        <v>2386171.7413437762</v>
      </c>
      <c r="S356" s="126">
        <f t="shared" si="59"/>
        <v>604.15482319083071</v>
      </c>
      <c r="T356" s="95">
        <v>0</v>
      </c>
      <c r="U356" s="126">
        <f t="shared" si="60"/>
        <v>0</v>
      </c>
      <c r="V356" s="129"/>
      <c r="W356" s="129"/>
      <c r="X356" s="130">
        <f t="shared" si="61"/>
        <v>41560474.86817272</v>
      </c>
      <c r="Y356" s="130">
        <f t="shared" si="62"/>
        <v>10522.69663187265</v>
      </c>
      <c r="Z356" s="129"/>
      <c r="AA356" s="129"/>
      <c r="AB356" s="131">
        <f t="shared" si="63"/>
        <v>0</v>
      </c>
      <c r="AC356" s="132">
        <f t="shared" si="64"/>
        <v>0</v>
      </c>
      <c r="AD356" s="132">
        <f t="shared" si="65"/>
        <v>45672235.475518361</v>
      </c>
      <c r="AE356" s="132">
        <f t="shared" si="66"/>
        <v>11563.753300046494</v>
      </c>
      <c r="AF356" s="133">
        <f t="shared" si="69"/>
        <v>45672235.475518361</v>
      </c>
      <c r="AG356" s="134">
        <f t="shared" si="69"/>
        <v>11563.753300046494</v>
      </c>
      <c r="AH356" s="1804"/>
      <c r="AI356" s="1804"/>
      <c r="AJ356" s="1804"/>
      <c r="AK356" s="1804"/>
      <c r="AL356" s="1804"/>
      <c r="AM356" s="1804"/>
      <c r="AN356" s="1804"/>
      <c r="AO356" s="1804"/>
      <c r="AP356" s="1804"/>
      <c r="AQ356" s="1804"/>
      <c r="AR356" s="1804"/>
      <c r="AS356" s="1804"/>
      <c r="AT356" s="1804"/>
      <c r="AU356" s="1804"/>
      <c r="AV356" s="1804"/>
      <c r="AW356" s="1804"/>
      <c r="AX356" s="1804"/>
      <c r="AY356" s="1804"/>
      <c r="AZ356" s="1804"/>
      <c r="BA356" s="1804"/>
      <c r="BB356" s="1804"/>
      <c r="BC356" s="1804"/>
      <c r="BD356" s="1804"/>
      <c r="BE356" s="1804"/>
      <c r="BF356" s="1804"/>
      <c r="BG356" s="1804"/>
      <c r="BH356" s="1804"/>
      <c r="BI356" s="1804"/>
      <c r="BJ356" s="1804"/>
      <c r="BK356" s="1804"/>
      <c r="BL356" s="1804"/>
      <c r="BM356" s="1804"/>
      <c r="BN356" s="1804"/>
      <c r="BO356" s="1804"/>
      <c r="BP356" s="1804"/>
      <c r="BQ356" s="1804"/>
      <c r="BR356" s="1804"/>
      <c r="BS356" s="1804"/>
      <c r="BT356" s="1804"/>
      <c r="BU356" s="1804"/>
      <c r="BV356" s="1804"/>
      <c r="BW356" s="1804"/>
      <c r="BX356" s="1804"/>
      <c r="BY356" s="1804"/>
      <c r="BZ356" s="1804"/>
      <c r="CA356" s="1804"/>
      <c r="CB356" s="1804"/>
      <c r="CC356" s="1804"/>
      <c r="CD356" s="1804"/>
      <c r="CE356" s="1804"/>
      <c r="CF356" s="1804"/>
      <c r="CG356" s="1804"/>
      <c r="CH356" s="1804"/>
      <c r="CI356" s="1804"/>
      <c r="CJ356" s="1804"/>
      <c r="CK356" s="1804"/>
      <c r="CL356" s="1804"/>
      <c r="CM356" s="1804"/>
      <c r="CN356" s="1804"/>
      <c r="CO356" s="1804"/>
      <c r="CP356" s="1804"/>
      <c r="CQ356" s="1804"/>
      <c r="CR356" s="1804"/>
      <c r="CS356" s="1804"/>
      <c r="CT356" s="1804"/>
      <c r="CU356" s="1804"/>
      <c r="CV356" s="1804"/>
      <c r="CW356" s="1804"/>
      <c r="CX356" s="1804"/>
      <c r="CY356" s="1804"/>
      <c r="CZ356" s="1804"/>
      <c r="DA356" s="1804"/>
      <c r="DB356" s="1804"/>
      <c r="DC356" s="1804"/>
      <c r="DD356" s="1804"/>
      <c r="DE356" s="1804"/>
      <c r="DF356" s="1804"/>
      <c r="DG356" s="1804"/>
      <c r="DH356" s="1804"/>
      <c r="DI356" s="1804"/>
      <c r="DJ356" s="1804"/>
      <c r="DK356" s="1804"/>
      <c r="DL356" s="1804"/>
      <c r="DM356" s="1804"/>
      <c r="DN356" s="1804"/>
      <c r="DO356" s="1804"/>
      <c r="DP356" s="1804"/>
      <c r="DQ356" s="1804"/>
      <c r="DR356" s="1804"/>
      <c r="DS356" s="1804"/>
      <c r="DT356" s="1804"/>
      <c r="DU356" s="1804"/>
      <c r="DV356" s="1804"/>
      <c r="DW356" s="1804"/>
      <c r="DX356" s="1804"/>
      <c r="DY356" s="1804"/>
      <c r="DZ356" s="1804"/>
      <c r="EA356" s="1804"/>
      <c r="EB356" s="1804"/>
      <c r="EC356" s="1804"/>
      <c r="ED356" s="1804"/>
      <c r="EE356" s="1804"/>
      <c r="EF356" s="1804"/>
      <c r="EG356" s="1804"/>
      <c r="EH356" s="1804"/>
      <c r="EI356" s="1804"/>
      <c r="EJ356" s="1804"/>
      <c r="EK356" s="1804"/>
      <c r="EL356" s="1804"/>
      <c r="EM356" s="1804"/>
      <c r="EN356" s="1804"/>
      <c r="EO356" s="1804"/>
      <c r="EP356" s="1804"/>
      <c r="EQ356" s="1804"/>
      <c r="ER356" s="1804"/>
      <c r="ES356" s="1804"/>
      <c r="ET356" s="1804"/>
      <c r="EU356" s="1804"/>
      <c r="EV356" s="1804"/>
      <c r="EW356" s="1804"/>
      <c r="EX356" s="1804"/>
      <c r="EY356" s="1804"/>
      <c r="EZ356" s="1804"/>
      <c r="FA356" s="1804"/>
      <c r="FB356" s="1804"/>
      <c r="FC356" s="1804"/>
      <c r="FD356" s="1804"/>
      <c r="FE356" s="1804"/>
      <c r="FF356" s="1804"/>
      <c r="FG356" s="1804"/>
      <c r="FH356" s="1804"/>
      <c r="FI356" s="1804"/>
      <c r="FJ356" s="1804"/>
      <c r="FK356" s="1804"/>
      <c r="FL356" s="1804"/>
      <c r="FM356" s="1804"/>
      <c r="FN356" s="1804"/>
      <c r="FO356" s="1804"/>
      <c r="FP356" s="1804"/>
      <c r="FQ356" s="1804"/>
      <c r="FR356" s="1804"/>
      <c r="FS356" s="1804"/>
      <c r="FT356" s="1804"/>
      <c r="FU356" s="1804"/>
      <c r="FV356" s="1804"/>
      <c r="FW356" s="1804"/>
      <c r="FX356" s="1804"/>
      <c r="FY356" s="1804"/>
      <c r="FZ356" s="1804"/>
      <c r="GA356" s="1804"/>
      <c r="GB356" s="1804"/>
      <c r="GC356" s="1804"/>
      <c r="GD356" s="1804"/>
      <c r="GE356" s="1804"/>
      <c r="GF356" s="1804"/>
      <c r="GG356" s="1804"/>
      <c r="GH356" s="1804"/>
      <c r="GI356" s="1804"/>
      <c r="GJ356" s="1804"/>
      <c r="GK356" s="1804"/>
      <c r="GL356" s="1804"/>
      <c r="GM356" s="1804"/>
      <c r="GN356" s="1804"/>
      <c r="GO356" s="1804"/>
      <c r="GP356" s="1804"/>
      <c r="GQ356" s="1804"/>
      <c r="GR356" s="1804"/>
      <c r="GS356" s="1804"/>
      <c r="GT356" s="1804"/>
      <c r="GU356" s="1804"/>
      <c r="GV356" s="1804"/>
      <c r="GW356" s="1804"/>
      <c r="GX356" s="1804"/>
      <c r="GY356" s="1804"/>
      <c r="GZ356" s="1804"/>
      <c r="HA356" s="1804"/>
      <c r="HB356" s="1804"/>
      <c r="HC356" s="1804"/>
      <c r="HD356" s="1804"/>
      <c r="HE356" s="1804"/>
      <c r="HF356" s="1804"/>
      <c r="HG356" s="1804"/>
      <c r="HH356" s="1804"/>
      <c r="HI356" s="1804"/>
      <c r="HJ356" s="1804"/>
      <c r="HK356" s="1804"/>
      <c r="HL356" s="1804"/>
      <c r="HM356" s="1804"/>
      <c r="HN356" s="1804"/>
      <c r="HO356" s="1804"/>
      <c r="HP356" s="1804"/>
      <c r="HQ356" s="1804"/>
      <c r="HR356" s="1804"/>
      <c r="HS356" s="1804"/>
      <c r="HT356" s="1804"/>
      <c r="HU356" s="1804"/>
      <c r="HV356" s="1804"/>
      <c r="HW356" s="1804"/>
      <c r="HX356" s="1804"/>
      <c r="HY356" s="1804"/>
      <c r="HZ356" s="1804"/>
      <c r="IA356" s="1804"/>
      <c r="IB356" s="1804"/>
      <c r="IC356" s="1804"/>
      <c r="ID356" s="1804"/>
      <c r="IE356" s="1804"/>
      <c r="IF356" s="1804"/>
      <c r="IG356" s="1804"/>
      <c r="IH356" s="1804"/>
      <c r="II356" s="1804"/>
      <c r="IJ356" s="1804"/>
      <c r="IK356" s="1804"/>
      <c r="IL356" s="1804"/>
      <c r="IM356" s="1804"/>
      <c r="IN356" s="1804"/>
      <c r="IO356" s="1804"/>
      <c r="IP356" s="1804"/>
      <c r="IQ356" s="1804"/>
      <c r="IR356" s="1804"/>
      <c r="IS356" s="1804"/>
      <c r="IT356" s="1804"/>
      <c r="IU356" s="1804"/>
      <c r="IV356" s="1804"/>
      <c r="IW356" s="1804"/>
      <c r="IX356" s="1804"/>
      <c r="IY356" s="1804"/>
    </row>
    <row r="357" spans="3:259" s="888" customFormat="1" x14ac:dyDescent="0.45">
      <c r="C357" s="67" t="s">
        <v>535</v>
      </c>
      <c r="D357" s="68" t="s">
        <v>637</v>
      </c>
      <c r="E357" s="69"/>
      <c r="F357" s="125">
        <v>3325149.1855348106</v>
      </c>
      <c r="G357" s="126">
        <f t="shared" si="55"/>
        <v>853.59904741864125</v>
      </c>
      <c r="H357" s="118">
        <v>50695927.023307309</v>
      </c>
      <c r="I357" s="127">
        <f t="shared" si="56"/>
        <v>12835.701763031175</v>
      </c>
      <c r="J357" s="121">
        <f t="shared" si="67"/>
        <v>54021076.208842121</v>
      </c>
      <c r="K357" s="128">
        <f t="shared" si="67"/>
        <v>13689.300810449817</v>
      </c>
      <c r="L357" s="125">
        <v>1594788.7912512759</v>
      </c>
      <c r="M357" s="126">
        <f t="shared" si="57"/>
        <v>409.39823060211501</v>
      </c>
      <c r="N357" s="126">
        <f t="shared" si="68"/>
        <v>55615865.0000934</v>
      </c>
      <c r="O357" s="126">
        <f t="shared" si="68"/>
        <v>14098.699041051932</v>
      </c>
      <c r="P357" s="118">
        <v>0</v>
      </c>
      <c r="Q357" s="126">
        <f t="shared" si="58"/>
        <v>0</v>
      </c>
      <c r="R357" s="95">
        <v>0</v>
      </c>
      <c r="S357" s="126">
        <f t="shared" si="59"/>
        <v>0</v>
      </c>
      <c r="T357" s="95">
        <v>9766426.3619893696</v>
      </c>
      <c r="U357" s="126">
        <f t="shared" si="60"/>
        <v>2472.7614905920882</v>
      </c>
      <c r="V357" s="129"/>
      <c r="W357" s="129"/>
      <c r="X357" s="130">
        <f t="shared" si="61"/>
        <v>9766426.3619893696</v>
      </c>
      <c r="Y357" s="130">
        <f t="shared" si="62"/>
        <v>2472.7614905920882</v>
      </c>
      <c r="Z357" s="129"/>
      <c r="AA357" s="129"/>
      <c r="AB357" s="131">
        <f t="shared" si="63"/>
        <v>4919937.9767860863</v>
      </c>
      <c r="AC357" s="132">
        <f t="shared" si="64"/>
        <v>1262.9972780207563</v>
      </c>
      <c r="AD357" s="132">
        <f t="shared" si="65"/>
        <v>60462353.38529668</v>
      </c>
      <c r="AE357" s="132">
        <f t="shared" si="66"/>
        <v>15308.463253623264</v>
      </c>
      <c r="AF357" s="133">
        <f t="shared" si="69"/>
        <v>65382291.362082765</v>
      </c>
      <c r="AG357" s="134">
        <f t="shared" si="69"/>
        <v>16571.460531644021</v>
      </c>
      <c r="AH357" s="1804"/>
      <c r="AI357" s="1804"/>
      <c r="AJ357" s="1804"/>
      <c r="AK357" s="1804"/>
      <c r="AL357" s="1804"/>
      <c r="AM357" s="1804"/>
      <c r="AN357" s="1804"/>
      <c r="AO357" s="1804"/>
      <c r="AP357" s="1804"/>
      <c r="AQ357" s="1804"/>
      <c r="AR357" s="1804"/>
      <c r="AS357" s="1804"/>
      <c r="AT357" s="1804"/>
      <c r="AU357" s="1804"/>
      <c r="AV357" s="1804"/>
      <c r="AW357" s="1804"/>
      <c r="AX357" s="1804"/>
      <c r="AY357" s="1804"/>
      <c r="AZ357" s="1804"/>
      <c r="BA357" s="1804"/>
      <c r="BB357" s="1804"/>
      <c r="BC357" s="1804"/>
      <c r="BD357" s="1804"/>
      <c r="BE357" s="1804"/>
      <c r="BF357" s="1804"/>
      <c r="BG357" s="1804"/>
      <c r="BH357" s="1804"/>
      <c r="BI357" s="1804"/>
      <c r="BJ357" s="1804"/>
      <c r="BK357" s="1804"/>
      <c r="BL357" s="1804"/>
      <c r="BM357" s="1804"/>
      <c r="BN357" s="1804"/>
      <c r="BO357" s="1804"/>
      <c r="BP357" s="1804"/>
      <c r="BQ357" s="1804"/>
      <c r="BR357" s="1804"/>
      <c r="BS357" s="1804"/>
      <c r="BT357" s="1804"/>
      <c r="BU357" s="1804"/>
      <c r="BV357" s="1804"/>
      <c r="BW357" s="1804"/>
      <c r="BX357" s="1804"/>
      <c r="BY357" s="1804"/>
      <c r="BZ357" s="1804"/>
      <c r="CA357" s="1804"/>
      <c r="CB357" s="1804"/>
      <c r="CC357" s="1804"/>
      <c r="CD357" s="1804"/>
      <c r="CE357" s="1804"/>
      <c r="CF357" s="1804"/>
      <c r="CG357" s="1804"/>
      <c r="CH357" s="1804"/>
      <c r="CI357" s="1804"/>
      <c r="CJ357" s="1804"/>
      <c r="CK357" s="1804"/>
      <c r="CL357" s="1804"/>
      <c r="CM357" s="1804"/>
      <c r="CN357" s="1804"/>
      <c r="CO357" s="1804"/>
      <c r="CP357" s="1804"/>
      <c r="CQ357" s="1804"/>
      <c r="CR357" s="1804"/>
      <c r="CS357" s="1804"/>
      <c r="CT357" s="1804"/>
      <c r="CU357" s="1804"/>
      <c r="CV357" s="1804"/>
      <c r="CW357" s="1804"/>
      <c r="CX357" s="1804"/>
      <c r="CY357" s="1804"/>
      <c r="CZ357" s="1804"/>
      <c r="DA357" s="1804"/>
      <c r="DB357" s="1804"/>
      <c r="DC357" s="1804"/>
      <c r="DD357" s="1804"/>
      <c r="DE357" s="1804"/>
      <c r="DF357" s="1804"/>
      <c r="DG357" s="1804"/>
      <c r="DH357" s="1804"/>
      <c r="DI357" s="1804"/>
      <c r="DJ357" s="1804"/>
      <c r="DK357" s="1804"/>
      <c r="DL357" s="1804"/>
      <c r="DM357" s="1804"/>
      <c r="DN357" s="1804"/>
      <c r="DO357" s="1804"/>
      <c r="DP357" s="1804"/>
      <c r="DQ357" s="1804"/>
      <c r="DR357" s="1804"/>
      <c r="DS357" s="1804"/>
      <c r="DT357" s="1804"/>
      <c r="DU357" s="1804"/>
      <c r="DV357" s="1804"/>
      <c r="DW357" s="1804"/>
      <c r="DX357" s="1804"/>
      <c r="DY357" s="1804"/>
      <c r="DZ357" s="1804"/>
      <c r="EA357" s="1804"/>
      <c r="EB357" s="1804"/>
      <c r="EC357" s="1804"/>
      <c r="ED357" s="1804"/>
      <c r="EE357" s="1804"/>
      <c r="EF357" s="1804"/>
      <c r="EG357" s="1804"/>
      <c r="EH357" s="1804"/>
      <c r="EI357" s="1804"/>
      <c r="EJ357" s="1804"/>
      <c r="EK357" s="1804"/>
      <c r="EL357" s="1804"/>
      <c r="EM357" s="1804"/>
      <c r="EN357" s="1804"/>
      <c r="EO357" s="1804"/>
      <c r="EP357" s="1804"/>
      <c r="EQ357" s="1804"/>
      <c r="ER357" s="1804"/>
      <c r="ES357" s="1804"/>
      <c r="ET357" s="1804"/>
      <c r="EU357" s="1804"/>
      <c r="EV357" s="1804"/>
      <c r="EW357" s="1804"/>
      <c r="EX357" s="1804"/>
      <c r="EY357" s="1804"/>
      <c r="EZ357" s="1804"/>
      <c r="FA357" s="1804"/>
      <c r="FB357" s="1804"/>
      <c r="FC357" s="1804"/>
      <c r="FD357" s="1804"/>
      <c r="FE357" s="1804"/>
      <c r="FF357" s="1804"/>
      <c r="FG357" s="1804"/>
      <c r="FH357" s="1804"/>
      <c r="FI357" s="1804"/>
      <c r="FJ357" s="1804"/>
      <c r="FK357" s="1804"/>
      <c r="FL357" s="1804"/>
      <c r="FM357" s="1804"/>
      <c r="FN357" s="1804"/>
      <c r="FO357" s="1804"/>
      <c r="FP357" s="1804"/>
      <c r="FQ357" s="1804"/>
      <c r="FR357" s="1804"/>
      <c r="FS357" s="1804"/>
      <c r="FT357" s="1804"/>
      <c r="FU357" s="1804"/>
      <c r="FV357" s="1804"/>
      <c r="FW357" s="1804"/>
      <c r="FX357" s="1804"/>
      <c r="FY357" s="1804"/>
      <c r="FZ357" s="1804"/>
      <c r="GA357" s="1804"/>
      <c r="GB357" s="1804"/>
      <c r="GC357" s="1804"/>
      <c r="GD357" s="1804"/>
      <c r="GE357" s="1804"/>
      <c r="GF357" s="1804"/>
      <c r="GG357" s="1804"/>
      <c r="GH357" s="1804"/>
      <c r="GI357" s="1804"/>
      <c r="GJ357" s="1804"/>
      <c r="GK357" s="1804"/>
      <c r="GL357" s="1804"/>
      <c r="GM357" s="1804"/>
      <c r="GN357" s="1804"/>
      <c r="GO357" s="1804"/>
      <c r="GP357" s="1804"/>
      <c r="GQ357" s="1804"/>
      <c r="GR357" s="1804"/>
      <c r="GS357" s="1804"/>
      <c r="GT357" s="1804"/>
      <c r="GU357" s="1804"/>
      <c r="GV357" s="1804"/>
      <c r="GW357" s="1804"/>
      <c r="GX357" s="1804"/>
      <c r="GY357" s="1804"/>
      <c r="GZ357" s="1804"/>
      <c r="HA357" s="1804"/>
      <c r="HB357" s="1804"/>
      <c r="HC357" s="1804"/>
      <c r="HD357" s="1804"/>
      <c r="HE357" s="1804"/>
      <c r="HF357" s="1804"/>
      <c r="HG357" s="1804"/>
      <c r="HH357" s="1804"/>
      <c r="HI357" s="1804"/>
      <c r="HJ357" s="1804"/>
      <c r="HK357" s="1804"/>
      <c r="HL357" s="1804"/>
      <c r="HM357" s="1804"/>
      <c r="HN357" s="1804"/>
      <c r="HO357" s="1804"/>
      <c r="HP357" s="1804"/>
      <c r="HQ357" s="1804"/>
      <c r="HR357" s="1804"/>
      <c r="HS357" s="1804"/>
      <c r="HT357" s="1804"/>
      <c r="HU357" s="1804"/>
      <c r="HV357" s="1804"/>
      <c r="HW357" s="1804"/>
      <c r="HX357" s="1804"/>
      <c r="HY357" s="1804"/>
      <c r="HZ357" s="1804"/>
      <c r="IA357" s="1804"/>
      <c r="IB357" s="1804"/>
      <c r="IC357" s="1804"/>
      <c r="ID357" s="1804"/>
      <c r="IE357" s="1804"/>
      <c r="IF357" s="1804"/>
      <c r="IG357" s="1804"/>
      <c r="IH357" s="1804"/>
      <c r="II357" s="1804"/>
      <c r="IJ357" s="1804"/>
      <c r="IK357" s="1804"/>
      <c r="IL357" s="1804"/>
      <c r="IM357" s="1804"/>
      <c r="IN357" s="1804"/>
      <c r="IO357" s="1804"/>
      <c r="IP357" s="1804"/>
      <c r="IQ357" s="1804"/>
      <c r="IR357" s="1804"/>
      <c r="IS357" s="1804"/>
      <c r="IT357" s="1804"/>
      <c r="IU357" s="1804"/>
      <c r="IV357" s="1804"/>
      <c r="IW357" s="1804"/>
      <c r="IX357" s="1804"/>
      <c r="IY357" s="1804"/>
    </row>
    <row r="358" spans="3:259" s="888" customFormat="1" x14ac:dyDescent="0.45">
      <c r="C358" s="67" t="s">
        <v>536</v>
      </c>
      <c r="D358" s="68" t="s">
        <v>638</v>
      </c>
      <c r="E358" s="69"/>
      <c r="F358" s="125">
        <v>41323668.12172319</v>
      </c>
      <c r="G358" s="126">
        <f t="shared" si="55"/>
        <v>10608.19884352756</v>
      </c>
      <c r="H358" s="118">
        <v>6976115.7530105785</v>
      </c>
      <c r="I358" s="127">
        <f t="shared" si="56"/>
        <v>1766.2827475047482</v>
      </c>
      <c r="J358" s="121">
        <f t="shared" si="67"/>
        <v>48299783.874733768</v>
      </c>
      <c r="K358" s="128">
        <f t="shared" si="67"/>
        <v>12374.481591032309</v>
      </c>
      <c r="L358" s="125">
        <v>10987068.886654269</v>
      </c>
      <c r="M358" s="126">
        <f t="shared" si="57"/>
        <v>2820.4904538930173</v>
      </c>
      <c r="N358" s="126">
        <f t="shared" si="68"/>
        <v>59286852.761388034</v>
      </c>
      <c r="O358" s="126">
        <f t="shared" si="68"/>
        <v>15194.972044925325</v>
      </c>
      <c r="P358" s="118">
        <v>55048752.633746527</v>
      </c>
      <c r="Q358" s="126">
        <f t="shared" si="58"/>
        <v>13937.793679338281</v>
      </c>
      <c r="R358" s="95">
        <v>0</v>
      </c>
      <c r="S358" s="126">
        <f t="shared" si="59"/>
        <v>0</v>
      </c>
      <c r="T358" s="95">
        <v>0</v>
      </c>
      <c r="U358" s="126">
        <f t="shared" si="60"/>
        <v>0</v>
      </c>
      <c r="V358" s="129"/>
      <c r="W358" s="129"/>
      <c r="X358" s="130">
        <f t="shared" si="61"/>
        <v>55048752.633746527</v>
      </c>
      <c r="Y358" s="130">
        <f t="shared" si="62"/>
        <v>13937.793679338281</v>
      </c>
      <c r="Z358" s="129"/>
      <c r="AA358" s="129"/>
      <c r="AB358" s="131">
        <f t="shared" si="63"/>
        <v>52310737.008377463</v>
      </c>
      <c r="AC358" s="132">
        <f t="shared" si="64"/>
        <v>13428.689297420577</v>
      </c>
      <c r="AD358" s="132">
        <f t="shared" si="65"/>
        <v>62024868.386757106</v>
      </c>
      <c r="AE358" s="132">
        <f t="shared" si="66"/>
        <v>15704.07642684303</v>
      </c>
      <c r="AF358" s="133">
        <f t="shared" si="69"/>
        <v>114335605.39513457</v>
      </c>
      <c r="AG358" s="134">
        <f t="shared" si="69"/>
        <v>29132.765724263605</v>
      </c>
      <c r="AH358" s="1804"/>
      <c r="AI358" s="1804"/>
      <c r="AJ358" s="1804"/>
      <c r="AK358" s="1804"/>
      <c r="AL358" s="1804"/>
      <c r="AM358" s="1804"/>
      <c r="AN358" s="1804"/>
      <c r="AO358" s="1804"/>
      <c r="AP358" s="1804"/>
      <c r="AQ358" s="1804"/>
      <c r="AR358" s="1804"/>
      <c r="AS358" s="1804"/>
      <c r="AT358" s="1804"/>
      <c r="AU358" s="1804"/>
      <c r="AV358" s="1804"/>
      <c r="AW358" s="1804"/>
      <c r="AX358" s="1804"/>
      <c r="AY358" s="1804"/>
      <c r="AZ358" s="1804"/>
      <c r="BA358" s="1804"/>
      <c r="BB358" s="1804"/>
      <c r="BC358" s="1804"/>
      <c r="BD358" s="1804"/>
      <c r="BE358" s="1804"/>
      <c r="BF358" s="1804"/>
      <c r="BG358" s="1804"/>
      <c r="BH358" s="1804"/>
      <c r="BI358" s="1804"/>
      <c r="BJ358" s="1804"/>
      <c r="BK358" s="1804"/>
      <c r="BL358" s="1804"/>
      <c r="BM358" s="1804"/>
      <c r="BN358" s="1804"/>
      <c r="BO358" s="1804"/>
      <c r="BP358" s="1804"/>
      <c r="BQ358" s="1804"/>
      <c r="BR358" s="1804"/>
      <c r="BS358" s="1804"/>
      <c r="BT358" s="1804"/>
      <c r="BU358" s="1804"/>
      <c r="BV358" s="1804"/>
      <c r="BW358" s="1804"/>
      <c r="BX358" s="1804"/>
      <c r="BY358" s="1804"/>
      <c r="BZ358" s="1804"/>
      <c r="CA358" s="1804"/>
      <c r="CB358" s="1804"/>
      <c r="CC358" s="1804"/>
      <c r="CD358" s="1804"/>
      <c r="CE358" s="1804"/>
      <c r="CF358" s="1804"/>
      <c r="CG358" s="1804"/>
      <c r="CH358" s="1804"/>
      <c r="CI358" s="1804"/>
      <c r="CJ358" s="1804"/>
      <c r="CK358" s="1804"/>
      <c r="CL358" s="1804"/>
      <c r="CM358" s="1804"/>
      <c r="CN358" s="1804"/>
      <c r="CO358" s="1804"/>
      <c r="CP358" s="1804"/>
      <c r="CQ358" s="1804"/>
      <c r="CR358" s="1804"/>
      <c r="CS358" s="1804"/>
      <c r="CT358" s="1804"/>
      <c r="CU358" s="1804"/>
      <c r="CV358" s="1804"/>
      <c r="CW358" s="1804"/>
      <c r="CX358" s="1804"/>
      <c r="CY358" s="1804"/>
      <c r="CZ358" s="1804"/>
      <c r="DA358" s="1804"/>
      <c r="DB358" s="1804"/>
      <c r="DC358" s="1804"/>
      <c r="DD358" s="1804"/>
      <c r="DE358" s="1804"/>
      <c r="DF358" s="1804"/>
      <c r="DG358" s="1804"/>
      <c r="DH358" s="1804"/>
      <c r="DI358" s="1804"/>
      <c r="DJ358" s="1804"/>
      <c r="DK358" s="1804"/>
      <c r="DL358" s="1804"/>
      <c r="DM358" s="1804"/>
      <c r="DN358" s="1804"/>
      <c r="DO358" s="1804"/>
      <c r="DP358" s="1804"/>
      <c r="DQ358" s="1804"/>
      <c r="DR358" s="1804"/>
      <c r="DS358" s="1804"/>
      <c r="DT358" s="1804"/>
      <c r="DU358" s="1804"/>
      <c r="DV358" s="1804"/>
      <c r="DW358" s="1804"/>
      <c r="DX358" s="1804"/>
      <c r="DY358" s="1804"/>
      <c r="DZ358" s="1804"/>
      <c r="EA358" s="1804"/>
      <c r="EB358" s="1804"/>
      <c r="EC358" s="1804"/>
      <c r="ED358" s="1804"/>
      <c r="EE358" s="1804"/>
      <c r="EF358" s="1804"/>
      <c r="EG358" s="1804"/>
      <c r="EH358" s="1804"/>
      <c r="EI358" s="1804"/>
      <c r="EJ358" s="1804"/>
      <c r="EK358" s="1804"/>
      <c r="EL358" s="1804"/>
      <c r="EM358" s="1804"/>
      <c r="EN358" s="1804"/>
      <c r="EO358" s="1804"/>
      <c r="EP358" s="1804"/>
      <c r="EQ358" s="1804"/>
      <c r="ER358" s="1804"/>
      <c r="ES358" s="1804"/>
      <c r="ET358" s="1804"/>
      <c r="EU358" s="1804"/>
      <c r="EV358" s="1804"/>
      <c r="EW358" s="1804"/>
      <c r="EX358" s="1804"/>
      <c r="EY358" s="1804"/>
      <c r="EZ358" s="1804"/>
      <c r="FA358" s="1804"/>
      <c r="FB358" s="1804"/>
      <c r="FC358" s="1804"/>
      <c r="FD358" s="1804"/>
      <c r="FE358" s="1804"/>
      <c r="FF358" s="1804"/>
      <c r="FG358" s="1804"/>
      <c r="FH358" s="1804"/>
      <c r="FI358" s="1804"/>
      <c r="FJ358" s="1804"/>
      <c r="FK358" s="1804"/>
      <c r="FL358" s="1804"/>
      <c r="FM358" s="1804"/>
      <c r="FN358" s="1804"/>
      <c r="FO358" s="1804"/>
      <c r="FP358" s="1804"/>
      <c r="FQ358" s="1804"/>
      <c r="FR358" s="1804"/>
      <c r="FS358" s="1804"/>
      <c r="FT358" s="1804"/>
      <c r="FU358" s="1804"/>
      <c r="FV358" s="1804"/>
      <c r="FW358" s="1804"/>
      <c r="FX358" s="1804"/>
      <c r="FY358" s="1804"/>
      <c r="FZ358" s="1804"/>
      <c r="GA358" s="1804"/>
      <c r="GB358" s="1804"/>
      <c r="GC358" s="1804"/>
      <c r="GD358" s="1804"/>
      <c r="GE358" s="1804"/>
      <c r="GF358" s="1804"/>
      <c r="GG358" s="1804"/>
      <c r="GH358" s="1804"/>
      <c r="GI358" s="1804"/>
      <c r="GJ358" s="1804"/>
      <c r="GK358" s="1804"/>
      <c r="GL358" s="1804"/>
      <c r="GM358" s="1804"/>
      <c r="GN358" s="1804"/>
      <c r="GO358" s="1804"/>
      <c r="GP358" s="1804"/>
      <c r="GQ358" s="1804"/>
      <c r="GR358" s="1804"/>
      <c r="GS358" s="1804"/>
      <c r="GT358" s="1804"/>
      <c r="GU358" s="1804"/>
      <c r="GV358" s="1804"/>
      <c r="GW358" s="1804"/>
      <c r="GX358" s="1804"/>
      <c r="GY358" s="1804"/>
      <c r="GZ358" s="1804"/>
      <c r="HA358" s="1804"/>
      <c r="HB358" s="1804"/>
      <c r="HC358" s="1804"/>
      <c r="HD358" s="1804"/>
      <c r="HE358" s="1804"/>
      <c r="HF358" s="1804"/>
      <c r="HG358" s="1804"/>
      <c r="HH358" s="1804"/>
      <c r="HI358" s="1804"/>
      <c r="HJ358" s="1804"/>
      <c r="HK358" s="1804"/>
      <c r="HL358" s="1804"/>
      <c r="HM358" s="1804"/>
      <c r="HN358" s="1804"/>
      <c r="HO358" s="1804"/>
      <c r="HP358" s="1804"/>
      <c r="HQ358" s="1804"/>
      <c r="HR358" s="1804"/>
      <c r="HS358" s="1804"/>
      <c r="HT358" s="1804"/>
      <c r="HU358" s="1804"/>
      <c r="HV358" s="1804"/>
      <c r="HW358" s="1804"/>
      <c r="HX358" s="1804"/>
      <c r="HY358" s="1804"/>
      <c r="HZ358" s="1804"/>
      <c r="IA358" s="1804"/>
      <c r="IB358" s="1804"/>
      <c r="IC358" s="1804"/>
      <c r="ID358" s="1804"/>
      <c r="IE358" s="1804"/>
      <c r="IF358" s="1804"/>
      <c r="IG358" s="1804"/>
      <c r="IH358" s="1804"/>
      <c r="II358" s="1804"/>
      <c r="IJ358" s="1804"/>
      <c r="IK358" s="1804"/>
      <c r="IL358" s="1804"/>
      <c r="IM358" s="1804"/>
      <c r="IN358" s="1804"/>
      <c r="IO358" s="1804"/>
      <c r="IP358" s="1804"/>
      <c r="IQ358" s="1804"/>
      <c r="IR358" s="1804"/>
      <c r="IS358" s="1804"/>
      <c r="IT358" s="1804"/>
      <c r="IU358" s="1804"/>
      <c r="IV358" s="1804"/>
      <c r="IW358" s="1804"/>
      <c r="IX358" s="1804"/>
      <c r="IY358" s="1804"/>
    </row>
    <row r="359" spans="3:259" s="888" customFormat="1" x14ac:dyDescent="0.45">
      <c r="C359" s="67" t="s">
        <v>537</v>
      </c>
      <c r="D359" s="68" t="s">
        <v>639</v>
      </c>
      <c r="E359" s="69"/>
      <c r="F359" s="125">
        <v>867712.2422431506</v>
      </c>
      <c r="G359" s="126">
        <f t="shared" si="55"/>
        <v>222.7504097062392</v>
      </c>
      <c r="H359" s="118">
        <v>26239154.828054465</v>
      </c>
      <c r="I359" s="127">
        <f t="shared" si="56"/>
        <v>6643.49161091511</v>
      </c>
      <c r="J359" s="121">
        <f t="shared" si="67"/>
        <v>27106867.070297617</v>
      </c>
      <c r="K359" s="128">
        <f t="shared" si="67"/>
        <v>6866.2420206213492</v>
      </c>
      <c r="L359" s="125">
        <v>1355148.3387938389</v>
      </c>
      <c r="M359" s="126">
        <f t="shared" si="57"/>
        <v>347.8801300517664</v>
      </c>
      <c r="N359" s="126">
        <f t="shared" si="68"/>
        <v>28462015.409091458</v>
      </c>
      <c r="O359" s="126">
        <f t="shared" si="68"/>
        <v>7214.1221506731154</v>
      </c>
      <c r="P359" s="118">
        <v>17062175.79170841</v>
      </c>
      <c r="Q359" s="126">
        <f t="shared" si="58"/>
        <v>4319.9722887026519</v>
      </c>
      <c r="R359" s="95">
        <v>0</v>
      </c>
      <c r="S359" s="126">
        <f t="shared" si="59"/>
        <v>0</v>
      </c>
      <c r="T359" s="95">
        <v>0</v>
      </c>
      <c r="U359" s="126">
        <f t="shared" si="60"/>
        <v>0</v>
      </c>
      <c r="V359" s="129"/>
      <c r="W359" s="129"/>
      <c r="X359" s="130">
        <f t="shared" si="61"/>
        <v>17062175.79170841</v>
      </c>
      <c r="Y359" s="130">
        <f t="shared" si="62"/>
        <v>4319.9722887026519</v>
      </c>
      <c r="Z359" s="129"/>
      <c r="AA359" s="129"/>
      <c r="AB359" s="131">
        <f t="shared" si="63"/>
        <v>2222860.5810369896</v>
      </c>
      <c r="AC359" s="132">
        <f t="shared" si="64"/>
        <v>570.63053975800563</v>
      </c>
      <c r="AD359" s="132">
        <f t="shared" si="65"/>
        <v>43301330.619762875</v>
      </c>
      <c r="AE359" s="132">
        <f t="shared" si="66"/>
        <v>10963.463899617762</v>
      </c>
      <c r="AF359" s="133">
        <f t="shared" si="69"/>
        <v>45524191.200799868</v>
      </c>
      <c r="AG359" s="134">
        <f t="shared" si="69"/>
        <v>11534.094439375767</v>
      </c>
      <c r="AH359" s="1804"/>
      <c r="AI359" s="1804"/>
      <c r="AJ359" s="1804"/>
      <c r="AK359" s="1804"/>
      <c r="AL359" s="1804"/>
      <c r="AM359" s="1804"/>
      <c r="AN359" s="1804"/>
      <c r="AO359" s="1804"/>
      <c r="AP359" s="1804"/>
      <c r="AQ359" s="1804"/>
      <c r="AR359" s="1804"/>
      <c r="AS359" s="1804"/>
      <c r="AT359" s="1804"/>
      <c r="AU359" s="1804"/>
      <c r="AV359" s="1804"/>
      <c r="AW359" s="1804"/>
      <c r="AX359" s="1804"/>
      <c r="AY359" s="1804"/>
      <c r="AZ359" s="1804"/>
      <c r="BA359" s="1804"/>
      <c r="BB359" s="1804"/>
      <c r="BC359" s="1804"/>
      <c r="BD359" s="1804"/>
      <c r="BE359" s="1804"/>
      <c r="BF359" s="1804"/>
      <c r="BG359" s="1804"/>
      <c r="BH359" s="1804"/>
      <c r="BI359" s="1804"/>
      <c r="BJ359" s="1804"/>
      <c r="BK359" s="1804"/>
      <c r="BL359" s="1804"/>
      <c r="BM359" s="1804"/>
      <c r="BN359" s="1804"/>
      <c r="BO359" s="1804"/>
      <c r="BP359" s="1804"/>
      <c r="BQ359" s="1804"/>
      <c r="BR359" s="1804"/>
      <c r="BS359" s="1804"/>
      <c r="BT359" s="1804"/>
      <c r="BU359" s="1804"/>
      <c r="BV359" s="1804"/>
      <c r="BW359" s="1804"/>
      <c r="BX359" s="1804"/>
      <c r="BY359" s="1804"/>
      <c r="BZ359" s="1804"/>
      <c r="CA359" s="1804"/>
      <c r="CB359" s="1804"/>
      <c r="CC359" s="1804"/>
      <c r="CD359" s="1804"/>
      <c r="CE359" s="1804"/>
      <c r="CF359" s="1804"/>
      <c r="CG359" s="1804"/>
      <c r="CH359" s="1804"/>
      <c r="CI359" s="1804"/>
      <c r="CJ359" s="1804"/>
      <c r="CK359" s="1804"/>
      <c r="CL359" s="1804"/>
      <c r="CM359" s="1804"/>
      <c r="CN359" s="1804"/>
      <c r="CO359" s="1804"/>
      <c r="CP359" s="1804"/>
      <c r="CQ359" s="1804"/>
      <c r="CR359" s="1804"/>
      <c r="CS359" s="1804"/>
      <c r="CT359" s="1804"/>
      <c r="CU359" s="1804"/>
      <c r="CV359" s="1804"/>
      <c r="CW359" s="1804"/>
      <c r="CX359" s="1804"/>
      <c r="CY359" s="1804"/>
      <c r="CZ359" s="1804"/>
      <c r="DA359" s="1804"/>
      <c r="DB359" s="1804"/>
      <c r="DC359" s="1804"/>
      <c r="DD359" s="1804"/>
      <c r="DE359" s="1804"/>
      <c r="DF359" s="1804"/>
      <c r="DG359" s="1804"/>
      <c r="DH359" s="1804"/>
      <c r="DI359" s="1804"/>
      <c r="DJ359" s="1804"/>
      <c r="DK359" s="1804"/>
      <c r="DL359" s="1804"/>
      <c r="DM359" s="1804"/>
      <c r="DN359" s="1804"/>
      <c r="DO359" s="1804"/>
      <c r="DP359" s="1804"/>
      <c r="DQ359" s="1804"/>
      <c r="DR359" s="1804"/>
      <c r="DS359" s="1804"/>
      <c r="DT359" s="1804"/>
      <c r="DU359" s="1804"/>
      <c r="DV359" s="1804"/>
      <c r="DW359" s="1804"/>
      <c r="DX359" s="1804"/>
      <c r="DY359" s="1804"/>
      <c r="DZ359" s="1804"/>
      <c r="EA359" s="1804"/>
      <c r="EB359" s="1804"/>
      <c r="EC359" s="1804"/>
      <c r="ED359" s="1804"/>
      <c r="EE359" s="1804"/>
      <c r="EF359" s="1804"/>
      <c r="EG359" s="1804"/>
      <c r="EH359" s="1804"/>
      <c r="EI359" s="1804"/>
      <c r="EJ359" s="1804"/>
      <c r="EK359" s="1804"/>
      <c r="EL359" s="1804"/>
      <c r="EM359" s="1804"/>
      <c r="EN359" s="1804"/>
      <c r="EO359" s="1804"/>
      <c r="EP359" s="1804"/>
      <c r="EQ359" s="1804"/>
      <c r="ER359" s="1804"/>
      <c r="ES359" s="1804"/>
      <c r="ET359" s="1804"/>
      <c r="EU359" s="1804"/>
      <c r="EV359" s="1804"/>
      <c r="EW359" s="1804"/>
      <c r="EX359" s="1804"/>
      <c r="EY359" s="1804"/>
      <c r="EZ359" s="1804"/>
      <c r="FA359" s="1804"/>
      <c r="FB359" s="1804"/>
      <c r="FC359" s="1804"/>
      <c r="FD359" s="1804"/>
      <c r="FE359" s="1804"/>
      <c r="FF359" s="1804"/>
      <c r="FG359" s="1804"/>
      <c r="FH359" s="1804"/>
      <c r="FI359" s="1804"/>
      <c r="FJ359" s="1804"/>
      <c r="FK359" s="1804"/>
      <c r="FL359" s="1804"/>
      <c r="FM359" s="1804"/>
      <c r="FN359" s="1804"/>
      <c r="FO359" s="1804"/>
      <c r="FP359" s="1804"/>
      <c r="FQ359" s="1804"/>
      <c r="FR359" s="1804"/>
      <c r="FS359" s="1804"/>
      <c r="FT359" s="1804"/>
      <c r="FU359" s="1804"/>
      <c r="FV359" s="1804"/>
      <c r="FW359" s="1804"/>
      <c r="FX359" s="1804"/>
      <c r="FY359" s="1804"/>
      <c r="FZ359" s="1804"/>
      <c r="GA359" s="1804"/>
      <c r="GB359" s="1804"/>
      <c r="GC359" s="1804"/>
      <c r="GD359" s="1804"/>
      <c r="GE359" s="1804"/>
      <c r="GF359" s="1804"/>
      <c r="GG359" s="1804"/>
      <c r="GH359" s="1804"/>
      <c r="GI359" s="1804"/>
      <c r="GJ359" s="1804"/>
      <c r="GK359" s="1804"/>
      <c r="GL359" s="1804"/>
      <c r="GM359" s="1804"/>
      <c r="GN359" s="1804"/>
      <c r="GO359" s="1804"/>
      <c r="GP359" s="1804"/>
      <c r="GQ359" s="1804"/>
      <c r="GR359" s="1804"/>
      <c r="GS359" s="1804"/>
      <c r="GT359" s="1804"/>
      <c r="GU359" s="1804"/>
      <c r="GV359" s="1804"/>
      <c r="GW359" s="1804"/>
      <c r="GX359" s="1804"/>
      <c r="GY359" s="1804"/>
      <c r="GZ359" s="1804"/>
      <c r="HA359" s="1804"/>
      <c r="HB359" s="1804"/>
      <c r="HC359" s="1804"/>
      <c r="HD359" s="1804"/>
      <c r="HE359" s="1804"/>
      <c r="HF359" s="1804"/>
      <c r="HG359" s="1804"/>
      <c r="HH359" s="1804"/>
      <c r="HI359" s="1804"/>
      <c r="HJ359" s="1804"/>
      <c r="HK359" s="1804"/>
      <c r="HL359" s="1804"/>
      <c r="HM359" s="1804"/>
      <c r="HN359" s="1804"/>
      <c r="HO359" s="1804"/>
      <c r="HP359" s="1804"/>
      <c r="HQ359" s="1804"/>
      <c r="HR359" s="1804"/>
      <c r="HS359" s="1804"/>
      <c r="HT359" s="1804"/>
      <c r="HU359" s="1804"/>
      <c r="HV359" s="1804"/>
      <c r="HW359" s="1804"/>
      <c r="HX359" s="1804"/>
      <c r="HY359" s="1804"/>
      <c r="HZ359" s="1804"/>
      <c r="IA359" s="1804"/>
      <c r="IB359" s="1804"/>
      <c r="IC359" s="1804"/>
      <c r="ID359" s="1804"/>
      <c r="IE359" s="1804"/>
      <c r="IF359" s="1804"/>
      <c r="IG359" s="1804"/>
      <c r="IH359" s="1804"/>
      <c r="II359" s="1804"/>
      <c r="IJ359" s="1804"/>
      <c r="IK359" s="1804"/>
      <c r="IL359" s="1804"/>
      <c r="IM359" s="1804"/>
      <c r="IN359" s="1804"/>
      <c r="IO359" s="1804"/>
      <c r="IP359" s="1804"/>
      <c r="IQ359" s="1804"/>
      <c r="IR359" s="1804"/>
      <c r="IS359" s="1804"/>
      <c r="IT359" s="1804"/>
      <c r="IU359" s="1804"/>
      <c r="IV359" s="1804"/>
      <c r="IW359" s="1804"/>
      <c r="IX359" s="1804"/>
      <c r="IY359" s="1804"/>
    </row>
    <row r="360" spans="3:259" s="888" customFormat="1" x14ac:dyDescent="0.45">
      <c r="C360" s="67" t="s">
        <v>538</v>
      </c>
      <c r="D360" s="68" t="s">
        <v>640</v>
      </c>
      <c r="E360" s="69"/>
      <c r="F360" s="125">
        <v>0</v>
      </c>
      <c r="G360" s="126">
        <f t="shared" si="55"/>
        <v>0</v>
      </c>
      <c r="H360" s="118">
        <v>19662880.364587866</v>
      </c>
      <c r="I360" s="127">
        <f t="shared" si="56"/>
        <v>4978.4446795100012</v>
      </c>
      <c r="J360" s="121">
        <f t="shared" si="67"/>
        <v>19662880.364587866</v>
      </c>
      <c r="K360" s="128">
        <f t="shared" si="67"/>
        <v>4978.4446795100012</v>
      </c>
      <c r="L360" s="125">
        <v>2266524.8602768756</v>
      </c>
      <c r="M360" s="126">
        <f t="shared" si="57"/>
        <v>581.8395968816767</v>
      </c>
      <c r="N360" s="126">
        <f t="shared" si="68"/>
        <v>21929405.22486474</v>
      </c>
      <c r="O360" s="126">
        <f t="shared" si="68"/>
        <v>5560.2842763916778</v>
      </c>
      <c r="P360" s="118">
        <v>3560755.4431737126</v>
      </c>
      <c r="Q360" s="126">
        <f t="shared" si="58"/>
        <v>901.54767065715225</v>
      </c>
      <c r="R360" s="95">
        <v>8486930.6212116033</v>
      </c>
      <c r="S360" s="126">
        <f t="shared" si="59"/>
        <v>2148.805963984566</v>
      </c>
      <c r="T360" s="95">
        <v>0</v>
      </c>
      <c r="U360" s="126">
        <f t="shared" si="60"/>
        <v>0</v>
      </c>
      <c r="V360" s="129"/>
      <c r="W360" s="129"/>
      <c r="X360" s="130">
        <f t="shared" si="61"/>
        <v>12047686.064385315</v>
      </c>
      <c r="Y360" s="130">
        <f t="shared" si="62"/>
        <v>3050.3536346417181</v>
      </c>
      <c r="Z360" s="129"/>
      <c r="AA360" s="129"/>
      <c r="AB360" s="131">
        <f t="shared" si="63"/>
        <v>2266524.8602768756</v>
      </c>
      <c r="AC360" s="132">
        <f t="shared" si="64"/>
        <v>581.8395968816767</v>
      </c>
      <c r="AD360" s="132">
        <f t="shared" si="65"/>
        <v>31710566.428973183</v>
      </c>
      <c r="AE360" s="132">
        <f t="shared" si="66"/>
        <v>8028.7983141517198</v>
      </c>
      <c r="AF360" s="133">
        <f t="shared" si="69"/>
        <v>33977091.289250061</v>
      </c>
      <c r="AG360" s="134">
        <f t="shared" si="69"/>
        <v>8610.6379110333964</v>
      </c>
      <c r="AH360" s="1804"/>
      <c r="AI360" s="1804"/>
      <c r="AJ360" s="1804"/>
      <c r="AK360" s="1804"/>
      <c r="AL360" s="1804"/>
      <c r="AM360" s="1804"/>
      <c r="AN360" s="1804"/>
      <c r="AO360" s="1804"/>
      <c r="AP360" s="1804"/>
      <c r="AQ360" s="1804"/>
      <c r="AR360" s="1804"/>
      <c r="AS360" s="1804"/>
      <c r="AT360" s="1804"/>
      <c r="AU360" s="1804"/>
      <c r="AV360" s="1804"/>
      <c r="AW360" s="1804"/>
      <c r="AX360" s="1804"/>
      <c r="AY360" s="1804"/>
      <c r="AZ360" s="1804"/>
      <c r="BA360" s="1804"/>
      <c r="BB360" s="1804"/>
      <c r="BC360" s="1804"/>
      <c r="BD360" s="1804"/>
      <c r="BE360" s="1804"/>
      <c r="BF360" s="1804"/>
      <c r="BG360" s="1804"/>
      <c r="BH360" s="1804"/>
      <c r="BI360" s="1804"/>
      <c r="BJ360" s="1804"/>
      <c r="BK360" s="1804"/>
      <c r="BL360" s="1804"/>
      <c r="BM360" s="1804"/>
      <c r="BN360" s="1804"/>
      <c r="BO360" s="1804"/>
      <c r="BP360" s="1804"/>
      <c r="BQ360" s="1804"/>
      <c r="BR360" s="1804"/>
      <c r="BS360" s="1804"/>
      <c r="BT360" s="1804"/>
      <c r="BU360" s="1804"/>
      <c r="BV360" s="1804"/>
      <c r="BW360" s="1804"/>
      <c r="BX360" s="1804"/>
      <c r="BY360" s="1804"/>
      <c r="BZ360" s="1804"/>
      <c r="CA360" s="1804"/>
      <c r="CB360" s="1804"/>
      <c r="CC360" s="1804"/>
      <c r="CD360" s="1804"/>
      <c r="CE360" s="1804"/>
      <c r="CF360" s="1804"/>
      <c r="CG360" s="1804"/>
      <c r="CH360" s="1804"/>
      <c r="CI360" s="1804"/>
      <c r="CJ360" s="1804"/>
      <c r="CK360" s="1804"/>
      <c r="CL360" s="1804"/>
      <c r="CM360" s="1804"/>
      <c r="CN360" s="1804"/>
      <c r="CO360" s="1804"/>
      <c r="CP360" s="1804"/>
      <c r="CQ360" s="1804"/>
      <c r="CR360" s="1804"/>
      <c r="CS360" s="1804"/>
      <c r="CT360" s="1804"/>
      <c r="CU360" s="1804"/>
      <c r="CV360" s="1804"/>
      <c r="CW360" s="1804"/>
      <c r="CX360" s="1804"/>
      <c r="CY360" s="1804"/>
      <c r="CZ360" s="1804"/>
      <c r="DA360" s="1804"/>
      <c r="DB360" s="1804"/>
      <c r="DC360" s="1804"/>
      <c r="DD360" s="1804"/>
      <c r="DE360" s="1804"/>
      <c r="DF360" s="1804"/>
      <c r="DG360" s="1804"/>
      <c r="DH360" s="1804"/>
      <c r="DI360" s="1804"/>
      <c r="DJ360" s="1804"/>
      <c r="DK360" s="1804"/>
      <c r="DL360" s="1804"/>
      <c r="DM360" s="1804"/>
      <c r="DN360" s="1804"/>
      <c r="DO360" s="1804"/>
      <c r="DP360" s="1804"/>
      <c r="DQ360" s="1804"/>
      <c r="DR360" s="1804"/>
      <c r="DS360" s="1804"/>
      <c r="DT360" s="1804"/>
      <c r="DU360" s="1804"/>
      <c r="DV360" s="1804"/>
      <c r="DW360" s="1804"/>
      <c r="DX360" s="1804"/>
      <c r="DY360" s="1804"/>
      <c r="DZ360" s="1804"/>
      <c r="EA360" s="1804"/>
      <c r="EB360" s="1804"/>
      <c r="EC360" s="1804"/>
      <c r="ED360" s="1804"/>
      <c r="EE360" s="1804"/>
      <c r="EF360" s="1804"/>
      <c r="EG360" s="1804"/>
      <c r="EH360" s="1804"/>
      <c r="EI360" s="1804"/>
      <c r="EJ360" s="1804"/>
      <c r="EK360" s="1804"/>
      <c r="EL360" s="1804"/>
      <c r="EM360" s="1804"/>
      <c r="EN360" s="1804"/>
      <c r="EO360" s="1804"/>
      <c r="EP360" s="1804"/>
      <c r="EQ360" s="1804"/>
      <c r="ER360" s="1804"/>
      <c r="ES360" s="1804"/>
      <c r="ET360" s="1804"/>
      <c r="EU360" s="1804"/>
      <c r="EV360" s="1804"/>
      <c r="EW360" s="1804"/>
      <c r="EX360" s="1804"/>
      <c r="EY360" s="1804"/>
      <c r="EZ360" s="1804"/>
      <c r="FA360" s="1804"/>
      <c r="FB360" s="1804"/>
      <c r="FC360" s="1804"/>
      <c r="FD360" s="1804"/>
      <c r="FE360" s="1804"/>
      <c r="FF360" s="1804"/>
      <c r="FG360" s="1804"/>
      <c r="FH360" s="1804"/>
      <c r="FI360" s="1804"/>
      <c r="FJ360" s="1804"/>
      <c r="FK360" s="1804"/>
      <c r="FL360" s="1804"/>
      <c r="FM360" s="1804"/>
      <c r="FN360" s="1804"/>
      <c r="FO360" s="1804"/>
      <c r="FP360" s="1804"/>
      <c r="FQ360" s="1804"/>
      <c r="FR360" s="1804"/>
      <c r="FS360" s="1804"/>
      <c r="FT360" s="1804"/>
      <c r="FU360" s="1804"/>
      <c r="FV360" s="1804"/>
      <c r="FW360" s="1804"/>
      <c r="FX360" s="1804"/>
      <c r="FY360" s="1804"/>
      <c r="FZ360" s="1804"/>
      <c r="GA360" s="1804"/>
      <c r="GB360" s="1804"/>
      <c r="GC360" s="1804"/>
      <c r="GD360" s="1804"/>
      <c r="GE360" s="1804"/>
      <c r="GF360" s="1804"/>
      <c r="GG360" s="1804"/>
      <c r="GH360" s="1804"/>
      <c r="GI360" s="1804"/>
      <c r="GJ360" s="1804"/>
      <c r="GK360" s="1804"/>
      <c r="GL360" s="1804"/>
      <c r="GM360" s="1804"/>
      <c r="GN360" s="1804"/>
      <c r="GO360" s="1804"/>
      <c r="GP360" s="1804"/>
      <c r="GQ360" s="1804"/>
      <c r="GR360" s="1804"/>
      <c r="GS360" s="1804"/>
      <c r="GT360" s="1804"/>
      <c r="GU360" s="1804"/>
      <c r="GV360" s="1804"/>
      <c r="GW360" s="1804"/>
      <c r="GX360" s="1804"/>
      <c r="GY360" s="1804"/>
      <c r="GZ360" s="1804"/>
      <c r="HA360" s="1804"/>
      <c r="HB360" s="1804"/>
      <c r="HC360" s="1804"/>
      <c r="HD360" s="1804"/>
      <c r="HE360" s="1804"/>
      <c r="HF360" s="1804"/>
      <c r="HG360" s="1804"/>
      <c r="HH360" s="1804"/>
      <c r="HI360" s="1804"/>
      <c r="HJ360" s="1804"/>
      <c r="HK360" s="1804"/>
      <c r="HL360" s="1804"/>
      <c r="HM360" s="1804"/>
      <c r="HN360" s="1804"/>
      <c r="HO360" s="1804"/>
      <c r="HP360" s="1804"/>
      <c r="HQ360" s="1804"/>
      <c r="HR360" s="1804"/>
      <c r="HS360" s="1804"/>
      <c r="HT360" s="1804"/>
      <c r="HU360" s="1804"/>
      <c r="HV360" s="1804"/>
      <c r="HW360" s="1804"/>
      <c r="HX360" s="1804"/>
      <c r="HY360" s="1804"/>
      <c r="HZ360" s="1804"/>
      <c r="IA360" s="1804"/>
      <c r="IB360" s="1804"/>
      <c r="IC360" s="1804"/>
      <c r="ID360" s="1804"/>
      <c r="IE360" s="1804"/>
      <c r="IF360" s="1804"/>
      <c r="IG360" s="1804"/>
      <c r="IH360" s="1804"/>
      <c r="II360" s="1804"/>
      <c r="IJ360" s="1804"/>
      <c r="IK360" s="1804"/>
      <c r="IL360" s="1804"/>
      <c r="IM360" s="1804"/>
      <c r="IN360" s="1804"/>
      <c r="IO360" s="1804"/>
      <c r="IP360" s="1804"/>
      <c r="IQ360" s="1804"/>
      <c r="IR360" s="1804"/>
      <c r="IS360" s="1804"/>
      <c r="IT360" s="1804"/>
      <c r="IU360" s="1804"/>
      <c r="IV360" s="1804"/>
      <c r="IW360" s="1804"/>
      <c r="IX360" s="1804"/>
      <c r="IY360" s="1804"/>
    </row>
    <row r="361" spans="3:259" s="888" customFormat="1" x14ac:dyDescent="0.45">
      <c r="C361" s="67" t="s">
        <v>539</v>
      </c>
      <c r="D361" s="68" t="s">
        <v>641</v>
      </c>
      <c r="E361" s="69"/>
      <c r="F361" s="125">
        <v>0</v>
      </c>
      <c r="G361" s="126">
        <f t="shared" si="55"/>
        <v>0</v>
      </c>
      <c r="H361" s="118">
        <v>18695450.296754643</v>
      </c>
      <c r="I361" s="127">
        <f t="shared" si="56"/>
        <v>4733.501060635308</v>
      </c>
      <c r="J361" s="121">
        <f t="shared" si="67"/>
        <v>18695450.296754643</v>
      </c>
      <c r="K361" s="128">
        <f t="shared" si="67"/>
        <v>4733.501060635308</v>
      </c>
      <c r="L361" s="125">
        <v>3138575.168495419</v>
      </c>
      <c r="M361" s="126">
        <f t="shared" si="57"/>
        <v>805.70363150445905</v>
      </c>
      <c r="N361" s="126">
        <f t="shared" si="68"/>
        <v>21834025.465250064</v>
      </c>
      <c r="O361" s="126">
        <f t="shared" si="68"/>
        <v>5539.2046921397668</v>
      </c>
      <c r="P361" s="118">
        <v>5387031.0526900021</v>
      </c>
      <c r="Q361" s="126">
        <f t="shared" si="58"/>
        <v>1363.9423922305816</v>
      </c>
      <c r="R361" s="95">
        <v>0</v>
      </c>
      <c r="S361" s="126">
        <f t="shared" si="59"/>
        <v>0</v>
      </c>
      <c r="T361" s="95">
        <v>0</v>
      </c>
      <c r="U361" s="126">
        <f t="shared" si="60"/>
        <v>0</v>
      </c>
      <c r="V361" s="129"/>
      <c r="W361" s="129"/>
      <c r="X361" s="130">
        <f t="shared" si="61"/>
        <v>5387031.0526900021</v>
      </c>
      <c r="Y361" s="130">
        <f t="shared" si="62"/>
        <v>1363.9423922305816</v>
      </c>
      <c r="Z361" s="129"/>
      <c r="AA361" s="129"/>
      <c r="AB361" s="131">
        <f t="shared" si="63"/>
        <v>3138575.168495419</v>
      </c>
      <c r="AC361" s="132">
        <f t="shared" si="64"/>
        <v>805.70363150445905</v>
      </c>
      <c r="AD361" s="132">
        <f t="shared" si="65"/>
        <v>24082481.349444646</v>
      </c>
      <c r="AE361" s="132">
        <f t="shared" si="66"/>
        <v>6097.4434528658894</v>
      </c>
      <c r="AF361" s="133">
        <f t="shared" si="69"/>
        <v>27221056.517940067</v>
      </c>
      <c r="AG361" s="134">
        <f t="shared" si="69"/>
        <v>6903.1470843703482</v>
      </c>
      <c r="AH361" s="1804"/>
      <c r="AI361" s="1804"/>
      <c r="AJ361" s="1804"/>
      <c r="AK361" s="1804"/>
      <c r="AL361" s="1804"/>
      <c r="AM361" s="1804"/>
      <c r="AN361" s="1804"/>
      <c r="AO361" s="1804"/>
      <c r="AP361" s="1804"/>
      <c r="AQ361" s="1804"/>
      <c r="AR361" s="1804"/>
      <c r="AS361" s="1804"/>
      <c r="AT361" s="1804"/>
      <c r="AU361" s="1804"/>
      <c r="AV361" s="1804"/>
      <c r="AW361" s="1804"/>
      <c r="AX361" s="1804"/>
      <c r="AY361" s="1804"/>
      <c r="AZ361" s="1804"/>
      <c r="BA361" s="1804"/>
      <c r="BB361" s="1804"/>
      <c r="BC361" s="1804"/>
      <c r="BD361" s="1804"/>
      <c r="BE361" s="1804"/>
      <c r="BF361" s="1804"/>
      <c r="BG361" s="1804"/>
      <c r="BH361" s="1804"/>
      <c r="BI361" s="1804"/>
      <c r="BJ361" s="1804"/>
      <c r="BK361" s="1804"/>
      <c r="BL361" s="1804"/>
      <c r="BM361" s="1804"/>
      <c r="BN361" s="1804"/>
      <c r="BO361" s="1804"/>
      <c r="BP361" s="1804"/>
      <c r="BQ361" s="1804"/>
      <c r="BR361" s="1804"/>
      <c r="BS361" s="1804"/>
      <c r="BT361" s="1804"/>
      <c r="BU361" s="1804"/>
      <c r="BV361" s="1804"/>
      <c r="BW361" s="1804"/>
      <c r="BX361" s="1804"/>
      <c r="BY361" s="1804"/>
      <c r="BZ361" s="1804"/>
      <c r="CA361" s="1804"/>
      <c r="CB361" s="1804"/>
      <c r="CC361" s="1804"/>
      <c r="CD361" s="1804"/>
      <c r="CE361" s="1804"/>
      <c r="CF361" s="1804"/>
      <c r="CG361" s="1804"/>
      <c r="CH361" s="1804"/>
      <c r="CI361" s="1804"/>
      <c r="CJ361" s="1804"/>
      <c r="CK361" s="1804"/>
      <c r="CL361" s="1804"/>
      <c r="CM361" s="1804"/>
      <c r="CN361" s="1804"/>
      <c r="CO361" s="1804"/>
      <c r="CP361" s="1804"/>
      <c r="CQ361" s="1804"/>
      <c r="CR361" s="1804"/>
      <c r="CS361" s="1804"/>
      <c r="CT361" s="1804"/>
      <c r="CU361" s="1804"/>
      <c r="CV361" s="1804"/>
      <c r="CW361" s="1804"/>
      <c r="CX361" s="1804"/>
      <c r="CY361" s="1804"/>
      <c r="CZ361" s="1804"/>
      <c r="DA361" s="1804"/>
      <c r="DB361" s="1804"/>
      <c r="DC361" s="1804"/>
      <c r="DD361" s="1804"/>
      <c r="DE361" s="1804"/>
      <c r="DF361" s="1804"/>
      <c r="DG361" s="1804"/>
      <c r="DH361" s="1804"/>
      <c r="DI361" s="1804"/>
      <c r="DJ361" s="1804"/>
      <c r="DK361" s="1804"/>
      <c r="DL361" s="1804"/>
      <c r="DM361" s="1804"/>
      <c r="DN361" s="1804"/>
      <c r="DO361" s="1804"/>
      <c r="DP361" s="1804"/>
      <c r="DQ361" s="1804"/>
      <c r="DR361" s="1804"/>
      <c r="DS361" s="1804"/>
      <c r="DT361" s="1804"/>
      <c r="DU361" s="1804"/>
      <c r="DV361" s="1804"/>
      <c r="DW361" s="1804"/>
      <c r="DX361" s="1804"/>
      <c r="DY361" s="1804"/>
      <c r="DZ361" s="1804"/>
      <c r="EA361" s="1804"/>
      <c r="EB361" s="1804"/>
      <c r="EC361" s="1804"/>
      <c r="ED361" s="1804"/>
      <c r="EE361" s="1804"/>
      <c r="EF361" s="1804"/>
      <c r="EG361" s="1804"/>
      <c r="EH361" s="1804"/>
      <c r="EI361" s="1804"/>
      <c r="EJ361" s="1804"/>
      <c r="EK361" s="1804"/>
      <c r="EL361" s="1804"/>
      <c r="EM361" s="1804"/>
      <c r="EN361" s="1804"/>
      <c r="EO361" s="1804"/>
      <c r="EP361" s="1804"/>
      <c r="EQ361" s="1804"/>
      <c r="ER361" s="1804"/>
      <c r="ES361" s="1804"/>
      <c r="ET361" s="1804"/>
      <c r="EU361" s="1804"/>
      <c r="EV361" s="1804"/>
      <c r="EW361" s="1804"/>
      <c r="EX361" s="1804"/>
      <c r="EY361" s="1804"/>
      <c r="EZ361" s="1804"/>
      <c r="FA361" s="1804"/>
      <c r="FB361" s="1804"/>
      <c r="FC361" s="1804"/>
      <c r="FD361" s="1804"/>
      <c r="FE361" s="1804"/>
      <c r="FF361" s="1804"/>
      <c r="FG361" s="1804"/>
      <c r="FH361" s="1804"/>
      <c r="FI361" s="1804"/>
      <c r="FJ361" s="1804"/>
      <c r="FK361" s="1804"/>
      <c r="FL361" s="1804"/>
      <c r="FM361" s="1804"/>
      <c r="FN361" s="1804"/>
      <c r="FO361" s="1804"/>
      <c r="FP361" s="1804"/>
      <c r="FQ361" s="1804"/>
      <c r="FR361" s="1804"/>
      <c r="FS361" s="1804"/>
      <c r="FT361" s="1804"/>
      <c r="FU361" s="1804"/>
      <c r="FV361" s="1804"/>
      <c r="FW361" s="1804"/>
      <c r="FX361" s="1804"/>
      <c r="FY361" s="1804"/>
      <c r="FZ361" s="1804"/>
      <c r="GA361" s="1804"/>
      <c r="GB361" s="1804"/>
      <c r="GC361" s="1804"/>
      <c r="GD361" s="1804"/>
      <c r="GE361" s="1804"/>
      <c r="GF361" s="1804"/>
      <c r="GG361" s="1804"/>
      <c r="GH361" s="1804"/>
      <c r="GI361" s="1804"/>
      <c r="GJ361" s="1804"/>
      <c r="GK361" s="1804"/>
      <c r="GL361" s="1804"/>
      <c r="GM361" s="1804"/>
      <c r="GN361" s="1804"/>
      <c r="GO361" s="1804"/>
      <c r="GP361" s="1804"/>
      <c r="GQ361" s="1804"/>
      <c r="GR361" s="1804"/>
      <c r="GS361" s="1804"/>
      <c r="GT361" s="1804"/>
      <c r="GU361" s="1804"/>
      <c r="GV361" s="1804"/>
      <c r="GW361" s="1804"/>
      <c r="GX361" s="1804"/>
      <c r="GY361" s="1804"/>
      <c r="GZ361" s="1804"/>
      <c r="HA361" s="1804"/>
      <c r="HB361" s="1804"/>
      <c r="HC361" s="1804"/>
      <c r="HD361" s="1804"/>
      <c r="HE361" s="1804"/>
      <c r="HF361" s="1804"/>
      <c r="HG361" s="1804"/>
      <c r="HH361" s="1804"/>
      <c r="HI361" s="1804"/>
      <c r="HJ361" s="1804"/>
      <c r="HK361" s="1804"/>
      <c r="HL361" s="1804"/>
      <c r="HM361" s="1804"/>
      <c r="HN361" s="1804"/>
      <c r="HO361" s="1804"/>
      <c r="HP361" s="1804"/>
      <c r="HQ361" s="1804"/>
      <c r="HR361" s="1804"/>
      <c r="HS361" s="1804"/>
      <c r="HT361" s="1804"/>
      <c r="HU361" s="1804"/>
      <c r="HV361" s="1804"/>
      <c r="HW361" s="1804"/>
      <c r="HX361" s="1804"/>
      <c r="HY361" s="1804"/>
      <c r="HZ361" s="1804"/>
      <c r="IA361" s="1804"/>
      <c r="IB361" s="1804"/>
      <c r="IC361" s="1804"/>
      <c r="ID361" s="1804"/>
      <c r="IE361" s="1804"/>
      <c r="IF361" s="1804"/>
      <c r="IG361" s="1804"/>
      <c r="IH361" s="1804"/>
      <c r="II361" s="1804"/>
      <c r="IJ361" s="1804"/>
      <c r="IK361" s="1804"/>
      <c r="IL361" s="1804"/>
      <c r="IM361" s="1804"/>
      <c r="IN361" s="1804"/>
      <c r="IO361" s="1804"/>
      <c r="IP361" s="1804"/>
      <c r="IQ361" s="1804"/>
      <c r="IR361" s="1804"/>
      <c r="IS361" s="1804"/>
      <c r="IT361" s="1804"/>
      <c r="IU361" s="1804"/>
      <c r="IV361" s="1804"/>
      <c r="IW361" s="1804"/>
      <c r="IX361" s="1804"/>
      <c r="IY361" s="1804"/>
    </row>
    <row r="362" spans="3:259" s="888" customFormat="1" x14ac:dyDescent="0.45">
      <c r="C362" s="67" t="s">
        <v>540</v>
      </c>
      <c r="D362" s="68" t="s">
        <v>642</v>
      </c>
      <c r="E362" s="69"/>
      <c r="F362" s="125">
        <v>7017096.0324640442</v>
      </c>
      <c r="G362" s="126">
        <f t="shared" si="55"/>
        <v>1801.3587224938447</v>
      </c>
      <c r="H362" s="118">
        <v>4411372.6118739434</v>
      </c>
      <c r="I362" s="127">
        <f t="shared" si="56"/>
        <v>1116.9154316003637</v>
      </c>
      <c r="J362" s="121">
        <f t="shared" si="67"/>
        <v>11428468.644337988</v>
      </c>
      <c r="K362" s="128">
        <f t="shared" si="67"/>
        <v>2918.2741540942084</v>
      </c>
      <c r="L362" s="125">
        <v>3422200.0543816038</v>
      </c>
      <c r="M362" s="126">
        <f t="shared" si="57"/>
        <v>878.51297596030145</v>
      </c>
      <c r="N362" s="126">
        <f t="shared" si="68"/>
        <v>14850668.698719591</v>
      </c>
      <c r="O362" s="126">
        <f t="shared" si="68"/>
        <v>3796.7871300545098</v>
      </c>
      <c r="P362" s="118">
        <v>41871034.022779055</v>
      </c>
      <c r="Q362" s="126">
        <f t="shared" si="58"/>
        <v>10601.327104227428</v>
      </c>
      <c r="R362" s="95">
        <v>0</v>
      </c>
      <c r="S362" s="126">
        <f t="shared" si="59"/>
        <v>0</v>
      </c>
      <c r="T362" s="95">
        <v>0</v>
      </c>
      <c r="U362" s="126">
        <f t="shared" si="60"/>
        <v>0</v>
      </c>
      <c r="V362" s="129"/>
      <c r="W362" s="129"/>
      <c r="X362" s="130">
        <f t="shared" si="61"/>
        <v>41871034.022779055</v>
      </c>
      <c r="Y362" s="130">
        <f t="shared" si="62"/>
        <v>10601.327104227428</v>
      </c>
      <c r="Z362" s="129"/>
      <c r="AA362" s="129"/>
      <c r="AB362" s="131">
        <f t="shared" si="63"/>
        <v>10439296.086845648</v>
      </c>
      <c r="AC362" s="132">
        <f t="shared" si="64"/>
        <v>2679.8716984541461</v>
      </c>
      <c r="AD362" s="132">
        <f t="shared" si="65"/>
        <v>46282406.634653002</v>
      </c>
      <c r="AE362" s="132">
        <f t="shared" si="66"/>
        <v>11718.242535827792</v>
      </c>
      <c r="AF362" s="133">
        <f t="shared" si="69"/>
        <v>56721702.721498653</v>
      </c>
      <c r="AG362" s="134">
        <f t="shared" si="69"/>
        <v>14398.114234281938</v>
      </c>
      <c r="AH362" s="1804"/>
      <c r="AI362" s="1804"/>
      <c r="AJ362" s="1804"/>
      <c r="AK362" s="1804"/>
      <c r="AL362" s="1804"/>
      <c r="AM362" s="1804"/>
      <c r="AN362" s="1804"/>
      <c r="AO362" s="1804"/>
      <c r="AP362" s="1804"/>
      <c r="AQ362" s="1804"/>
      <c r="AR362" s="1804"/>
      <c r="AS362" s="1804"/>
      <c r="AT362" s="1804"/>
      <c r="AU362" s="1804"/>
      <c r="AV362" s="1804"/>
      <c r="AW362" s="1804"/>
      <c r="AX362" s="1804"/>
      <c r="AY362" s="1804"/>
      <c r="AZ362" s="1804"/>
      <c r="BA362" s="1804"/>
      <c r="BB362" s="1804"/>
      <c r="BC362" s="1804"/>
      <c r="BD362" s="1804"/>
      <c r="BE362" s="1804"/>
      <c r="BF362" s="1804"/>
      <c r="BG362" s="1804"/>
      <c r="BH362" s="1804"/>
      <c r="BI362" s="1804"/>
      <c r="BJ362" s="1804"/>
      <c r="BK362" s="1804"/>
      <c r="BL362" s="1804"/>
      <c r="BM362" s="1804"/>
      <c r="BN362" s="1804"/>
      <c r="BO362" s="1804"/>
      <c r="BP362" s="1804"/>
      <c r="BQ362" s="1804"/>
      <c r="BR362" s="1804"/>
      <c r="BS362" s="1804"/>
      <c r="BT362" s="1804"/>
      <c r="BU362" s="1804"/>
      <c r="BV362" s="1804"/>
      <c r="BW362" s="1804"/>
      <c r="BX362" s="1804"/>
      <c r="BY362" s="1804"/>
      <c r="BZ362" s="1804"/>
      <c r="CA362" s="1804"/>
      <c r="CB362" s="1804"/>
      <c r="CC362" s="1804"/>
      <c r="CD362" s="1804"/>
      <c r="CE362" s="1804"/>
      <c r="CF362" s="1804"/>
      <c r="CG362" s="1804"/>
      <c r="CH362" s="1804"/>
      <c r="CI362" s="1804"/>
      <c r="CJ362" s="1804"/>
      <c r="CK362" s="1804"/>
      <c r="CL362" s="1804"/>
      <c r="CM362" s="1804"/>
      <c r="CN362" s="1804"/>
      <c r="CO362" s="1804"/>
      <c r="CP362" s="1804"/>
      <c r="CQ362" s="1804"/>
      <c r="CR362" s="1804"/>
      <c r="CS362" s="1804"/>
      <c r="CT362" s="1804"/>
      <c r="CU362" s="1804"/>
      <c r="CV362" s="1804"/>
      <c r="CW362" s="1804"/>
      <c r="CX362" s="1804"/>
      <c r="CY362" s="1804"/>
      <c r="CZ362" s="1804"/>
      <c r="DA362" s="1804"/>
      <c r="DB362" s="1804"/>
      <c r="DC362" s="1804"/>
      <c r="DD362" s="1804"/>
      <c r="DE362" s="1804"/>
      <c r="DF362" s="1804"/>
      <c r="DG362" s="1804"/>
      <c r="DH362" s="1804"/>
      <c r="DI362" s="1804"/>
      <c r="DJ362" s="1804"/>
      <c r="DK362" s="1804"/>
      <c r="DL362" s="1804"/>
      <c r="DM362" s="1804"/>
      <c r="DN362" s="1804"/>
      <c r="DO362" s="1804"/>
      <c r="DP362" s="1804"/>
      <c r="DQ362" s="1804"/>
      <c r="DR362" s="1804"/>
      <c r="DS362" s="1804"/>
      <c r="DT362" s="1804"/>
      <c r="DU362" s="1804"/>
      <c r="DV362" s="1804"/>
      <c r="DW362" s="1804"/>
      <c r="DX362" s="1804"/>
      <c r="DY362" s="1804"/>
      <c r="DZ362" s="1804"/>
      <c r="EA362" s="1804"/>
      <c r="EB362" s="1804"/>
      <c r="EC362" s="1804"/>
      <c r="ED362" s="1804"/>
      <c r="EE362" s="1804"/>
      <c r="EF362" s="1804"/>
      <c r="EG362" s="1804"/>
      <c r="EH362" s="1804"/>
      <c r="EI362" s="1804"/>
      <c r="EJ362" s="1804"/>
      <c r="EK362" s="1804"/>
      <c r="EL362" s="1804"/>
      <c r="EM362" s="1804"/>
      <c r="EN362" s="1804"/>
      <c r="EO362" s="1804"/>
      <c r="EP362" s="1804"/>
      <c r="EQ362" s="1804"/>
      <c r="ER362" s="1804"/>
      <c r="ES362" s="1804"/>
      <c r="ET362" s="1804"/>
      <c r="EU362" s="1804"/>
      <c r="EV362" s="1804"/>
      <c r="EW362" s="1804"/>
      <c r="EX362" s="1804"/>
      <c r="EY362" s="1804"/>
      <c r="EZ362" s="1804"/>
      <c r="FA362" s="1804"/>
      <c r="FB362" s="1804"/>
      <c r="FC362" s="1804"/>
      <c r="FD362" s="1804"/>
      <c r="FE362" s="1804"/>
      <c r="FF362" s="1804"/>
      <c r="FG362" s="1804"/>
      <c r="FH362" s="1804"/>
      <c r="FI362" s="1804"/>
      <c r="FJ362" s="1804"/>
      <c r="FK362" s="1804"/>
      <c r="FL362" s="1804"/>
      <c r="FM362" s="1804"/>
      <c r="FN362" s="1804"/>
      <c r="FO362" s="1804"/>
      <c r="FP362" s="1804"/>
      <c r="FQ362" s="1804"/>
      <c r="FR362" s="1804"/>
      <c r="FS362" s="1804"/>
      <c r="FT362" s="1804"/>
      <c r="FU362" s="1804"/>
      <c r="FV362" s="1804"/>
      <c r="FW362" s="1804"/>
      <c r="FX362" s="1804"/>
      <c r="FY362" s="1804"/>
      <c r="FZ362" s="1804"/>
      <c r="GA362" s="1804"/>
      <c r="GB362" s="1804"/>
      <c r="GC362" s="1804"/>
      <c r="GD362" s="1804"/>
      <c r="GE362" s="1804"/>
      <c r="GF362" s="1804"/>
      <c r="GG362" s="1804"/>
      <c r="GH362" s="1804"/>
      <c r="GI362" s="1804"/>
      <c r="GJ362" s="1804"/>
      <c r="GK362" s="1804"/>
      <c r="GL362" s="1804"/>
      <c r="GM362" s="1804"/>
      <c r="GN362" s="1804"/>
      <c r="GO362" s="1804"/>
      <c r="GP362" s="1804"/>
      <c r="GQ362" s="1804"/>
      <c r="GR362" s="1804"/>
      <c r="GS362" s="1804"/>
      <c r="GT362" s="1804"/>
      <c r="GU362" s="1804"/>
      <c r="GV362" s="1804"/>
      <c r="GW362" s="1804"/>
      <c r="GX362" s="1804"/>
      <c r="GY362" s="1804"/>
      <c r="GZ362" s="1804"/>
      <c r="HA362" s="1804"/>
      <c r="HB362" s="1804"/>
      <c r="HC362" s="1804"/>
      <c r="HD362" s="1804"/>
      <c r="HE362" s="1804"/>
      <c r="HF362" s="1804"/>
      <c r="HG362" s="1804"/>
      <c r="HH362" s="1804"/>
      <c r="HI362" s="1804"/>
      <c r="HJ362" s="1804"/>
      <c r="HK362" s="1804"/>
      <c r="HL362" s="1804"/>
      <c r="HM362" s="1804"/>
      <c r="HN362" s="1804"/>
      <c r="HO362" s="1804"/>
      <c r="HP362" s="1804"/>
      <c r="HQ362" s="1804"/>
      <c r="HR362" s="1804"/>
      <c r="HS362" s="1804"/>
      <c r="HT362" s="1804"/>
      <c r="HU362" s="1804"/>
      <c r="HV362" s="1804"/>
      <c r="HW362" s="1804"/>
      <c r="HX362" s="1804"/>
      <c r="HY362" s="1804"/>
      <c r="HZ362" s="1804"/>
      <c r="IA362" s="1804"/>
      <c r="IB362" s="1804"/>
      <c r="IC362" s="1804"/>
      <c r="ID362" s="1804"/>
      <c r="IE362" s="1804"/>
      <c r="IF362" s="1804"/>
      <c r="IG362" s="1804"/>
      <c r="IH362" s="1804"/>
      <c r="II362" s="1804"/>
      <c r="IJ362" s="1804"/>
      <c r="IK362" s="1804"/>
      <c r="IL362" s="1804"/>
      <c r="IM362" s="1804"/>
      <c r="IN362" s="1804"/>
      <c r="IO362" s="1804"/>
      <c r="IP362" s="1804"/>
      <c r="IQ362" s="1804"/>
      <c r="IR362" s="1804"/>
      <c r="IS362" s="1804"/>
      <c r="IT362" s="1804"/>
      <c r="IU362" s="1804"/>
      <c r="IV362" s="1804"/>
      <c r="IW362" s="1804"/>
      <c r="IX362" s="1804"/>
      <c r="IY362" s="1804"/>
    </row>
    <row r="363" spans="3:259" s="888" customFormat="1" x14ac:dyDescent="0.45">
      <c r="C363" s="67" t="s">
        <v>541</v>
      </c>
      <c r="D363" s="68" t="s">
        <v>643</v>
      </c>
      <c r="E363" s="69"/>
      <c r="F363" s="125">
        <v>6098504.5249772687</v>
      </c>
      <c r="G363" s="126">
        <f t="shared" si="55"/>
        <v>1565.5470966069145</v>
      </c>
      <c r="H363" s="118">
        <v>20388110.448201448</v>
      </c>
      <c r="I363" s="127">
        <f t="shared" si="56"/>
        <v>5162.0656843801244</v>
      </c>
      <c r="J363" s="121">
        <f t="shared" si="67"/>
        <v>26486614.973178715</v>
      </c>
      <c r="K363" s="128">
        <f t="shared" si="67"/>
        <v>6727.6127809870386</v>
      </c>
      <c r="L363" s="125">
        <v>2857347.8903704896</v>
      </c>
      <c r="M363" s="126">
        <f t="shared" si="57"/>
        <v>733.50977693700838</v>
      </c>
      <c r="N363" s="126">
        <f t="shared" si="68"/>
        <v>29343962.863549203</v>
      </c>
      <c r="O363" s="126">
        <f t="shared" si="68"/>
        <v>7461.1225579240472</v>
      </c>
      <c r="P363" s="118">
        <v>41169539.249430872</v>
      </c>
      <c r="Q363" s="126">
        <f t="shared" si="58"/>
        <v>10423.7156425634</v>
      </c>
      <c r="R363" s="95">
        <v>0</v>
      </c>
      <c r="S363" s="126">
        <f t="shared" si="59"/>
        <v>0</v>
      </c>
      <c r="T363" s="95">
        <v>0</v>
      </c>
      <c r="U363" s="126">
        <f t="shared" si="60"/>
        <v>0</v>
      </c>
      <c r="V363" s="129"/>
      <c r="W363" s="129"/>
      <c r="X363" s="130">
        <f t="shared" si="61"/>
        <v>41169539.249430872</v>
      </c>
      <c r="Y363" s="130">
        <f t="shared" si="62"/>
        <v>10423.7156425634</v>
      </c>
      <c r="Z363" s="129"/>
      <c r="AA363" s="129"/>
      <c r="AB363" s="131">
        <f t="shared" si="63"/>
        <v>8955852.4153477587</v>
      </c>
      <c r="AC363" s="132">
        <f t="shared" si="64"/>
        <v>2299.0568735439228</v>
      </c>
      <c r="AD363" s="132">
        <f t="shared" si="65"/>
        <v>61557649.69763232</v>
      </c>
      <c r="AE363" s="132">
        <f t="shared" si="66"/>
        <v>15585.781326943525</v>
      </c>
      <c r="AF363" s="133">
        <f t="shared" si="69"/>
        <v>70513502.112980083</v>
      </c>
      <c r="AG363" s="134">
        <f t="shared" si="69"/>
        <v>17884.838200487447</v>
      </c>
      <c r="AH363" s="1804"/>
      <c r="AI363" s="1804"/>
      <c r="AJ363" s="1804"/>
      <c r="AK363" s="1804"/>
      <c r="AL363" s="1804"/>
      <c r="AM363" s="1804"/>
      <c r="AN363" s="1804"/>
      <c r="AO363" s="1804"/>
      <c r="AP363" s="1804"/>
      <c r="AQ363" s="1804"/>
      <c r="AR363" s="1804"/>
      <c r="AS363" s="1804"/>
      <c r="AT363" s="1804"/>
      <c r="AU363" s="1804"/>
      <c r="AV363" s="1804"/>
      <c r="AW363" s="1804"/>
      <c r="AX363" s="1804"/>
      <c r="AY363" s="1804"/>
      <c r="AZ363" s="1804"/>
      <c r="BA363" s="1804"/>
      <c r="BB363" s="1804"/>
      <c r="BC363" s="1804"/>
      <c r="BD363" s="1804"/>
      <c r="BE363" s="1804"/>
      <c r="BF363" s="1804"/>
      <c r="BG363" s="1804"/>
      <c r="BH363" s="1804"/>
      <c r="BI363" s="1804"/>
      <c r="BJ363" s="1804"/>
      <c r="BK363" s="1804"/>
      <c r="BL363" s="1804"/>
      <c r="BM363" s="1804"/>
      <c r="BN363" s="1804"/>
      <c r="BO363" s="1804"/>
      <c r="BP363" s="1804"/>
      <c r="BQ363" s="1804"/>
      <c r="BR363" s="1804"/>
      <c r="BS363" s="1804"/>
      <c r="BT363" s="1804"/>
      <c r="BU363" s="1804"/>
      <c r="BV363" s="1804"/>
      <c r="BW363" s="1804"/>
      <c r="BX363" s="1804"/>
      <c r="BY363" s="1804"/>
      <c r="BZ363" s="1804"/>
      <c r="CA363" s="1804"/>
      <c r="CB363" s="1804"/>
      <c r="CC363" s="1804"/>
      <c r="CD363" s="1804"/>
      <c r="CE363" s="1804"/>
      <c r="CF363" s="1804"/>
      <c r="CG363" s="1804"/>
      <c r="CH363" s="1804"/>
      <c r="CI363" s="1804"/>
      <c r="CJ363" s="1804"/>
      <c r="CK363" s="1804"/>
      <c r="CL363" s="1804"/>
      <c r="CM363" s="1804"/>
      <c r="CN363" s="1804"/>
      <c r="CO363" s="1804"/>
      <c r="CP363" s="1804"/>
      <c r="CQ363" s="1804"/>
      <c r="CR363" s="1804"/>
      <c r="CS363" s="1804"/>
      <c r="CT363" s="1804"/>
      <c r="CU363" s="1804"/>
      <c r="CV363" s="1804"/>
      <c r="CW363" s="1804"/>
      <c r="CX363" s="1804"/>
      <c r="CY363" s="1804"/>
      <c r="CZ363" s="1804"/>
      <c r="DA363" s="1804"/>
      <c r="DB363" s="1804"/>
      <c r="DC363" s="1804"/>
      <c r="DD363" s="1804"/>
      <c r="DE363" s="1804"/>
      <c r="DF363" s="1804"/>
      <c r="DG363" s="1804"/>
      <c r="DH363" s="1804"/>
      <c r="DI363" s="1804"/>
      <c r="DJ363" s="1804"/>
      <c r="DK363" s="1804"/>
      <c r="DL363" s="1804"/>
      <c r="DM363" s="1804"/>
      <c r="DN363" s="1804"/>
      <c r="DO363" s="1804"/>
      <c r="DP363" s="1804"/>
      <c r="DQ363" s="1804"/>
      <c r="DR363" s="1804"/>
      <c r="DS363" s="1804"/>
      <c r="DT363" s="1804"/>
      <c r="DU363" s="1804"/>
      <c r="DV363" s="1804"/>
      <c r="DW363" s="1804"/>
      <c r="DX363" s="1804"/>
      <c r="DY363" s="1804"/>
      <c r="DZ363" s="1804"/>
      <c r="EA363" s="1804"/>
      <c r="EB363" s="1804"/>
      <c r="EC363" s="1804"/>
      <c r="ED363" s="1804"/>
      <c r="EE363" s="1804"/>
      <c r="EF363" s="1804"/>
      <c r="EG363" s="1804"/>
      <c r="EH363" s="1804"/>
      <c r="EI363" s="1804"/>
      <c r="EJ363" s="1804"/>
      <c r="EK363" s="1804"/>
      <c r="EL363" s="1804"/>
      <c r="EM363" s="1804"/>
      <c r="EN363" s="1804"/>
      <c r="EO363" s="1804"/>
      <c r="EP363" s="1804"/>
      <c r="EQ363" s="1804"/>
      <c r="ER363" s="1804"/>
      <c r="ES363" s="1804"/>
      <c r="ET363" s="1804"/>
      <c r="EU363" s="1804"/>
      <c r="EV363" s="1804"/>
      <c r="EW363" s="1804"/>
      <c r="EX363" s="1804"/>
      <c r="EY363" s="1804"/>
      <c r="EZ363" s="1804"/>
      <c r="FA363" s="1804"/>
      <c r="FB363" s="1804"/>
      <c r="FC363" s="1804"/>
      <c r="FD363" s="1804"/>
      <c r="FE363" s="1804"/>
      <c r="FF363" s="1804"/>
      <c r="FG363" s="1804"/>
      <c r="FH363" s="1804"/>
      <c r="FI363" s="1804"/>
      <c r="FJ363" s="1804"/>
      <c r="FK363" s="1804"/>
      <c r="FL363" s="1804"/>
      <c r="FM363" s="1804"/>
      <c r="FN363" s="1804"/>
      <c r="FO363" s="1804"/>
      <c r="FP363" s="1804"/>
      <c r="FQ363" s="1804"/>
      <c r="FR363" s="1804"/>
      <c r="FS363" s="1804"/>
      <c r="FT363" s="1804"/>
      <c r="FU363" s="1804"/>
      <c r="FV363" s="1804"/>
      <c r="FW363" s="1804"/>
      <c r="FX363" s="1804"/>
      <c r="FY363" s="1804"/>
      <c r="FZ363" s="1804"/>
      <c r="GA363" s="1804"/>
      <c r="GB363" s="1804"/>
      <c r="GC363" s="1804"/>
      <c r="GD363" s="1804"/>
      <c r="GE363" s="1804"/>
      <c r="GF363" s="1804"/>
      <c r="GG363" s="1804"/>
      <c r="GH363" s="1804"/>
      <c r="GI363" s="1804"/>
      <c r="GJ363" s="1804"/>
      <c r="GK363" s="1804"/>
      <c r="GL363" s="1804"/>
      <c r="GM363" s="1804"/>
      <c r="GN363" s="1804"/>
      <c r="GO363" s="1804"/>
      <c r="GP363" s="1804"/>
      <c r="GQ363" s="1804"/>
      <c r="GR363" s="1804"/>
      <c r="GS363" s="1804"/>
      <c r="GT363" s="1804"/>
      <c r="GU363" s="1804"/>
      <c r="GV363" s="1804"/>
      <c r="GW363" s="1804"/>
      <c r="GX363" s="1804"/>
      <c r="GY363" s="1804"/>
      <c r="GZ363" s="1804"/>
      <c r="HA363" s="1804"/>
      <c r="HB363" s="1804"/>
      <c r="HC363" s="1804"/>
      <c r="HD363" s="1804"/>
      <c r="HE363" s="1804"/>
      <c r="HF363" s="1804"/>
      <c r="HG363" s="1804"/>
      <c r="HH363" s="1804"/>
      <c r="HI363" s="1804"/>
      <c r="HJ363" s="1804"/>
      <c r="HK363" s="1804"/>
      <c r="HL363" s="1804"/>
      <c r="HM363" s="1804"/>
      <c r="HN363" s="1804"/>
      <c r="HO363" s="1804"/>
      <c r="HP363" s="1804"/>
      <c r="HQ363" s="1804"/>
      <c r="HR363" s="1804"/>
      <c r="HS363" s="1804"/>
      <c r="HT363" s="1804"/>
      <c r="HU363" s="1804"/>
      <c r="HV363" s="1804"/>
      <c r="HW363" s="1804"/>
      <c r="HX363" s="1804"/>
      <c r="HY363" s="1804"/>
      <c r="HZ363" s="1804"/>
      <c r="IA363" s="1804"/>
      <c r="IB363" s="1804"/>
      <c r="IC363" s="1804"/>
      <c r="ID363" s="1804"/>
      <c r="IE363" s="1804"/>
      <c r="IF363" s="1804"/>
      <c r="IG363" s="1804"/>
      <c r="IH363" s="1804"/>
      <c r="II363" s="1804"/>
      <c r="IJ363" s="1804"/>
      <c r="IK363" s="1804"/>
      <c r="IL363" s="1804"/>
      <c r="IM363" s="1804"/>
      <c r="IN363" s="1804"/>
      <c r="IO363" s="1804"/>
      <c r="IP363" s="1804"/>
      <c r="IQ363" s="1804"/>
      <c r="IR363" s="1804"/>
      <c r="IS363" s="1804"/>
      <c r="IT363" s="1804"/>
      <c r="IU363" s="1804"/>
      <c r="IV363" s="1804"/>
      <c r="IW363" s="1804"/>
      <c r="IX363" s="1804"/>
      <c r="IY363" s="1804"/>
    </row>
    <row r="364" spans="3:259" s="888" customFormat="1" x14ac:dyDescent="0.45">
      <c r="C364" s="67" t="s">
        <v>542</v>
      </c>
      <c r="D364" s="68" t="s">
        <v>644</v>
      </c>
      <c r="E364" s="69"/>
      <c r="F364" s="125">
        <v>7845325.1474361839</v>
      </c>
      <c r="G364" s="126">
        <f t="shared" si="55"/>
        <v>2013.9734185983425</v>
      </c>
      <c r="H364" s="118">
        <v>14205348.518835077</v>
      </c>
      <c r="I364" s="127">
        <f t="shared" si="56"/>
        <v>3596.6521914838531</v>
      </c>
      <c r="J364" s="121">
        <f t="shared" si="67"/>
        <v>22050673.666271262</v>
      </c>
      <c r="K364" s="128">
        <f t="shared" si="67"/>
        <v>5610.6256100821956</v>
      </c>
      <c r="L364" s="125">
        <v>5642385.3579136506</v>
      </c>
      <c r="M364" s="126">
        <f t="shared" si="57"/>
        <v>1448.4567452300132</v>
      </c>
      <c r="N364" s="126">
        <f t="shared" si="68"/>
        <v>27693059.024184912</v>
      </c>
      <c r="O364" s="126">
        <f t="shared" si="68"/>
        <v>7059.0823553122091</v>
      </c>
      <c r="P364" s="118">
        <v>31722810.437501408</v>
      </c>
      <c r="Q364" s="126">
        <f t="shared" si="58"/>
        <v>8031.898374670981</v>
      </c>
      <c r="R364" s="95">
        <v>0</v>
      </c>
      <c r="S364" s="126">
        <f t="shared" si="59"/>
        <v>0</v>
      </c>
      <c r="T364" s="95">
        <v>0</v>
      </c>
      <c r="U364" s="126">
        <f t="shared" si="60"/>
        <v>0</v>
      </c>
      <c r="V364" s="129"/>
      <c r="W364" s="129"/>
      <c r="X364" s="130">
        <f t="shared" si="61"/>
        <v>31722810.437501408</v>
      </c>
      <c r="Y364" s="130">
        <f t="shared" si="62"/>
        <v>8031.898374670981</v>
      </c>
      <c r="Z364" s="129"/>
      <c r="AA364" s="129"/>
      <c r="AB364" s="131">
        <f t="shared" si="63"/>
        <v>13487710.505349834</v>
      </c>
      <c r="AC364" s="132">
        <f t="shared" si="64"/>
        <v>3462.4301638283559</v>
      </c>
      <c r="AD364" s="132">
        <f t="shared" si="65"/>
        <v>45928158.956336483</v>
      </c>
      <c r="AE364" s="132">
        <f t="shared" si="66"/>
        <v>11628.550566154834</v>
      </c>
      <c r="AF364" s="133">
        <f t="shared" si="69"/>
        <v>59415869.461686313</v>
      </c>
      <c r="AG364" s="134">
        <f t="shared" si="69"/>
        <v>15090.98072998319</v>
      </c>
      <c r="AH364" s="1804"/>
      <c r="AI364" s="1804"/>
      <c r="AJ364" s="1804"/>
      <c r="AK364" s="1804"/>
      <c r="AL364" s="1804"/>
      <c r="AM364" s="1804"/>
      <c r="AN364" s="1804"/>
      <c r="AO364" s="1804"/>
      <c r="AP364" s="1804"/>
      <c r="AQ364" s="1804"/>
      <c r="AR364" s="1804"/>
      <c r="AS364" s="1804"/>
      <c r="AT364" s="1804"/>
      <c r="AU364" s="1804"/>
      <c r="AV364" s="1804"/>
      <c r="AW364" s="1804"/>
      <c r="AX364" s="1804"/>
      <c r="AY364" s="1804"/>
      <c r="AZ364" s="1804"/>
      <c r="BA364" s="1804"/>
      <c r="BB364" s="1804"/>
      <c r="BC364" s="1804"/>
      <c r="BD364" s="1804"/>
      <c r="BE364" s="1804"/>
      <c r="BF364" s="1804"/>
      <c r="BG364" s="1804"/>
      <c r="BH364" s="1804"/>
      <c r="BI364" s="1804"/>
      <c r="BJ364" s="1804"/>
      <c r="BK364" s="1804"/>
      <c r="BL364" s="1804"/>
      <c r="BM364" s="1804"/>
      <c r="BN364" s="1804"/>
      <c r="BO364" s="1804"/>
      <c r="BP364" s="1804"/>
      <c r="BQ364" s="1804"/>
      <c r="BR364" s="1804"/>
      <c r="BS364" s="1804"/>
      <c r="BT364" s="1804"/>
      <c r="BU364" s="1804"/>
      <c r="BV364" s="1804"/>
      <c r="BW364" s="1804"/>
      <c r="BX364" s="1804"/>
      <c r="BY364" s="1804"/>
      <c r="BZ364" s="1804"/>
      <c r="CA364" s="1804"/>
      <c r="CB364" s="1804"/>
      <c r="CC364" s="1804"/>
      <c r="CD364" s="1804"/>
      <c r="CE364" s="1804"/>
      <c r="CF364" s="1804"/>
      <c r="CG364" s="1804"/>
      <c r="CH364" s="1804"/>
      <c r="CI364" s="1804"/>
      <c r="CJ364" s="1804"/>
      <c r="CK364" s="1804"/>
      <c r="CL364" s="1804"/>
      <c r="CM364" s="1804"/>
      <c r="CN364" s="1804"/>
      <c r="CO364" s="1804"/>
      <c r="CP364" s="1804"/>
      <c r="CQ364" s="1804"/>
      <c r="CR364" s="1804"/>
      <c r="CS364" s="1804"/>
      <c r="CT364" s="1804"/>
      <c r="CU364" s="1804"/>
      <c r="CV364" s="1804"/>
      <c r="CW364" s="1804"/>
      <c r="CX364" s="1804"/>
      <c r="CY364" s="1804"/>
      <c r="CZ364" s="1804"/>
      <c r="DA364" s="1804"/>
      <c r="DB364" s="1804"/>
      <c r="DC364" s="1804"/>
      <c r="DD364" s="1804"/>
      <c r="DE364" s="1804"/>
      <c r="DF364" s="1804"/>
      <c r="DG364" s="1804"/>
      <c r="DH364" s="1804"/>
      <c r="DI364" s="1804"/>
      <c r="DJ364" s="1804"/>
      <c r="DK364" s="1804"/>
      <c r="DL364" s="1804"/>
      <c r="DM364" s="1804"/>
      <c r="DN364" s="1804"/>
      <c r="DO364" s="1804"/>
      <c r="DP364" s="1804"/>
      <c r="DQ364" s="1804"/>
      <c r="DR364" s="1804"/>
      <c r="DS364" s="1804"/>
      <c r="DT364" s="1804"/>
      <c r="DU364" s="1804"/>
      <c r="DV364" s="1804"/>
      <c r="DW364" s="1804"/>
      <c r="DX364" s="1804"/>
      <c r="DY364" s="1804"/>
      <c r="DZ364" s="1804"/>
      <c r="EA364" s="1804"/>
      <c r="EB364" s="1804"/>
      <c r="EC364" s="1804"/>
      <c r="ED364" s="1804"/>
      <c r="EE364" s="1804"/>
      <c r="EF364" s="1804"/>
      <c r="EG364" s="1804"/>
      <c r="EH364" s="1804"/>
      <c r="EI364" s="1804"/>
      <c r="EJ364" s="1804"/>
      <c r="EK364" s="1804"/>
      <c r="EL364" s="1804"/>
      <c r="EM364" s="1804"/>
      <c r="EN364" s="1804"/>
      <c r="EO364" s="1804"/>
      <c r="EP364" s="1804"/>
      <c r="EQ364" s="1804"/>
      <c r="ER364" s="1804"/>
      <c r="ES364" s="1804"/>
      <c r="ET364" s="1804"/>
      <c r="EU364" s="1804"/>
      <c r="EV364" s="1804"/>
      <c r="EW364" s="1804"/>
      <c r="EX364" s="1804"/>
      <c r="EY364" s="1804"/>
      <c r="EZ364" s="1804"/>
      <c r="FA364" s="1804"/>
      <c r="FB364" s="1804"/>
      <c r="FC364" s="1804"/>
      <c r="FD364" s="1804"/>
      <c r="FE364" s="1804"/>
      <c r="FF364" s="1804"/>
      <c r="FG364" s="1804"/>
      <c r="FH364" s="1804"/>
      <c r="FI364" s="1804"/>
      <c r="FJ364" s="1804"/>
      <c r="FK364" s="1804"/>
      <c r="FL364" s="1804"/>
      <c r="FM364" s="1804"/>
      <c r="FN364" s="1804"/>
      <c r="FO364" s="1804"/>
      <c r="FP364" s="1804"/>
      <c r="FQ364" s="1804"/>
      <c r="FR364" s="1804"/>
      <c r="FS364" s="1804"/>
      <c r="FT364" s="1804"/>
      <c r="FU364" s="1804"/>
      <c r="FV364" s="1804"/>
      <c r="FW364" s="1804"/>
      <c r="FX364" s="1804"/>
      <c r="FY364" s="1804"/>
      <c r="FZ364" s="1804"/>
      <c r="GA364" s="1804"/>
      <c r="GB364" s="1804"/>
      <c r="GC364" s="1804"/>
      <c r="GD364" s="1804"/>
      <c r="GE364" s="1804"/>
      <c r="GF364" s="1804"/>
      <c r="GG364" s="1804"/>
      <c r="GH364" s="1804"/>
      <c r="GI364" s="1804"/>
      <c r="GJ364" s="1804"/>
      <c r="GK364" s="1804"/>
      <c r="GL364" s="1804"/>
      <c r="GM364" s="1804"/>
      <c r="GN364" s="1804"/>
      <c r="GO364" s="1804"/>
      <c r="GP364" s="1804"/>
      <c r="GQ364" s="1804"/>
      <c r="GR364" s="1804"/>
      <c r="GS364" s="1804"/>
      <c r="GT364" s="1804"/>
      <c r="GU364" s="1804"/>
      <c r="GV364" s="1804"/>
      <c r="GW364" s="1804"/>
      <c r="GX364" s="1804"/>
      <c r="GY364" s="1804"/>
      <c r="GZ364" s="1804"/>
      <c r="HA364" s="1804"/>
      <c r="HB364" s="1804"/>
      <c r="HC364" s="1804"/>
      <c r="HD364" s="1804"/>
      <c r="HE364" s="1804"/>
      <c r="HF364" s="1804"/>
      <c r="HG364" s="1804"/>
      <c r="HH364" s="1804"/>
      <c r="HI364" s="1804"/>
      <c r="HJ364" s="1804"/>
      <c r="HK364" s="1804"/>
      <c r="HL364" s="1804"/>
      <c r="HM364" s="1804"/>
      <c r="HN364" s="1804"/>
      <c r="HO364" s="1804"/>
      <c r="HP364" s="1804"/>
      <c r="HQ364" s="1804"/>
      <c r="HR364" s="1804"/>
      <c r="HS364" s="1804"/>
      <c r="HT364" s="1804"/>
      <c r="HU364" s="1804"/>
      <c r="HV364" s="1804"/>
      <c r="HW364" s="1804"/>
      <c r="HX364" s="1804"/>
      <c r="HY364" s="1804"/>
      <c r="HZ364" s="1804"/>
      <c r="IA364" s="1804"/>
      <c r="IB364" s="1804"/>
      <c r="IC364" s="1804"/>
      <c r="ID364" s="1804"/>
      <c r="IE364" s="1804"/>
      <c r="IF364" s="1804"/>
      <c r="IG364" s="1804"/>
      <c r="IH364" s="1804"/>
      <c r="II364" s="1804"/>
      <c r="IJ364" s="1804"/>
      <c r="IK364" s="1804"/>
      <c r="IL364" s="1804"/>
      <c r="IM364" s="1804"/>
      <c r="IN364" s="1804"/>
      <c r="IO364" s="1804"/>
      <c r="IP364" s="1804"/>
      <c r="IQ364" s="1804"/>
      <c r="IR364" s="1804"/>
      <c r="IS364" s="1804"/>
      <c r="IT364" s="1804"/>
      <c r="IU364" s="1804"/>
      <c r="IV364" s="1804"/>
      <c r="IW364" s="1804"/>
      <c r="IX364" s="1804"/>
      <c r="IY364" s="1804"/>
    </row>
    <row r="365" spans="3:259" s="888" customFormat="1" x14ac:dyDescent="0.45">
      <c r="C365" s="67" t="s">
        <v>543</v>
      </c>
      <c r="D365" s="68" t="s">
        <v>645</v>
      </c>
      <c r="E365" s="69"/>
      <c r="F365" s="125">
        <v>0</v>
      </c>
      <c r="G365" s="126">
        <f t="shared" si="55"/>
        <v>0</v>
      </c>
      <c r="H365" s="118">
        <v>33074681.882375743</v>
      </c>
      <c r="I365" s="127">
        <f t="shared" si="56"/>
        <v>8374.1787057987131</v>
      </c>
      <c r="J365" s="121">
        <f t="shared" si="67"/>
        <v>33074681.882375743</v>
      </c>
      <c r="K365" s="128">
        <f t="shared" si="67"/>
        <v>8374.1787057987131</v>
      </c>
      <c r="L365" s="125">
        <v>7515085.920671884</v>
      </c>
      <c r="M365" s="126">
        <f t="shared" si="57"/>
        <v>1929.1977066956792</v>
      </c>
      <c r="N365" s="126">
        <f t="shared" si="68"/>
        <v>40589767.803047627</v>
      </c>
      <c r="O365" s="126">
        <f t="shared" si="68"/>
        <v>10303.376412494392</v>
      </c>
      <c r="P365" s="118">
        <v>12642942.069636101</v>
      </c>
      <c r="Q365" s="126">
        <f t="shared" si="58"/>
        <v>3201.0665026111642</v>
      </c>
      <c r="R365" s="95">
        <v>0</v>
      </c>
      <c r="S365" s="126">
        <f t="shared" si="59"/>
        <v>0</v>
      </c>
      <c r="T365" s="95">
        <v>0</v>
      </c>
      <c r="U365" s="126">
        <f t="shared" si="60"/>
        <v>0</v>
      </c>
      <c r="V365" s="129"/>
      <c r="W365" s="129"/>
      <c r="X365" s="130">
        <f t="shared" si="61"/>
        <v>12642942.069636101</v>
      </c>
      <c r="Y365" s="130">
        <f t="shared" si="62"/>
        <v>3201.0665026111642</v>
      </c>
      <c r="Z365" s="129"/>
      <c r="AA365" s="129"/>
      <c r="AB365" s="131">
        <f t="shared" si="63"/>
        <v>7515085.920671884</v>
      </c>
      <c r="AC365" s="132">
        <f t="shared" si="64"/>
        <v>1929.1977066956792</v>
      </c>
      <c r="AD365" s="132">
        <f t="shared" si="65"/>
        <v>45717623.952011846</v>
      </c>
      <c r="AE365" s="132">
        <f t="shared" si="66"/>
        <v>11575.245208409877</v>
      </c>
      <c r="AF365" s="133">
        <f t="shared" si="69"/>
        <v>53232709.872683734</v>
      </c>
      <c r="AG365" s="134">
        <f t="shared" si="69"/>
        <v>13504.442915105556</v>
      </c>
      <c r="AH365" s="1804"/>
      <c r="AI365" s="1804"/>
      <c r="AJ365" s="1804"/>
      <c r="AK365" s="1804"/>
      <c r="AL365" s="1804"/>
      <c r="AM365" s="1804"/>
      <c r="AN365" s="1804"/>
      <c r="AO365" s="1804"/>
      <c r="AP365" s="1804"/>
      <c r="AQ365" s="1804"/>
      <c r="AR365" s="1804"/>
      <c r="AS365" s="1804"/>
      <c r="AT365" s="1804"/>
      <c r="AU365" s="1804"/>
      <c r="AV365" s="1804"/>
      <c r="AW365" s="1804"/>
      <c r="AX365" s="1804"/>
      <c r="AY365" s="1804"/>
      <c r="AZ365" s="1804"/>
      <c r="BA365" s="1804"/>
      <c r="BB365" s="1804"/>
      <c r="BC365" s="1804"/>
      <c r="BD365" s="1804"/>
      <c r="BE365" s="1804"/>
      <c r="BF365" s="1804"/>
      <c r="BG365" s="1804"/>
      <c r="BH365" s="1804"/>
      <c r="BI365" s="1804"/>
      <c r="BJ365" s="1804"/>
      <c r="BK365" s="1804"/>
      <c r="BL365" s="1804"/>
      <c r="BM365" s="1804"/>
      <c r="BN365" s="1804"/>
      <c r="BO365" s="1804"/>
      <c r="BP365" s="1804"/>
      <c r="BQ365" s="1804"/>
      <c r="BR365" s="1804"/>
      <c r="BS365" s="1804"/>
      <c r="BT365" s="1804"/>
      <c r="BU365" s="1804"/>
      <c r="BV365" s="1804"/>
      <c r="BW365" s="1804"/>
      <c r="BX365" s="1804"/>
      <c r="BY365" s="1804"/>
      <c r="BZ365" s="1804"/>
      <c r="CA365" s="1804"/>
      <c r="CB365" s="1804"/>
      <c r="CC365" s="1804"/>
      <c r="CD365" s="1804"/>
      <c r="CE365" s="1804"/>
      <c r="CF365" s="1804"/>
      <c r="CG365" s="1804"/>
      <c r="CH365" s="1804"/>
      <c r="CI365" s="1804"/>
      <c r="CJ365" s="1804"/>
      <c r="CK365" s="1804"/>
      <c r="CL365" s="1804"/>
      <c r="CM365" s="1804"/>
      <c r="CN365" s="1804"/>
      <c r="CO365" s="1804"/>
      <c r="CP365" s="1804"/>
      <c r="CQ365" s="1804"/>
      <c r="CR365" s="1804"/>
      <c r="CS365" s="1804"/>
      <c r="CT365" s="1804"/>
      <c r="CU365" s="1804"/>
      <c r="CV365" s="1804"/>
      <c r="CW365" s="1804"/>
      <c r="CX365" s="1804"/>
      <c r="CY365" s="1804"/>
      <c r="CZ365" s="1804"/>
      <c r="DA365" s="1804"/>
      <c r="DB365" s="1804"/>
      <c r="DC365" s="1804"/>
      <c r="DD365" s="1804"/>
      <c r="DE365" s="1804"/>
      <c r="DF365" s="1804"/>
      <c r="DG365" s="1804"/>
      <c r="DH365" s="1804"/>
      <c r="DI365" s="1804"/>
      <c r="DJ365" s="1804"/>
      <c r="DK365" s="1804"/>
      <c r="DL365" s="1804"/>
      <c r="DM365" s="1804"/>
      <c r="DN365" s="1804"/>
      <c r="DO365" s="1804"/>
      <c r="DP365" s="1804"/>
      <c r="DQ365" s="1804"/>
      <c r="DR365" s="1804"/>
      <c r="DS365" s="1804"/>
      <c r="DT365" s="1804"/>
      <c r="DU365" s="1804"/>
      <c r="DV365" s="1804"/>
      <c r="DW365" s="1804"/>
      <c r="DX365" s="1804"/>
      <c r="DY365" s="1804"/>
      <c r="DZ365" s="1804"/>
      <c r="EA365" s="1804"/>
      <c r="EB365" s="1804"/>
      <c r="EC365" s="1804"/>
      <c r="ED365" s="1804"/>
      <c r="EE365" s="1804"/>
      <c r="EF365" s="1804"/>
      <c r="EG365" s="1804"/>
      <c r="EH365" s="1804"/>
      <c r="EI365" s="1804"/>
      <c r="EJ365" s="1804"/>
      <c r="EK365" s="1804"/>
      <c r="EL365" s="1804"/>
      <c r="EM365" s="1804"/>
      <c r="EN365" s="1804"/>
      <c r="EO365" s="1804"/>
      <c r="EP365" s="1804"/>
      <c r="EQ365" s="1804"/>
      <c r="ER365" s="1804"/>
      <c r="ES365" s="1804"/>
      <c r="ET365" s="1804"/>
      <c r="EU365" s="1804"/>
      <c r="EV365" s="1804"/>
      <c r="EW365" s="1804"/>
      <c r="EX365" s="1804"/>
      <c r="EY365" s="1804"/>
      <c r="EZ365" s="1804"/>
      <c r="FA365" s="1804"/>
      <c r="FB365" s="1804"/>
      <c r="FC365" s="1804"/>
      <c r="FD365" s="1804"/>
      <c r="FE365" s="1804"/>
      <c r="FF365" s="1804"/>
      <c r="FG365" s="1804"/>
      <c r="FH365" s="1804"/>
      <c r="FI365" s="1804"/>
      <c r="FJ365" s="1804"/>
      <c r="FK365" s="1804"/>
      <c r="FL365" s="1804"/>
      <c r="FM365" s="1804"/>
      <c r="FN365" s="1804"/>
      <c r="FO365" s="1804"/>
      <c r="FP365" s="1804"/>
      <c r="FQ365" s="1804"/>
      <c r="FR365" s="1804"/>
      <c r="FS365" s="1804"/>
      <c r="FT365" s="1804"/>
      <c r="FU365" s="1804"/>
      <c r="FV365" s="1804"/>
      <c r="FW365" s="1804"/>
      <c r="FX365" s="1804"/>
      <c r="FY365" s="1804"/>
      <c r="FZ365" s="1804"/>
      <c r="GA365" s="1804"/>
      <c r="GB365" s="1804"/>
      <c r="GC365" s="1804"/>
      <c r="GD365" s="1804"/>
      <c r="GE365" s="1804"/>
      <c r="GF365" s="1804"/>
      <c r="GG365" s="1804"/>
      <c r="GH365" s="1804"/>
      <c r="GI365" s="1804"/>
      <c r="GJ365" s="1804"/>
      <c r="GK365" s="1804"/>
      <c r="GL365" s="1804"/>
      <c r="GM365" s="1804"/>
      <c r="GN365" s="1804"/>
      <c r="GO365" s="1804"/>
      <c r="GP365" s="1804"/>
      <c r="GQ365" s="1804"/>
      <c r="GR365" s="1804"/>
      <c r="GS365" s="1804"/>
      <c r="GT365" s="1804"/>
      <c r="GU365" s="1804"/>
      <c r="GV365" s="1804"/>
      <c r="GW365" s="1804"/>
      <c r="GX365" s="1804"/>
      <c r="GY365" s="1804"/>
      <c r="GZ365" s="1804"/>
      <c r="HA365" s="1804"/>
      <c r="HB365" s="1804"/>
      <c r="HC365" s="1804"/>
      <c r="HD365" s="1804"/>
      <c r="HE365" s="1804"/>
      <c r="HF365" s="1804"/>
      <c r="HG365" s="1804"/>
      <c r="HH365" s="1804"/>
      <c r="HI365" s="1804"/>
      <c r="HJ365" s="1804"/>
      <c r="HK365" s="1804"/>
      <c r="HL365" s="1804"/>
      <c r="HM365" s="1804"/>
      <c r="HN365" s="1804"/>
      <c r="HO365" s="1804"/>
      <c r="HP365" s="1804"/>
      <c r="HQ365" s="1804"/>
      <c r="HR365" s="1804"/>
      <c r="HS365" s="1804"/>
      <c r="HT365" s="1804"/>
      <c r="HU365" s="1804"/>
      <c r="HV365" s="1804"/>
      <c r="HW365" s="1804"/>
      <c r="HX365" s="1804"/>
      <c r="HY365" s="1804"/>
      <c r="HZ365" s="1804"/>
      <c r="IA365" s="1804"/>
      <c r="IB365" s="1804"/>
      <c r="IC365" s="1804"/>
      <c r="ID365" s="1804"/>
      <c r="IE365" s="1804"/>
      <c r="IF365" s="1804"/>
      <c r="IG365" s="1804"/>
      <c r="IH365" s="1804"/>
      <c r="II365" s="1804"/>
      <c r="IJ365" s="1804"/>
      <c r="IK365" s="1804"/>
      <c r="IL365" s="1804"/>
      <c r="IM365" s="1804"/>
      <c r="IN365" s="1804"/>
      <c r="IO365" s="1804"/>
      <c r="IP365" s="1804"/>
      <c r="IQ365" s="1804"/>
      <c r="IR365" s="1804"/>
      <c r="IS365" s="1804"/>
      <c r="IT365" s="1804"/>
      <c r="IU365" s="1804"/>
      <c r="IV365" s="1804"/>
      <c r="IW365" s="1804"/>
      <c r="IX365" s="1804"/>
      <c r="IY365" s="1804"/>
    </row>
    <row r="366" spans="3:259" s="888" customFormat="1" x14ac:dyDescent="0.45">
      <c r="C366" s="67" t="s">
        <v>544</v>
      </c>
      <c r="D366" s="68" t="s">
        <v>646</v>
      </c>
      <c r="E366" s="69"/>
      <c r="F366" s="125">
        <v>36534904.450807907</v>
      </c>
      <c r="G366" s="126">
        <f t="shared" si="55"/>
        <v>9378.8753215668949</v>
      </c>
      <c r="H366" s="118">
        <v>5235739.9429199155</v>
      </c>
      <c r="I366" s="127">
        <f t="shared" si="56"/>
        <v>1325.6369961478933</v>
      </c>
      <c r="J366" s="121">
        <f t="shared" si="67"/>
        <v>41770644.393727824</v>
      </c>
      <c r="K366" s="128">
        <f t="shared" si="67"/>
        <v>10704.512317714789</v>
      </c>
      <c r="L366" s="125">
        <v>5029474.1668324713</v>
      </c>
      <c r="M366" s="126">
        <f t="shared" si="57"/>
        <v>1291.1163133675639</v>
      </c>
      <c r="N366" s="126">
        <f t="shared" si="68"/>
        <v>46800118.560560293</v>
      </c>
      <c r="O366" s="126">
        <f t="shared" si="68"/>
        <v>11995.628631082353</v>
      </c>
      <c r="P366" s="118">
        <v>47771123.911784634</v>
      </c>
      <c r="Q366" s="126">
        <f t="shared" si="58"/>
        <v>12095.17086322475</v>
      </c>
      <c r="R366" s="95">
        <v>0</v>
      </c>
      <c r="S366" s="126">
        <f t="shared" si="59"/>
        <v>0</v>
      </c>
      <c r="T366" s="95">
        <v>0</v>
      </c>
      <c r="U366" s="126">
        <f t="shared" si="60"/>
        <v>0</v>
      </c>
      <c r="V366" s="129"/>
      <c r="W366" s="129"/>
      <c r="X366" s="130">
        <f t="shared" si="61"/>
        <v>47771123.911784634</v>
      </c>
      <c r="Y366" s="130">
        <f t="shared" si="62"/>
        <v>12095.17086322475</v>
      </c>
      <c r="Z366" s="129"/>
      <c r="AA366" s="129"/>
      <c r="AB366" s="131">
        <f t="shared" si="63"/>
        <v>41564378.617640376</v>
      </c>
      <c r="AC366" s="132">
        <f t="shared" si="64"/>
        <v>10669.991634934458</v>
      </c>
      <c r="AD366" s="132">
        <f t="shared" si="65"/>
        <v>53006863.854704551</v>
      </c>
      <c r="AE366" s="132">
        <f t="shared" si="66"/>
        <v>13420.807859372644</v>
      </c>
      <c r="AF366" s="133">
        <f t="shared" si="69"/>
        <v>94571242.472344935</v>
      </c>
      <c r="AG366" s="134">
        <f t="shared" si="69"/>
        <v>24090.799494307103</v>
      </c>
      <c r="AH366" s="1804"/>
      <c r="AI366" s="1804"/>
      <c r="AJ366" s="1804"/>
      <c r="AK366" s="1804"/>
      <c r="AL366" s="1804"/>
      <c r="AM366" s="1804"/>
      <c r="AN366" s="1804"/>
      <c r="AO366" s="1804"/>
      <c r="AP366" s="1804"/>
      <c r="AQ366" s="1804"/>
      <c r="AR366" s="1804"/>
      <c r="AS366" s="1804"/>
      <c r="AT366" s="1804"/>
      <c r="AU366" s="1804"/>
      <c r="AV366" s="1804"/>
      <c r="AW366" s="1804"/>
      <c r="AX366" s="1804"/>
      <c r="AY366" s="1804"/>
      <c r="AZ366" s="1804"/>
      <c r="BA366" s="1804"/>
      <c r="BB366" s="1804"/>
      <c r="BC366" s="1804"/>
      <c r="BD366" s="1804"/>
      <c r="BE366" s="1804"/>
      <c r="BF366" s="1804"/>
      <c r="BG366" s="1804"/>
      <c r="BH366" s="1804"/>
      <c r="BI366" s="1804"/>
      <c r="BJ366" s="1804"/>
      <c r="BK366" s="1804"/>
      <c r="BL366" s="1804"/>
      <c r="BM366" s="1804"/>
      <c r="BN366" s="1804"/>
      <c r="BO366" s="1804"/>
      <c r="BP366" s="1804"/>
      <c r="BQ366" s="1804"/>
      <c r="BR366" s="1804"/>
      <c r="BS366" s="1804"/>
      <c r="BT366" s="1804"/>
      <c r="BU366" s="1804"/>
      <c r="BV366" s="1804"/>
      <c r="BW366" s="1804"/>
      <c r="BX366" s="1804"/>
      <c r="BY366" s="1804"/>
      <c r="BZ366" s="1804"/>
      <c r="CA366" s="1804"/>
      <c r="CB366" s="1804"/>
      <c r="CC366" s="1804"/>
      <c r="CD366" s="1804"/>
      <c r="CE366" s="1804"/>
      <c r="CF366" s="1804"/>
      <c r="CG366" s="1804"/>
      <c r="CH366" s="1804"/>
      <c r="CI366" s="1804"/>
      <c r="CJ366" s="1804"/>
      <c r="CK366" s="1804"/>
      <c r="CL366" s="1804"/>
      <c r="CM366" s="1804"/>
      <c r="CN366" s="1804"/>
      <c r="CO366" s="1804"/>
      <c r="CP366" s="1804"/>
      <c r="CQ366" s="1804"/>
      <c r="CR366" s="1804"/>
      <c r="CS366" s="1804"/>
      <c r="CT366" s="1804"/>
      <c r="CU366" s="1804"/>
      <c r="CV366" s="1804"/>
      <c r="CW366" s="1804"/>
      <c r="CX366" s="1804"/>
      <c r="CY366" s="1804"/>
      <c r="CZ366" s="1804"/>
      <c r="DA366" s="1804"/>
      <c r="DB366" s="1804"/>
      <c r="DC366" s="1804"/>
      <c r="DD366" s="1804"/>
      <c r="DE366" s="1804"/>
      <c r="DF366" s="1804"/>
      <c r="DG366" s="1804"/>
      <c r="DH366" s="1804"/>
      <c r="DI366" s="1804"/>
      <c r="DJ366" s="1804"/>
      <c r="DK366" s="1804"/>
      <c r="DL366" s="1804"/>
      <c r="DM366" s="1804"/>
      <c r="DN366" s="1804"/>
      <c r="DO366" s="1804"/>
      <c r="DP366" s="1804"/>
      <c r="DQ366" s="1804"/>
      <c r="DR366" s="1804"/>
      <c r="DS366" s="1804"/>
      <c r="DT366" s="1804"/>
      <c r="DU366" s="1804"/>
      <c r="DV366" s="1804"/>
      <c r="DW366" s="1804"/>
      <c r="DX366" s="1804"/>
      <c r="DY366" s="1804"/>
      <c r="DZ366" s="1804"/>
      <c r="EA366" s="1804"/>
      <c r="EB366" s="1804"/>
      <c r="EC366" s="1804"/>
      <c r="ED366" s="1804"/>
      <c r="EE366" s="1804"/>
      <c r="EF366" s="1804"/>
      <c r="EG366" s="1804"/>
      <c r="EH366" s="1804"/>
      <c r="EI366" s="1804"/>
      <c r="EJ366" s="1804"/>
      <c r="EK366" s="1804"/>
      <c r="EL366" s="1804"/>
      <c r="EM366" s="1804"/>
      <c r="EN366" s="1804"/>
      <c r="EO366" s="1804"/>
      <c r="EP366" s="1804"/>
      <c r="EQ366" s="1804"/>
      <c r="ER366" s="1804"/>
      <c r="ES366" s="1804"/>
      <c r="ET366" s="1804"/>
      <c r="EU366" s="1804"/>
      <c r="EV366" s="1804"/>
      <c r="EW366" s="1804"/>
      <c r="EX366" s="1804"/>
      <c r="EY366" s="1804"/>
      <c r="EZ366" s="1804"/>
      <c r="FA366" s="1804"/>
      <c r="FB366" s="1804"/>
      <c r="FC366" s="1804"/>
      <c r="FD366" s="1804"/>
      <c r="FE366" s="1804"/>
      <c r="FF366" s="1804"/>
      <c r="FG366" s="1804"/>
      <c r="FH366" s="1804"/>
      <c r="FI366" s="1804"/>
      <c r="FJ366" s="1804"/>
      <c r="FK366" s="1804"/>
      <c r="FL366" s="1804"/>
      <c r="FM366" s="1804"/>
      <c r="FN366" s="1804"/>
      <c r="FO366" s="1804"/>
      <c r="FP366" s="1804"/>
      <c r="FQ366" s="1804"/>
      <c r="FR366" s="1804"/>
      <c r="FS366" s="1804"/>
      <c r="FT366" s="1804"/>
      <c r="FU366" s="1804"/>
      <c r="FV366" s="1804"/>
      <c r="FW366" s="1804"/>
      <c r="FX366" s="1804"/>
      <c r="FY366" s="1804"/>
      <c r="FZ366" s="1804"/>
      <c r="GA366" s="1804"/>
      <c r="GB366" s="1804"/>
      <c r="GC366" s="1804"/>
      <c r="GD366" s="1804"/>
      <c r="GE366" s="1804"/>
      <c r="GF366" s="1804"/>
      <c r="GG366" s="1804"/>
      <c r="GH366" s="1804"/>
      <c r="GI366" s="1804"/>
      <c r="GJ366" s="1804"/>
      <c r="GK366" s="1804"/>
      <c r="GL366" s="1804"/>
      <c r="GM366" s="1804"/>
      <c r="GN366" s="1804"/>
      <c r="GO366" s="1804"/>
      <c r="GP366" s="1804"/>
      <c r="GQ366" s="1804"/>
      <c r="GR366" s="1804"/>
      <c r="GS366" s="1804"/>
      <c r="GT366" s="1804"/>
      <c r="GU366" s="1804"/>
      <c r="GV366" s="1804"/>
      <c r="GW366" s="1804"/>
      <c r="GX366" s="1804"/>
      <c r="GY366" s="1804"/>
      <c r="GZ366" s="1804"/>
      <c r="HA366" s="1804"/>
      <c r="HB366" s="1804"/>
      <c r="HC366" s="1804"/>
      <c r="HD366" s="1804"/>
      <c r="HE366" s="1804"/>
      <c r="HF366" s="1804"/>
      <c r="HG366" s="1804"/>
      <c r="HH366" s="1804"/>
      <c r="HI366" s="1804"/>
      <c r="HJ366" s="1804"/>
      <c r="HK366" s="1804"/>
      <c r="HL366" s="1804"/>
      <c r="HM366" s="1804"/>
      <c r="HN366" s="1804"/>
      <c r="HO366" s="1804"/>
      <c r="HP366" s="1804"/>
      <c r="HQ366" s="1804"/>
      <c r="HR366" s="1804"/>
      <c r="HS366" s="1804"/>
      <c r="HT366" s="1804"/>
      <c r="HU366" s="1804"/>
      <c r="HV366" s="1804"/>
      <c r="HW366" s="1804"/>
      <c r="HX366" s="1804"/>
      <c r="HY366" s="1804"/>
      <c r="HZ366" s="1804"/>
      <c r="IA366" s="1804"/>
      <c r="IB366" s="1804"/>
      <c r="IC366" s="1804"/>
      <c r="ID366" s="1804"/>
      <c r="IE366" s="1804"/>
      <c r="IF366" s="1804"/>
      <c r="IG366" s="1804"/>
      <c r="IH366" s="1804"/>
      <c r="II366" s="1804"/>
      <c r="IJ366" s="1804"/>
      <c r="IK366" s="1804"/>
      <c r="IL366" s="1804"/>
      <c r="IM366" s="1804"/>
      <c r="IN366" s="1804"/>
      <c r="IO366" s="1804"/>
      <c r="IP366" s="1804"/>
      <c r="IQ366" s="1804"/>
      <c r="IR366" s="1804"/>
      <c r="IS366" s="1804"/>
      <c r="IT366" s="1804"/>
      <c r="IU366" s="1804"/>
      <c r="IV366" s="1804"/>
      <c r="IW366" s="1804"/>
      <c r="IX366" s="1804"/>
      <c r="IY366" s="1804"/>
    </row>
    <row r="367" spans="3:259" s="888" customFormat="1" x14ac:dyDescent="0.45">
      <c r="C367" s="67" t="s">
        <v>545</v>
      </c>
      <c r="D367" s="68" t="s">
        <v>647</v>
      </c>
      <c r="E367" s="69"/>
      <c r="F367" s="125">
        <v>0</v>
      </c>
      <c r="G367" s="126">
        <f t="shared" si="55"/>
        <v>0</v>
      </c>
      <c r="H367" s="118">
        <v>11443408.270797554</v>
      </c>
      <c r="I367" s="127">
        <f t="shared" si="56"/>
        <v>2897.3565400832322</v>
      </c>
      <c r="J367" s="121">
        <f t="shared" si="67"/>
        <v>11443408.270797554</v>
      </c>
      <c r="K367" s="128">
        <f t="shared" si="67"/>
        <v>2897.3565400832322</v>
      </c>
      <c r="L367" s="125">
        <v>1420312.3719346004</v>
      </c>
      <c r="M367" s="126">
        <f t="shared" si="57"/>
        <v>364.60838899933123</v>
      </c>
      <c r="N367" s="126">
        <f t="shared" si="68"/>
        <v>12863720.642732155</v>
      </c>
      <c r="O367" s="126">
        <f t="shared" si="68"/>
        <v>3261.9649290825632</v>
      </c>
      <c r="P367" s="118">
        <v>31579079.174033642</v>
      </c>
      <c r="Q367" s="126">
        <f t="shared" si="58"/>
        <v>7995.5070560735776</v>
      </c>
      <c r="R367" s="95">
        <v>0</v>
      </c>
      <c r="S367" s="126">
        <f t="shared" si="59"/>
        <v>0</v>
      </c>
      <c r="T367" s="95">
        <v>0</v>
      </c>
      <c r="U367" s="126">
        <f t="shared" si="60"/>
        <v>0</v>
      </c>
      <c r="V367" s="129"/>
      <c r="W367" s="129"/>
      <c r="X367" s="130">
        <f t="shared" si="61"/>
        <v>31579079.174033642</v>
      </c>
      <c r="Y367" s="130">
        <f t="shared" si="62"/>
        <v>7995.5070560735776</v>
      </c>
      <c r="Z367" s="129"/>
      <c r="AA367" s="129"/>
      <c r="AB367" s="131">
        <f t="shared" si="63"/>
        <v>1420312.3719346004</v>
      </c>
      <c r="AC367" s="132">
        <f t="shared" si="64"/>
        <v>364.60838899933123</v>
      </c>
      <c r="AD367" s="132">
        <f t="shared" si="65"/>
        <v>43022487.444831192</v>
      </c>
      <c r="AE367" s="132">
        <f t="shared" si="66"/>
        <v>10892.863596156811</v>
      </c>
      <c r="AF367" s="133">
        <f t="shared" si="69"/>
        <v>44442799.816765793</v>
      </c>
      <c r="AG367" s="134">
        <f t="shared" si="69"/>
        <v>11257.471985156142</v>
      </c>
      <c r="AH367" s="1804"/>
      <c r="AI367" s="1804"/>
      <c r="AJ367" s="1804"/>
      <c r="AK367" s="1804"/>
      <c r="AL367" s="1804"/>
      <c r="AM367" s="1804"/>
      <c r="AN367" s="1804"/>
      <c r="AO367" s="1804"/>
      <c r="AP367" s="1804"/>
      <c r="AQ367" s="1804"/>
      <c r="AR367" s="1804"/>
      <c r="AS367" s="1804"/>
      <c r="AT367" s="1804"/>
      <c r="AU367" s="1804"/>
      <c r="AV367" s="1804"/>
      <c r="AW367" s="1804"/>
      <c r="AX367" s="1804"/>
      <c r="AY367" s="1804"/>
      <c r="AZ367" s="1804"/>
      <c r="BA367" s="1804"/>
      <c r="BB367" s="1804"/>
      <c r="BC367" s="1804"/>
      <c r="BD367" s="1804"/>
      <c r="BE367" s="1804"/>
      <c r="BF367" s="1804"/>
      <c r="BG367" s="1804"/>
      <c r="BH367" s="1804"/>
      <c r="BI367" s="1804"/>
      <c r="BJ367" s="1804"/>
      <c r="BK367" s="1804"/>
      <c r="BL367" s="1804"/>
      <c r="BM367" s="1804"/>
      <c r="BN367" s="1804"/>
      <c r="BO367" s="1804"/>
      <c r="BP367" s="1804"/>
      <c r="BQ367" s="1804"/>
      <c r="BR367" s="1804"/>
      <c r="BS367" s="1804"/>
      <c r="BT367" s="1804"/>
      <c r="BU367" s="1804"/>
      <c r="BV367" s="1804"/>
      <c r="BW367" s="1804"/>
      <c r="BX367" s="1804"/>
      <c r="BY367" s="1804"/>
      <c r="BZ367" s="1804"/>
      <c r="CA367" s="1804"/>
      <c r="CB367" s="1804"/>
      <c r="CC367" s="1804"/>
      <c r="CD367" s="1804"/>
      <c r="CE367" s="1804"/>
      <c r="CF367" s="1804"/>
      <c r="CG367" s="1804"/>
      <c r="CH367" s="1804"/>
      <c r="CI367" s="1804"/>
      <c r="CJ367" s="1804"/>
      <c r="CK367" s="1804"/>
      <c r="CL367" s="1804"/>
      <c r="CM367" s="1804"/>
      <c r="CN367" s="1804"/>
      <c r="CO367" s="1804"/>
      <c r="CP367" s="1804"/>
      <c r="CQ367" s="1804"/>
      <c r="CR367" s="1804"/>
      <c r="CS367" s="1804"/>
      <c r="CT367" s="1804"/>
      <c r="CU367" s="1804"/>
      <c r="CV367" s="1804"/>
      <c r="CW367" s="1804"/>
      <c r="CX367" s="1804"/>
      <c r="CY367" s="1804"/>
      <c r="CZ367" s="1804"/>
      <c r="DA367" s="1804"/>
      <c r="DB367" s="1804"/>
      <c r="DC367" s="1804"/>
      <c r="DD367" s="1804"/>
      <c r="DE367" s="1804"/>
      <c r="DF367" s="1804"/>
      <c r="DG367" s="1804"/>
      <c r="DH367" s="1804"/>
      <c r="DI367" s="1804"/>
      <c r="DJ367" s="1804"/>
      <c r="DK367" s="1804"/>
      <c r="DL367" s="1804"/>
      <c r="DM367" s="1804"/>
      <c r="DN367" s="1804"/>
      <c r="DO367" s="1804"/>
      <c r="DP367" s="1804"/>
      <c r="DQ367" s="1804"/>
      <c r="DR367" s="1804"/>
      <c r="DS367" s="1804"/>
      <c r="DT367" s="1804"/>
      <c r="DU367" s="1804"/>
      <c r="DV367" s="1804"/>
      <c r="DW367" s="1804"/>
      <c r="DX367" s="1804"/>
      <c r="DY367" s="1804"/>
      <c r="DZ367" s="1804"/>
      <c r="EA367" s="1804"/>
      <c r="EB367" s="1804"/>
      <c r="EC367" s="1804"/>
      <c r="ED367" s="1804"/>
      <c r="EE367" s="1804"/>
      <c r="EF367" s="1804"/>
      <c r="EG367" s="1804"/>
      <c r="EH367" s="1804"/>
      <c r="EI367" s="1804"/>
      <c r="EJ367" s="1804"/>
      <c r="EK367" s="1804"/>
      <c r="EL367" s="1804"/>
      <c r="EM367" s="1804"/>
      <c r="EN367" s="1804"/>
      <c r="EO367" s="1804"/>
      <c r="EP367" s="1804"/>
      <c r="EQ367" s="1804"/>
      <c r="ER367" s="1804"/>
      <c r="ES367" s="1804"/>
      <c r="ET367" s="1804"/>
      <c r="EU367" s="1804"/>
      <c r="EV367" s="1804"/>
      <c r="EW367" s="1804"/>
      <c r="EX367" s="1804"/>
      <c r="EY367" s="1804"/>
      <c r="EZ367" s="1804"/>
      <c r="FA367" s="1804"/>
      <c r="FB367" s="1804"/>
      <c r="FC367" s="1804"/>
      <c r="FD367" s="1804"/>
      <c r="FE367" s="1804"/>
      <c r="FF367" s="1804"/>
      <c r="FG367" s="1804"/>
      <c r="FH367" s="1804"/>
      <c r="FI367" s="1804"/>
      <c r="FJ367" s="1804"/>
      <c r="FK367" s="1804"/>
      <c r="FL367" s="1804"/>
      <c r="FM367" s="1804"/>
      <c r="FN367" s="1804"/>
      <c r="FO367" s="1804"/>
      <c r="FP367" s="1804"/>
      <c r="FQ367" s="1804"/>
      <c r="FR367" s="1804"/>
      <c r="FS367" s="1804"/>
      <c r="FT367" s="1804"/>
      <c r="FU367" s="1804"/>
      <c r="FV367" s="1804"/>
      <c r="FW367" s="1804"/>
      <c r="FX367" s="1804"/>
      <c r="FY367" s="1804"/>
      <c r="FZ367" s="1804"/>
      <c r="GA367" s="1804"/>
      <c r="GB367" s="1804"/>
      <c r="GC367" s="1804"/>
      <c r="GD367" s="1804"/>
      <c r="GE367" s="1804"/>
      <c r="GF367" s="1804"/>
      <c r="GG367" s="1804"/>
      <c r="GH367" s="1804"/>
      <c r="GI367" s="1804"/>
      <c r="GJ367" s="1804"/>
      <c r="GK367" s="1804"/>
      <c r="GL367" s="1804"/>
      <c r="GM367" s="1804"/>
      <c r="GN367" s="1804"/>
      <c r="GO367" s="1804"/>
      <c r="GP367" s="1804"/>
      <c r="GQ367" s="1804"/>
      <c r="GR367" s="1804"/>
      <c r="GS367" s="1804"/>
      <c r="GT367" s="1804"/>
      <c r="GU367" s="1804"/>
      <c r="GV367" s="1804"/>
      <c r="GW367" s="1804"/>
      <c r="GX367" s="1804"/>
      <c r="GY367" s="1804"/>
      <c r="GZ367" s="1804"/>
      <c r="HA367" s="1804"/>
      <c r="HB367" s="1804"/>
      <c r="HC367" s="1804"/>
      <c r="HD367" s="1804"/>
      <c r="HE367" s="1804"/>
      <c r="HF367" s="1804"/>
      <c r="HG367" s="1804"/>
      <c r="HH367" s="1804"/>
      <c r="HI367" s="1804"/>
      <c r="HJ367" s="1804"/>
      <c r="HK367" s="1804"/>
      <c r="HL367" s="1804"/>
      <c r="HM367" s="1804"/>
      <c r="HN367" s="1804"/>
      <c r="HO367" s="1804"/>
      <c r="HP367" s="1804"/>
      <c r="HQ367" s="1804"/>
      <c r="HR367" s="1804"/>
      <c r="HS367" s="1804"/>
      <c r="HT367" s="1804"/>
      <c r="HU367" s="1804"/>
      <c r="HV367" s="1804"/>
      <c r="HW367" s="1804"/>
      <c r="HX367" s="1804"/>
      <c r="HY367" s="1804"/>
      <c r="HZ367" s="1804"/>
      <c r="IA367" s="1804"/>
      <c r="IB367" s="1804"/>
      <c r="IC367" s="1804"/>
      <c r="ID367" s="1804"/>
      <c r="IE367" s="1804"/>
      <c r="IF367" s="1804"/>
      <c r="IG367" s="1804"/>
      <c r="IH367" s="1804"/>
      <c r="II367" s="1804"/>
      <c r="IJ367" s="1804"/>
      <c r="IK367" s="1804"/>
      <c r="IL367" s="1804"/>
      <c r="IM367" s="1804"/>
      <c r="IN367" s="1804"/>
      <c r="IO367" s="1804"/>
      <c r="IP367" s="1804"/>
      <c r="IQ367" s="1804"/>
      <c r="IR367" s="1804"/>
      <c r="IS367" s="1804"/>
      <c r="IT367" s="1804"/>
      <c r="IU367" s="1804"/>
      <c r="IV367" s="1804"/>
      <c r="IW367" s="1804"/>
      <c r="IX367" s="1804"/>
      <c r="IY367" s="1804"/>
    </row>
    <row r="368" spans="3:259" s="888" customFormat="1" x14ac:dyDescent="0.45">
      <c r="C368" s="67" t="s">
        <v>546</v>
      </c>
      <c r="D368" s="68" t="s">
        <v>648</v>
      </c>
      <c r="E368" s="69"/>
      <c r="F368" s="125">
        <v>3265042.4731462765</v>
      </c>
      <c r="G368" s="126">
        <f t="shared" si="55"/>
        <v>838.16905328138057</v>
      </c>
      <c r="H368" s="118">
        <v>14917373.498493854</v>
      </c>
      <c r="I368" s="127">
        <f t="shared" si="56"/>
        <v>3776.9297960836584</v>
      </c>
      <c r="J368" s="121">
        <f t="shared" si="67"/>
        <v>18182415.971640132</v>
      </c>
      <c r="K368" s="128">
        <f t="shared" si="67"/>
        <v>4615.0988493650393</v>
      </c>
      <c r="L368" s="125">
        <v>3323064.4643156989</v>
      </c>
      <c r="M368" s="126">
        <f t="shared" si="57"/>
        <v>853.0638786344831</v>
      </c>
      <c r="N368" s="126">
        <f t="shared" si="68"/>
        <v>21505480.43595583</v>
      </c>
      <c r="O368" s="126">
        <f t="shared" si="68"/>
        <v>5468.1627279995228</v>
      </c>
      <c r="P368" s="118">
        <v>40468566.062770866</v>
      </c>
      <c r="Q368" s="126">
        <f t="shared" si="58"/>
        <v>10246.236241432955</v>
      </c>
      <c r="R368" s="95">
        <v>0</v>
      </c>
      <c r="S368" s="126">
        <f t="shared" si="59"/>
        <v>0</v>
      </c>
      <c r="T368" s="95">
        <v>0</v>
      </c>
      <c r="U368" s="126">
        <f t="shared" si="60"/>
        <v>0</v>
      </c>
      <c r="V368" s="129"/>
      <c r="W368" s="129"/>
      <c r="X368" s="130">
        <f t="shared" si="61"/>
        <v>40468566.062770866</v>
      </c>
      <c r="Y368" s="130">
        <f t="shared" si="62"/>
        <v>10246.236241432955</v>
      </c>
      <c r="Z368" s="129"/>
      <c r="AA368" s="129"/>
      <c r="AB368" s="131">
        <f t="shared" si="63"/>
        <v>6588106.937461976</v>
      </c>
      <c r="AC368" s="132">
        <f t="shared" si="64"/>
        <v>1691.2329319158637</v>
      </c>
      <c r="AD368" s="132">
        <f t="shared" si="65"/>
        <v>55385939.561264724</v>
      </c>
      <c r="AE368" s="132">
        <f t="shared" si="66"/>
        <v>14023.166037516614</v>
      </c>
      <c r="AF368" s="133">
        <f t="shared" si="69"/>
        <v>61974046.498726696</v>
      </c>
      <c r="AG368" s="134">
        <f t="shared" si="69"/>
        <v>15714.398969432477</v>
      </c>
      <c r="AH368" s="1804"/>
      <c r="AI368" s="1804"/>
      <c r="AJ368" s="1804"/>
      <c r="AK368" s="1804"/>
      <c r="AL368" s="1804"/>
      <c r="AM368" s="1804"/>
      <c r="AN368" s="1804"/>
      <c r="AO368" s="1804"/>
      <c r="AP368" s="1804"/>
      <c r="AQ368" s="1804"/>
      <c r="AR368" s="1804"/>
      <c r="AS368" s="1804"/>
      <c r="AT368" s="1804"/>
      <c r="AU368" s="1804"/>
      <c r="AV368" s="1804"/>
      <c r="AW368" s="1804"/>
      <c r="AX368" s="1804"/>
      <c r="AY368" s="1804"/>
      <c r="AZ368" s="1804"/>
      <c r="BA368" s="1804"/>
      <c r="BB368" s="1804"/>
      <c r="BC368" s="1804"/>
      <c r="BD368" s="1804"/>
      <c r="BE368" s="1804"/>
      <c r="BF368" s="1804"/>
      <c r="BG368" s="1804"/>
      <c r="BH368" s="1804"/>
      <c r="BI368" s="1804"/>
      <c r="BJ368" s="1804"/>
      <c r="BK368" s="1804"/>
      <c r="BL368" s="1804"/>
      <c r="BM368" s="1804"/>
      <c r="BN368" s="1804"/>
      <c r="BO368" s="1804"/>
      <c r="BP368" s="1804"/>
      <c r="BQ368" s="1804"/>
      <c r="BR368" s="1804"/>
      <c r="BS368" s="1804"/>
      <c r="BT368" s="1804"/>
      <c r="BU368" s="1804"/>
      <c r="BV368" s="1804"/>
      <c r="BW368" s="1804"/>
      <c r="BX368" s="1804"/>
      <c r="BY368" s="1804"/>
      <c r="BZ368" s="1804"/>
      <c r="CA368" s="1804"/>
      <c r="CB368" s="1804"/>
      <c r="CC368" s="1804"/>
      <c r="CD368" s="1804"/>
      <c r="CE368" s="1804"/>
      <c r="CF368" s="1804"/>
      <c r="CG368" s="1804"/>
      <c r="CH368" s="1804"/>
      <c r="CI368" s="1804"/>
      <c r="CJ368" s="1804"/>
      <c r="CK368" s="1804"/>
      <c r="CL368" s="1804"/>
      <c r="CM368" s="1804"/>
      <c r="CN368" s="1804"/>
      <c r="CO368" s="1804"/>
      <c r="CP368" s="1804"/>
      <c r="CQ368" s="1804"/>
      <c r="CR368" s="1804"/>
      <c r="CS368" s="1804"/>
      <c r="CT368" s="1804"/>
      <c r="CU368" s="1804"/>
      <c r="CV368" s="1804"/>
      <c r="CW368" s="1804"/>
      <c r="CX368" s="1804"/>
      <c r="CY368" s="1804"/>
      <c r="CZ368" s="1804"/>
      <c r="DA368" s="1804"/>
      <c r="DB368" s="1804"/>
      <c r="DC368" s="1804"/>
      <c r="DD368" s="1804"/>
      <c r="DE368" s="1804"/>
      <c r="DF368" s="1804"/>
      <c r="DG368" s="1804"/>
      <c r="DH368" s="1804"/>
      <c r="DI368" s="1804"/>
      <c r="DJ368" s="1804"/>
      <c r="DK368" s="1804"/>
      <c r="DL368" s="1804"/>
      <c r="DM368" s="1804"/>
      <c r="DN368" s="1804"/>
      <c r="DO368" s="1804"/>
      <c r="DP368" s="1804"/>
      <c r="DQ368" s="1804"/>
      <c r="DR368" s="1804"/>
      <c r="DS368" s="1804"/>
      <c r="DT368" s="1804"/>
      <c r="DU368" s="1804"/>
      <c r="DV368" s="1804"/>
      <c r="DW368" s="1804"/>
      <c r="DX368" s="1804"/>
      <c r="DY368" s="1804"/>
      <c r="DZ368" s="1804"/>
      <c r="EA368" s="1804"/>
      <c r="EB368" s="1804"/>
      <c r="EC368" s="1804"/>
      <c r="ED368" s="1804"/>
      <c r="EE368" s="1804"/>
      <c r="EF368" s="1804"/>
      <c r="EG368" s="1804"/>
      <c r="EH368" s="1804"/>
      <c r="EI368" s="1804"/>
      <c r="EJ368" s="1804"/>
      <c r="EK368" s="1804"/>
      <c r="EL368" s="1804"/>
      <c r="EM368" s="1804"/>
      <c r="EN368" s="1804"/>
      <c r="EO368" s="1804"/>
      <c r="EP368" s="1804"/>
      <c r="EQ368" s="1804"/>
      <c r="ER368" s="1804"/>
      <c r="ES368" s="1804"/>
      <c r="ET368" s="1804"/>
      <c r="EU368" s="1804"/>
      <c r="EV368" s="1804"/>
      <c r="EW368" s="1804"/>
      <c r="EX368" s="1804"/>
      <c r="EY368" s="1804"/>
      <c r="EZ368" s="1804"/>
      <c r="FA368" s="1804"/>
      <c r="FB368" s="1804"/>
      <c r="FC368" s="1804"/>
      <c r="FD368" s="1804"/>
      <c r="FE368" s="1804"/>
      <c r="FF368" s="1804"/>
      <c r="FG368" s="1804"/>
      <c r="FH368" s="1804"/>
      <c r="FI368" s="1804"/>
      <c r="FJ368" s="1804"/>
      <c r="FK368" s="1804"/>
      <c r="FL368" s="1804"/>
      <c r="FM368" s="1804"/>
      <c r="FN368" s="1804"/>
      <c r="FO368" s="1804"/>
      <c r="FP368" s="1804"/>
      <c r="FQ368" s="1804"/>
      <c r="FR368" s="1804"/>
      <c r="FS368" s="1804"/>
      <c r="FT368" s="1804"/>
      <c r="FU368" s="1804"/>
      <c r="FV368" s="1804"/>
      <c r="FW368" s="1804"/>
      <c r="FX368" s="1804"/>
      <c r="FY368" s="1804"/>
      <c r="FZ368" s="1804"/>
      <c r="GA368" s="1804"/>
      <c r="GB368" s="1804"/>
      <c r="GC368" s="1804"/>
      <c r="GD368" s="1804"/>
      <c r="GE368" s="1804"/>
      <c r="GF368" s="1804"/>
      <c r="GG368" s="1804"/>
      <c r="GH368" s="1804"/>
      <c r="GI368" s="1804"/>
      <c r="GJ368" s="1804"/>
      <c r="GK368" s="1804"/>
      <c r="GL368" s="1804"/>
      <c r="GM368" s="1804"/>
      <c r="GN368" s="1804"/>
      <c r="GO368" s="1804"/>
      <c r="GP368" s="1804"/>
      <c r="GQ368" s="1804"/>
      <c r="GR368" s="1804"/>
      <c r="GS368" s="1804"/>
      <c r="GT368" s="1804"/>
      <c r="GU368" s="1804"/>
      <c r="GV368" s="1804"/>
      <c r="GW368" s="1804"/>
      <c r="GX368" s="1804"/>
      <c r="GY368" s="1804"/>
      <c r="GZ368" s="1804"/>
      <c r="HA368" s="1804"/>
      <c r="HB368" s="1804"/>
      <c r="HC368" s="1804"/>
      <c r="HD368" s="1804"/>
      <c r="HE368" s="1804"/>
      <c r="HF368" s="1804"/>
      <c r="HG368" s="1804"/>
      <c r="HH368" s="1804"/>
      <c r="HI368" s="1804"/>
      <c r="HJ368" s="1804"/>
      <c r="HK368" s="1804"/>
      <c r="HL368" s="1804"/>
      <c r="HM368" s="1804"/>
      <c r="HN368" s="1804"/>
      <c r="HO368" s="1804"/>
      <c r="HP368" s="1804"/>
      <c r="HQ368" s="1804"/>
      <c r="HR368" s="1804"/>
      <c r="HS368" s="1804"/>
      <c r="HT368" s="1804"/>
      <c r="HU368" s="1804"/>
      <c r="HV368" s="1804"/>
      <c r="HW368" s="1804"/>
      <c r="HX368" s="1804"/>
      <c r="HY368" s="1804"/>
      <c r="HZ368" s="1804"/>
      <c r="IA368" s="1804"/>
      <c r="IB368" s="1804"/>
      <c r="IC368" s="1804"/>
      <c r="ID368" s="1804"/>
      <c r="IE368" s="1804"/>
      <c r="IF368" s="1804"/>
      <c r="IG368" s="1804"/>
      <c r="IH368" s="1804"/>
      <c r="II368" s="1804"/>
      <c r="IJ368" s="1804"/>
      <c r="IK368" s="1804"/>
      <c r="IL368" s="1804"/>
      <c r="IM368" s="1804"/>
      <c r="IN368" s="1804"/>
      <c r="IO368" s="1804"/>
      <c r="IP368" s="1804"/>
      <c r="IQ368" s="1804"/>
      <c r="IR368" s="1804"/>
      <c r="IS368" s="1804"/>
      <c r="IT368" s="1804"/>
      <c r="IU368" s="1804"/>
      <c r="IV368" s="1804"/>
      <c r="IW368" s="1804"/>
      <c r="IX368" s="1804"/>
      <c r="IY368" s="1804"/>
    </row>
    <row r="369" spans="3:259" s="888" customFormat="1" x14ac:dyDescent="0.45">
      <c r="C369" s="67" t="s">
        <v>547</v>
      </c>
      <c r="D369" s="68" t="s">
        <v>649</v>
      </c>
      <c r="E369" s="69"/>
      <c r="F369" s="125">
        <v>7200749.4728021324</v>
      </c>
      <c r="G369" s="126">
        <f t="shared" si="55"/>
        <v>1848.5043971630355</v>
      </c>
      <c r="H369" s="118">
        <v>1331692.3261183642</v>
      </c>
      <c r="I369" s="127">
        <f t="shared" si="56"/>
        <v>337.17118004990857</v>
      </c>
      <c r="J369" s="121">
        <f t="shared" si="67"/>
        <v>8532441.7989204973</v>
      </c>
      <c r="K369" s="128">
        <f t="shared" si="67"/>
        <v>2185.6755772129441</v>
      </c>
      <c r="L369" s="125">
        <v>632246.92991480452</v>
      </c>
      <c r="M369" s="126">
        <f t="shared" si="57"/>
        <v>162.30410937842944</v>
      </c>
      <c r="N369" s="126">
        <f t="shared" si="68"/>
        <v>9164688.7288353015</v>
      </c>
      <c r="O369" s="126">
        <f t="shared" si="68"/>
        <v>2347.9796865913736</v>
      </c>
      <c r="P369" s="118">
        <v>56687229.29435426</v>
      </c>
      <c r="Q369" s="126">
        <f t="shared" si="58"/>
        <v>14352.639585037554</v>
      </c>
      <c r="R369" s="95">
        <v>0</v>
      </c>
      <c r="S369" s="126">
        <f t="shared" si="59"/>
        <v>0</v>
      </c>
      <c r="T369" s="95">
        <v>0</v>
      </c>
      <c r="U369" s="126">
        <f t="shared" si="60"/>
        <v>0</v>
      </c>
      <c r="V369" s="129"/>
      <c r="W369" s="129"/>
      <c r="X369" s="130">
        <f t="shared" si="61"/>
        <v>56687229.29435426</v>
      </c>
      <c r="Y369" s="130">
        <f t="shared" si="62"/>
        <v>14352.639585037554</v>
      </c>
      <c r="Z369" s="129"/>
      <c r="AA369" s="129"/>
      <c r="AB369" s="131">
        <f t="shared" si="63"/>
        <v>7832996.4027169365</v>
      </c>
      <c r="AC369" s="132">
        <f t="shared" si="64"/>
        <v>2010.808506541465</v>
      </c>
      <c r="AD369" s="132">
        <f t="shared" si="65"/>
        <v>58018921.620472625</v>
      </c>
      <c r="AE369" s="132">
        <f t="shared" si="66"/>
        <v>14689.810765087463</v>
      </c>
      <c r="AF369" s="133">
        <f t="shared" si="69"/>
        <v>65851918.02318956</v>
      </c>
      <c r="AG369" s="134">
        <f t="shared" si="69"/>
        <v>16700.619271628926</v>
      </c>
      <c r="AH369" s="1804"/>
      <c r="AI369" s="1804"/>
      <c r="AJ369" s="1804"/>
      <c r="AK369" s="1804"/>
      <c r="AL369" s="1804"/>
      <c r="AM369" s="1804"/>
      <c r="AN369" s="1804"/>
      <c r="AO369" s="1804"/>
      <c r="AP369" s="1804"/>
      <c r="AQ369" s="1804"/>
      <c r="AR369" s="1804"/>
      <c r="AS369" s="1804"/>
      <c r="AT369" s="1804"/>
      <c r="AU369" s="1804"/>
      <c r="AV369" s="1804"/>
      <c r="AW369" s="1804"/>
      <c r="AX369" s="1804"/>
      <c r="AY369" s="1804"/>
      <c r="AZ369" s="1804"/>
      <c r="BA369" s="1804"/>
      <c r="BB369" s="1804"/>
      <c r="BC369" s="1804"/>
      <c r="BD369" s="1804"/>
      <c r="BE369" s="1804"/>
      <c r="BF369" s="1804"/>
      <c r="BG369" s="1804"/>
      <c r="BH369" s="1804"/>
      <c r="BI369" s="1804"/>
      <c r="BJ369" s="1804"/>
      <c r="BK369" s="1804"/>
      <c r="BL369" s="1804"/>
      <c r="BM369" s="1804"/>
      <c r="BN369" s="1804"/>
      <c r="BO369" s="1804"/>
      <c r="BP369" s="1804"/>
      <c r="BQ369" s="1804"/>
      <c r="BR369" s="1804"/>
      <c r="BS369" s="1804"/>
      <c r="BT369" s="1804"/>
      <c r="BU369" s="1804"/>
      <c r="BV369" s="1804"/>
      <c r="BW369" s="1804"/>
      <c r="BX369" s="1804"/>
      <c r="BY369" s="1804"/>
      <c r="BZ369" s="1804"/>
      <c r="CA369" s="1804"/>
      <c r="CB369" s="1804"/>
      <c r="CC369" s="1804"/>
      <c r="CD369" s="1804"/>
      <c r="CE369" s="1804"/>
      <c r="CF369" s="1804"/>
      <c r="CG369" s="1804"/>
      <c r="CH369" s="1804"/>
      <c r="CI369" s="1804"/>
      <c r="CJ369" s="1804"/>
      <c r="CK369" s="1804"/>
      <c r="CL369" s="1804"/>
      <c r="CM369" s="1804"/>
      <c r="CN369" s="1804"/>
      <c r="CO369" s="1804"/>
      <c r="CP369" s="1804"/>
      <c r="CQ369" s="1804"/>
      <c r="CR369" s="1804"/>
      <c r="CS369" s="1804"/>
      <c r="CT369" s="1804"/>
      <c r="CU369" s="1804"/>
      <c r="CV369" s="1804"/>
      <c r="CW369" s="1804"/>
      <c r="CX369" s="1804"/>
      <c r="CY369" s="1804"/>
      <c r="CZ369" s="1804"/>
      <c r="DA369" s="1804"/>
      <c r="DB369" s="1804"/>
      <c r="DC369" s="1804"/>
      <c r="DD369" s="1804"/>
      <c r="DE369" s="1804"/>
      <c r="DF369" s="1804"/>
      <c r="DG369" s="1804"/>
      <c r="DH369" s="1804"/>
      <c r="DI369" s="1804"/>
      <c r="DJ369" s="1804"/>
      <c r="DK369" s="1804"/>
      <c r="DL369" s="1804"/>
      <c r="DM369" s="1804"/>
      <c r="DN369" s="1804"/>
      <c r="DO369" s="1804"/>
      <c r="DP369" s="1804"/>
      <c r="DQ369" s="1804"/>
      <c r="DR369" s="1804"/>
      <c r="DS369" s="1804"/>
      <c r="DT369" s="1804"/>
      <c r="DU369" s="1804"/>
      <c r="DV369" s="1804"/>
      <c r="DW369" s="1804"/>
      <c r="DX369" s="1804"/>
      <c r="DY369" s="1804"/>
      <c r="DZ369" s="1804"/>
      <c r="EA369" s="1804"/>
      <c r="EB369" s="1804"/>
      <c r="EC369" s="1804"/>
      <c r="ED369" s="1804"/>
      <c r="EE369" s="1804"/>
      <c r="EF369" s="1804"/>
      <c r="EG369" s="1804"/>
      <c r="EH369" s="1804"/>
      <c r="EI369" s="1804"/>
      <c r="EJ369" s="1804"/>
      <c r="EK369" s="1804"/>
      <c r="EL369" s="1804"/>
      <c r="EM369" s="1804"/>
      <c r="EN369" s="1804"/>
      <c r="EO369" s="1804"/>
      <c r="EP369" s="1804"/>
      <c r="EQ369" s="1804"/>
      <c r="ER369" s="1804"/>
      <c r="ES369" s="1804"/>
      <c r="ET369" s="1804"/>
      <c r="EU369" s="1804"/>
      <c r="EV369" s="1804"/>
      <c r="EW369" s="1804"/>
      <c r="EX369" s="1804"/>
      <c r="EY369" s="1804"/>
      <c r="EZ369" s="1804"/>
      <c r="FA369" s="1804"/>
      <c r="FB369" s="1804"/>
      <c r="FC369" s="1804"/>
      <c r="FD369" s="1804"/>
      <c r="FE369" s="1804"/>
      <c r="FF369" s="1804"/>
      <c r="FG369" s="1804"/>
      <c r="FH369" s="1804"/>
      <c r="FI369" s="1804"/>
      <c r="FJ369" s="1804"/>
      <c r="FK369" s="1804"/>
      <c r="FL369" s="1804"/>
      <c r="FM369" s="1804"/>
      <c r="FN369" s="1804"/>
      <c r="FO369" s="1804"/>
      <c r="FP369" s="1804"/>
      <c r="FQ369" s="1804"/>
      <c r="FR369" s="1804"/>
      <c r="FS369" s="1804"/>
      <c r="FT369" s="1804"/>
      <c r="FU369" s="1804"/>
      <c r="FV369" s="1804"/>
      <c r="FW369" s="1804"/>
      <c r="FX369" s="1804"/>
      <c r="FY369" s="1804"/>
      <c r="FZ369" s="1804"/>
      <c r="GA369" s="1804"/>
      <c r="GB369" s="1804"/>
      <c r="GC369" s="1804"/>
      <c r="GD369" s="1804"/>
      <c r="GE369" s="1804"/>
      <c r="GF369" s="1804"/>
      <c r="GG369" s="1804"/>
      <c r="GH369" s="1804"/>
      <c r="GI369" s="1804"/>
      <c r="GJ369" s="1804"/>
      <c r="GK369" s="1804"/>
      <c r="GL369" s="1804"/>
      <c r="GM369" s="1804"/>
      <c r="GN369" s="1804"/>
      <c r="GO369" s="1804"/>
      <c r="GP369" s="1804"/>
      <c r="GQ369" s="1804"/>
      <c r="GR369" s="1804"/>
      <c r="GS369" s="1804"/>
      <c r="GT369" s="1804"/>
      <c r="GU369" s="1804"/>
      <c r="GV369" s="1804"/>
      <c r="GW369" s="1804"/>
      <c r="GX369" s="1804"/>
      <c r="GY369" s="1804"/>
      <c r="GZ369" s="1804"/>
      <c r="HA369" s="1804"/>
      <c r="HB369" s="1804"/>
      <c r="HC369" s="1804"/>
      <c r="HD369" s="1804"/>
      <c r="HE369" s="1804"/>
      <c r="HF369" s="1804"/>
      <c r="HG369" s="1804"/>
      <c r="HH369" s="1804"/>
      <c r="HI369" s="1804"/>
      <c r="HJ369" s="1804"/>
      <c r="HK369" s="1804"/>
      <c r="HL369" s="1804"/>
      <c r="HM369" s="1804"/>
      <c r="HN369" s="1804"/>
      <c r="HO369" s="1804"/>
      <c r="HP369" s="1804"/>
      <c r="HQ369" s="1804"/>
      <c r="HR369" s="1804"/>
      <c r="HS369" s="1804"/>
      <c r="HT369" s="1804"/>
      <c r="HU369" s="1804"/>
      <c r="HV369" s="1804"/>
      <c r="HW369" s="1804"/>
      <c r="HX369" s="1804"/>
      <c r="HY369" s="1804"/>
      <c r="HZ369" s="1804"/>
      <c r="IA369" s="1804"/>
      <c r="IB369" s="1804"/>
      <c r="IC369" s="1804"/>
      <c r="ID369" s="1804"/>
      <c r="IE369" s="1804"/>
      <c r="IF369" s="1804"/>
      <c r="IG369" s="1804"/>
      <c r="IH369" s="1804"/>
      <c r="II369" s="1804"/>
      <c r="IJ369" s="1804"/>
      <c r="IK369" s="1804"/>
      <c r="IL369" s="1804"/>
      <c r="IM369" s="1804"/>
      <c r="IN369" s="1804"/>
      <c r="IO369" s="1804"/>
      <c r="IP369" s="1804"/>
      <c r="IQ369" s="1804"/>
      <c r="IR369" s="1804"/>
      <c r="IS369" s="1804"/>
      <c r="IT369" s="1804"/>
      <c r="IU369" s="1804"/>
      <c r="IV369" s="1804"/>
      <c r="IW369" s="1804"/>
      <c r="IX369" s="1804"/>
      <c r="IY369" s="1804"/>
    </row>
    <row r="370" spans="3:259" s="888" customFormat="1" x14ac:dyDescent="0.45">
      <c r="C370" s="67" t="s">
        <v>650</v>
      </c>
      <c r="D370" s="68" t="s">
        <v>651</v>
      </c>
      <c r="E370" s="69"/>
      <c r="F370" s="125">
        <v>1925598.1708328091</v>
      </c>
      <c r="G370" s="126">
        <f t="shared" si="55"/>
        <v>494.32030643449036</v>
      </c>
      <c r="H370" s="118">
        <v>17270649.598282643</v>
      </c>
      <c r="I370" s="127">
        <f t="shared" si="56"/>
        <v>4372.7557717891823</v>
      </c>
      <c r="J370" s="121">
        <f t="shared" si="67"/>
        <v>19196247.769115452</v>
      </c>
      <c r="K370" s="128">
        <f t="shared" si="67"/>
        <v>4867.076078223673</v>
      </c>
      <c r="L370" s="125">
        <v>158915.41905177323</v>
      </c>
      <c r="M370" s="126">
        <f t="shared" si="57"/>
        <v>40.795177224780701</v>
      </c>
      <c r="N370" s="126">
        <f t="shared" si="68"/>
        <v>19355163.188167226</v>
      </c>
      <c r="O370" s="126">
        <f t="shared" si="68"/>
        <v>4907.8712554484537</v>
      </c>
      <c r="P370" s="118">
        <v>0</v>
      </c>
      <c r="Q370" s="126">
        <f t="shared" si="58"/>
        <v>0</v>
      </c>
      <c r="R370" s="95">
        <v>0</v>
      </c>
      <c r="S370" s="126">
        <f t="shared" si="59"/>
        <v>0</v>
      </c>
      <c r="T370" s="95">
        <v>0</v>
      </c>
      <c r="U370" s="126">
        <f t="shared" si="60"/>
        <v>0</v>
      </c>
      <c r="V370" s="129"/>
      <c r="W370" s="129"/>
      <c r="X370" s="130">
        <f t="shared" si="61"/>
        <v>0</v>
      </c>
      <c r="Y370" s="130">
        <f t="shared" si="62"/>
        <v>0</v>
      </c>
      <c r="Z370" s="129"/>
      <c r="AA370" s="129"/>
      <c r="AB370" s="131">
        <f t="shared" si="63"/>
        <v>2084513.5898845822</v>
      </c>
      <c r="AC370" s="132">
        <f t="shared" si="64"/>
        <v>535.11548365927104</v>
      </c>
      <c r="AD370" s="132">
        <f t="shared" si="65"/>
        <v>17270649.598282643</v>
      </c>
      <c r="AE370" s="132">
        <f t="shared" si="66"/>
        <v>4372.7557717891823</v>
      </c>
      <c r="AF370" s="133">
        <f t="shared" si="69"/>
        <v>19355163.188167226</v>
      </c>
      <c r="AG370" s="134">
        <f t="shared" si="69"/>
        <v>4907.8712554484537</v>
      </c>
      <c r="AH370" s="1804"/>
      <c r="AI370" s="1804"/>
      <c r="AJ370" s="1804"/>
      <c r="AK370" s="1804"/>
      <c r="AL370" s="1804"/>
      <c r="AM370" s="1804"/>
      <c r="AN370" s="1804"/>
      <c r="AO370" s="1804"/>
      <c r="AP370" s="1804"/>
      <c r="AQ370" s="1804"/>
      <c r="AR370" s="1804"/>
      <c r="AS370" s="1804"/>
      <c r="AT370" s="1804"/>
      <c r="AU370" s="1804"/>
      <c r="AV370" s="1804"/>
      <c r="AW370" s="1804"/>
      <c r="AX370" s="1804"/>
      <c r="AY370" s="1804"/>
      <c r="AZ370" s="1804"/>
      <c r="BA370" s="1804"/>
      <c r="BB370" s="1804"/>
      <c r="BC370" s="1804"/>
      <c r="BD370" s="1804"/>
      <c r="BE370" s="1804"/>
      <c r="BF370" s="1804"/>
      <c r="BG370" s="1804"/>
      <c r="BH370" s="1804"/>
      <c r="BI370" s="1804"/>
      <c r="BJ370" s="1804"/>
      <c r="BK370" s="1804"/>
      <c r="BL370" s="1804"/>
      <c r="BM370" s="1804"/>
      <c r="BN370" s="1804"/>
      <c r="BO370" s="1804"/>
      <c r="BP370" s="1804"/>
      <c r="BQ370" s="1804"/>
      <c r="BR370" s="1804"/>
      <c r="BS370" s="1804"/>
      <c r="BT370" s="1804"/>
      <c r="BU370" s="1804"/>
      <c r="BV370" s="1804"/>
      <c r="BW370" s="1804"/>
      <c r="BX370" s="1804"/>
      <c r="BY370" s="1804"/>
      <c r="BZ370" s="1804"/>
      <c r="CA370" s="1804"/>
      <c r="CB370" s="1804"/>
      <c r="CC370" s="1804"/>
      <c r="CD370" s="1804"/>
      <c r="CE370" s="1804"/>
      <c r="CF370" s="1804"/>
      <c r="CG370" s="1804"/>
      <c r="CH370" s="1804"/>
      <c r="CI370" s="1804"/>
      <c r="CJ370" s="1804"/>
      <c r="CK370" s="1804"/>
      <c r="CL370" s="1804"/>
      <c r="CM370" s="1804"/>
      <c r="CN370" s="1804"/>
      <c r="CO370" s="1804"/>
      <c r="CP370" s="1804"/>
      <c r="CQ370" s="1804"/>
      <c r="CR370" s="1804"/>
      <c r="CS370" s="1804"/>
      <c r="CT370" s="1804"/>
      <c r="CU370" s="1804"/>
      <c r="CV370" s="1804"/>
      <c r="CW370" s="1804"/>
      <c r="CX370" s="1804"/>
      <c r="CY370" s="1804"/>
      <c r="CZ370" s="1804"/>
      <c r="DA370" s="1804"/>
      <c r="DB370" s="1804"/>
      <c r="DC370" s="1804"/>
      <c r="DD370" s="1804"/>
      <c r="DE370" s="1804"/>
      <c r="DF370" s="1804"/>
      <c r="DG370" s="1804"/>
      <c r="DH370" s="1804"/>
      <c r="DI370" s="1804"/>
      <c r="DJ370" s="1804"/>
      <c r="DK370" s="1804"/>
      <c r="DL370" s="1804"/>
      <c r="DM370" s="1804"/>
      <c r="DN370" s="1804"/>
      <c r="DO370" s="1804"/>
      <c r="DP370" s="1804"/>
      <c r="DQ370" s="1804"/>
      <c r="DR370" s="1804"/>
      <c r="DS370" s="1804"/>
      <c r="DT370" s="1804"/>
      <c r="DU370" s="1804"/>
      <c r="DV370" s="1804"/>
      <c r="DW370" s="1804"/>
      <c r="DX370" s="1804"/>
      <c r="DY370" s="1804"/>
      <c r="DZ370" s="1804"/>
      <c r="EA370" s="1804"/>
      <c r="EB370" s="1804"/>
      <c r="EC370" s="1804"/>
      <c r="ED370" s="1804"/>
      <c r="EE370" s="1804"/>
      <c r="EF370" s="1804"/>
      <c r="EG370" s="1804"/>
      <c r="EH370" s="1804"/>
      <c r="EI370" s="1804"/>
      <c r="EJ370" s="1804"/>
      <c r="EK370" s="1804"/>
      <c r="EL370" s="1804"/>
      <c r="EM370" s="1804"/>
      <c r="EN370" s="1804"/>
      <c r="EO370" s="1804"/>
      <c r="EP370" s="1804"/>
      <c r="EQ370" s="1804"/>
      <c r="ER370" s="1804"/>
      <c r="ES370" s="1804"/>
      <c r="ET370" s="1804"/>
      <c r="EU370" s="1804"/>
      <c r="EV370" s="1804"/>
      <c r="EW370" s="1804"/>
      <c r="EX370" s="1804"/>
      <c r="EY370" s="1804"/>
      <c r="EZ370" s="1804"/>
      <c r="FA370" s="1804"/>
      <c r="FB370" s="1804"/>
      <c r="FC370" s="1804"/>
      <c r="FD370" s="1804"/>
      <c r="FE370" s="1804"/>
      <c r="FF370" s="1804"/>
      <c r="FG370" s="1804"/>
      <c r="FH370" s="1804"/>
      <c r="FI370" s="1804"/>
      <c r="FJ370" s="1804"/>
      <c r="FK370" s="1804"/>
      <c r="FL370" s="1804"/>
      <c r="FM370" s="1804"/>
      <c r="FN370" s="1804"/>
      <c r="FO370" s="1804"/>
      <c r="FP370" s="1804"/>
      <c r="FQ370" s="1804"/>
      <c r="FR370" s="1804"/>
      <c r="FS370" s="1804"/>
      <c r="FT370" s="1804"/>
      <c r="FU370" s="1804"/>
      <c r="FV370" s="1804"/>
      <c r="FW370" s="1804"/>
      <c r="FX370" s="1804"/>
      <c r="FY370" s="1804"/>
      <c r="FZ370" s="1804"/>
      <c r="GA370" s="1804"/>
      <c r="GB370" s="1804"/>
      <c r="GC370" s="1804"/>
      <c r="GD370" s="1804"/>
      <c r="GE370" s="1804"/>
      <c r="GF370" s="1804"/>
      <c r="GG370" s="1804"/>
      <c r="GH370" s="1804"/>
      <c r="GI370" s="1804"/>
      <c r="GJ370" s="1804"/>
      <c r="GK370" s="1804"/>
      <c r="GL370" s="1804"/>
      <c r="GM370" s="1804"/>
      <c r="GN370" s="1804"/>
      <c r="GO370" s="1804"/>
      <c r="GP370" s="1804"/>
      <c r="GQ370" s="1804"/>
      <c r="GR370" s="1804"/>
      <c r="GS370" s="1804"/>
      <c r="GT370" s="1804"/>
      <c r="GU370" s="1804"/>
      <c r="GV370" s="1804"/>
      <c r="GW370" s="1804"/>
      <c r="GX370" s="1804"/>
      <c r="GY370" s="1804"/>
      <c r="GZ370" s="1804"/>
      <c r="HA370" s="1804"/>
      <c r="HB370" s="1804"/>
      <c r="HC370" s="1804"/>
      <c r="HD370" s="1804"/>
      <c r="HE370" s="1804"/>
      <c r="HF370" s="1804"/>
      <c r="HG370" s="1804"/>
      <c r="HH370" s="1804"/>
      <c r="HI370" s="1804"/>
      <c r="HJ370" s="1804"/>
      <c r="HK370" s="1804"/>
      <c r="HL370" s="1804"/>
      <c r="HM370" s="1804"/>
      <c r="HN370" s="1804"/>
      <c r="HO370" s="1804"/>
      <c r="HP370" s="1804"/>
      <c r="HQ370" s="1804"/>
      <c r="HR370" s="1804"/>
      <c r="HS370" s="1804"/>
      <c r="HT370" s="1804"/>
      <c r="HU370" s="1804"/>
      <c r="HV370" s="1804"/>
      <c r="HW370" s="1804"/>
      <c r="HX370" s="1804"/>
      <c r="HY370" s="1804"/>
      <c r="HZ370" s="1804"/>
      <c r="IA370" s="1804"/>
      <c r="IB370" s="1804"/>
      <c r="IC370" s="1804"/>
      <c r="ID370" s="1804"/>
      <c r="IE370" s="1804"/>
      <c r="IF370" s="1804"/>
      <c r="IG370" s="1804"/>
      <c r="IH370" s="1804"/>
      <c r="II370" s="1804"/>
      <c r="IJ370" s="1804"/>
      <c r="IK370" s="1804"/>
      <c r="IL370" s="1804"/>
      <c r="IM370" s="1804"/>
      <c r="IN370" s="1804"/>
      <c r="IO370" s="1804"/>
      <c r="IP370" s="1804"/>
      <c r="IQ370" s="1804"/>
      <c r="IR370" s="1804"/>
      <c r="IS370" s="1804"/>
      <c r="IT370" s="1804"/>
      <c r="IU370" s="1804"/>
      <c r="IV370" s="1804"/>
      <c r="IW370" s="1804"/>
      <c r="IX370" s="1804"/>
      <c r="IY370" s="1804"/>
    </row>
    <row r="371" spans="3:259" s="888" customFormat="1" x14ac:dyDescent="0.45">
      <c r="C371" s="67" t="s">
        <v>549</v>
      </c>
      <c r="D371" s="68" t="s">
        <v>652</v>
      </c>
      <c r="E371" s="69"/>
      <c r="F371" s="125">
        <v>965310.60405568138</v>
      </c>
      <c r="G371" s="126">
        <f t="shared" si="55"/>
        <v>247.80488516713396</v>
      </c>
      <c r="H371" s="118">
        <v>37714801.874158196</v>
      </c>
      <c r="I371" s="127">
        <f t="shared" si="56"/>
        <v>9549.0106865181133</v>
      </c>
      <c r="J371" s="121">
        <f t="shared" si="67"/>
        <v>38680112.478213876</v>
      </c>
      <c r="K371" s="128">
        <f t="shared" si="67"/>
        <v>9796.8155716852471</v>
      </c>
      <c r="L371" s="125">
        <v>2505373.1887451899</v>
      </c>
      <c r="M371" s="126">
        <f t="shared" si="57"/>
        <v>643.15435128277772</v>
      </c>
      <c r="N371" s="126">
        <f t="shared" si="68"/>
        <v>41185485.66695907</v>
      </c>
      <c r="O371" s="126">
        <f t="shared" si="68"/>
        <v>10439.969922968025</v>
      </c>
      <c r="P371" s="118">
        <v>73577823.256066576</v>
      </c>
      <c r="Q371" s="126">
        <f t="shared" si="58"/>
        <v>18629.169070203494</v>
      </c>
      <c r="R371" s="95">
        <v>0</v>
      </c>
      <c r="S371" s="126">
        <f t="shared" si="59"/>
        <v>0</v>
      </c>
      <c r="T371" s="95">
        <v>0</v>
      </c>
      <c r="U371" s="126">
        <f t="shared" si="60"/>
        <v>0</v>
      </c>
      <c r="V371" s="129"/>
      <c r="W371" s="129"/>
      <c r="X371" s="130">
        <f t="shared" si="61"/>
        <v>73577823.256066576</v>
      </c>
      <c r="Y371" s="130">
        <f t="shared" si="62"/>
        <v>18629.169070203494</v>
      </c>
      <c r="Z371" s="129"/>
      <c r="AA371" s="129"/>
      <c r="AB371" s="131">
        <f t="shared" si="63"/>
        <v>3470683.7928008712</v>
      </c>
      <c r="AC371" s="132">
        <f t="shared" si="64"/>
        <v>890.95923644991171</v>
      </c>
      <c r="AD371" s="132">
        <f t="shared" si="65"/>
        <v>111292625.13022476</v>
      </c>
      <c r="AE371" s="132">
        <f t="shared" si="66"/>
        <v>28178.179756721605</v>
      </c>
      <c r="AF371" s="133">
        <f t="shared" si="69"/>
        <v>114763308.92302564</v>
      </c>
      <c r="AG371" s="134">
        <f t="shared" si="69"/>
        <v>29069.138993171517</v>
      </c>
      <c r="AH371" s="1804"/>
      <c r="AI371" s="1804"/>
      <c r="AJ371" s="1804"/>
      <c r="AK371" s="1804"/>
      <c r="AL371" s="1804"/>
      <c r="AM371" s="1804"/>
      <c r="AN371" s="1804"/>
      <c r="AO371" s="1804"/>
      <c r="AP371" s="1804"/>
      <c r="AQ371" s="1804"/>
      <c r="AR371" s="1804"/>
      <c r="AS371" s="1804"/>
      <c r="AT371" s="1804"/>
      <c r="AU371" s="1804"/>
      <c r="AV371" s="1804"/>
      <c r="AW371" s="1804"/>
      <c r="AX371" s="1804"/>
      <c r="AY371" s="1804"/>
      <c r="AZ371" s="1804"/>
      <c r="BA371" s="1804"/>
      <c r="BB371" s="1804"/>
      <c r="BC371" s="1804"/>
      <c r="BD371" s="1804"/>
      <c r="BE371" s="1804"/>
      <c r="BF371" s="1804"/>
      <c r="BG371" s="1804"/>
      <c r="BH371" s="1804"/>
      <c r="BI371" s="1804"/>
      <c r="BJ371" s="1804"/>
      <c r="BK371" s="1804"/>
      <c r="BL371" s="1804"/>
      <c r="BM371" s="1804"/>
      <c r="BN371" s="1804"/>
      <c r="BO371" s="1804"/>
      <c r="BP371" s="1804"/>
      <c r="BQ371" s="1804"/>
      <c r="BR371" s="1804"/>
      <c r="BS371" s="1804"/>
      <c r="BT371" s="1804"/>
      <c r="BU371" s="1804"/>
      <c r="BV371" s="1804"/>
      <c r="BW371" s="1804"/>
      <c r="BX371" s="1804"/>
      <c r="BY371" s="1804"/>
      <c r="BZ371" s="1804"/>
      <c r="CA371" s="1804"/>
      <c r="CB371" s="1804"/>
      <c r="CC371" s="1804"/>
      <c r="CD371" s="1804"/>
      <c r="CE371" s="1804"/>
      <c r="CF371" s="1804"/>
      <c r="CG371" s="1804"/>
      <c r="CH371" s="1804"/>
      <c r="CI371" s="1804"/>
      <c r="CJ371" s="1804"/>
      <c r="CK371" s="1804"/>
      <c r="CL371" s="1804"/>
      <c r="CM371" s="1804"/>
      <c r="CN371" s="1804"/>
      <c r="CO371" s="1804"/>
      <c r="CP371" s="1804"/>
      <c r="CQ371" s="1804"/>
      <c r="CR371" s="1804"/>
      <c r="CS371" s="1804"/>
      <c r="CT371" s="1804"/>
      <c r="CU371" s="1804"/>
      <c r="CV371" s="1804"/>
      <c r="CW371" s="1804"/>
      <c r="CX371" s="1804"/>
      <c r="CY371" s="1804"/>
      <c r="CZ371" s="1804"/>
      <c r="DA371" s="1804"/>
      <c r="DB371" s="1804"/>
      <c r="DC371" s="1804"/>
      <c r="DD371" s="1804"/>
      <c r="DE371" s="1804"/>
      <c r="DF371" s="1804"/>
      <c r="DG371" s="1804"/>
      <c r="DH371" s="1804"/>
      <c r="DI371" s="1804"/>
      <c r="DJ371" s="1804"/>
      <c r="DK371" s="1804"/>
      <c r="DL371" s="1804"/>
      <c r="DM371" s="1804"/>
      <c r="DN371" s="1804"/>
      <c r="DO371" s="1804"/>
      <c r="DP371" s="1804"/>
      <c r="DQ371" s="1804"/>
      <c r="DR371" s="1804"/>
      <c r="DS371" s="1804"/>
      <c r="DT371" s="1804"/>
      <c r="DU371" s="1804"/>
      <c r="DV371" s="1804"/>
      <c r="DW371" s="1804"/>
      <c r="DX371" s="1804"/>
      <c r="DY371" s="1804"/>
      <c r="DZ371" s="1804"/>
      <c r="EA371" s="1804"/>
      <c r="EB371" s="1804"/>
      <c r="EC371" s="1804"/>
      <c r="ED371" s="1804"/>
      <c r="EE371" s="1804"/>
      <c r="EF371" s="1804"/>
      <c r="EG371" s="1804"/>
      <c r="EH371" s="1804"/>
      <c r="EI371" s="1804"/>
      <c r="EJ371" s="1804"/>
      <c r="EK371" s="1804"/>
      <c r="EL371" s="1804"/>
      <c r="EM371" s="1804"/>
      <c r="EN371" s="1804"/>
      <c r="EO371" s="1804"/>
      <c r="EP371" s="1804"/>
      <c r="EQ371" s="1804"/>
      <c r="ER371" s="1804"/>
      <c r="ES371" s="1804"/>
      <c r="ET371" s="1804"/>
      <c r="EU371" s="1804"/>
      <c r="EV371" s="1804"/>
      <c r="EW371" s="1804"/>
      <c r="EX371" s="1804"/>
      <c r="EY371" s="1804"/>
      <c r="EZ371" s="1804"/>
      <c r="FA371" s="1804"/>
      <c r="FB371" s="1804"/>
      <c r="FC371" s="1804"/>
      <c r="FD371" s="1804"/>
      <c r="FE371" s="1804"/>
      <c r="FF371" s="1804"/>
      <c r="FG371" s="1804"/>
      <c r="FH371" s="1804"/>
      <c r="FI371" s="1804"/>
      <c r="FJ371" s="1804"/>
      <c r="FK371" s="1804"/>
      <c r="FL371" s="1804"/>
      <c r="FM371" s="1804"/>
      <c r="FN371" s="1804"/>
      <c r="FO371" s="1804"/>
      <c r="FP371" s="1804"/>
      <c r="FQ371" s="1804"/>
      <c r="FR371" s="1804"/>
      <c r="FS371" s="1804"/>
      <c r="FT371" s="1804"/>
      <c r="FU371" s="1804"/>
      <c r="FV371" s="1804"/>
      <c r="FW371" s="1804"/>
      <c r="FX371" s="1804"/>
      <c r="FY371" s="1804"/>
      <c r="FZ371" s="1804"/>
      <c r="GA371" s="1804"/>
      <c r="GB371" s="1804"/>
      <c r="GC371" s="1804"/>
      <c r="GD371" s="1804"/>
      <c r="GE371" s="1804"/>
      <c r="GF371" s="1804"/>
      <c r="GG371" s="1804"/>
      <c r="GH371" s="1804"/>
      <c r="GI371" s="1804"/>
      <c r="GJ371" s="1804"/>
      <c r="GK371" s="1804"/>
      <c r="GL371" s="1804"/>
      <c r="GM371" s="1804"/>
      <c r="GN371" s="1804"/>
      <c r="GO371" s="1804"/>
      <c r="GP371" s="1804"/>
      <c r="GQ371" s="1804"/>
      <c r="GR371" s="1804"/>
      <c r="GS371" s="1804"/>
      <c r="GT371" s="1804"/>
      <c r="GU371" s="1804"/>
      <c r="GV371" s="1804"/>
      <c r="GW371" s="1804"/>
      <c r="GX371" s="1804"/>
      <c r="GY371" s="1804"/>
      <c r="GZ371" s="1804"/>
      <c r="HA371" s="1804"/>
      <c r="HB371" s="1804"/>
      <c r="HC371" s="1804"/>
      <c r="HD371" s="1804"/>
      <c r="HE371" s="1804"/>
      <c r="HF371" s="1804"/>
      <c r="HG371" s="1804"/>
      <c r="HH371" s="1804"/>
      <c r="HI371" s="1804"/>
      <c r="HJ371" s="1804"/>
      <c r="HK371" s="1804"/>
      <c r="HL371" s="1804"/>
      <c r="HM371" s="1804"/>
      <c r="HN371" s="1804"/>
      <c r="HO371" s="1804"/>
      <c r="HP371" s="1804"/>
      <c r="HQ371" s="1804"/>
      <c r="HR371" s="1804"/>
      <c r="HS371" s="1804"/>
      <c r="HT371" s="1804"/>
      <c r="HU371" s="1804"/>
      <c r="HV371" s="1804"/>
      <c r="HW371" s="1804"/>
      <c r="HX371" s="1804"/>
      <c r="HY371" s="1804"/>
      <c r="HZ371" s="1804"/>
      <c r="IA371" s="1804"/>
      <c r="IB371" s="1804"/>
      <c r="IC371" s="1804"/>
      <c r="ID371" s="1804"/>
      <c r="IE371" s="1804"/>
      <c r="IF371" s="1804"/>
      <c r="IG371" s="1804"/>
      <c r="IH371" s="1804"/>
      <c r="II371" s="1804"/>
      <c r="IJ371" s="1804"/>
      <c r="IK371" s="1804"/>
      <c r="IL371" s="1804"/>
      <c r="IM371" s="1804"/>
      <c r="IN371" s="1804"/>
      <c r="IO371" s="1804"/>
      <c r="IP371" s="1804"/>
      <c r="IQ371" s="1804"/>
      <c r="IR371" s="1804"/>
      <c r="IS371" s="1804"/>
      <c r="IT371" s="1804"/>
      <c r="IU371" s="1804"/>
      <c r="IV371" s="1804"/>
      <c r="IW371" s="1804"/>
      <c r="IX371" s="1804"/>
      <c r="IY371" s="1804"/>
    </row>
    <row r="372" spans="3:259" s="888" customFormat="1" x14ac:dyDescent="0.45">
      <c r="C372" s="67" t="s">
        <v>550</v>
      </c>
      <c r="D372" s="68" t="s">
        <v>653</v>
      </c>
      <c r="E372" s="69"/>
      <c r="F372" s="125">
        <v>2354930.9290185664</v>
      </c>
      <c r="G372" s="126">
        <f t="shared" si="55"/>
        <v>604.53431878835613</v>
      </c>
      <c r="H372" s="118">
        <v>49765300.799196504</v>
      </c>
      <c r="I372" s="127">
        <f t="shared" si="56"/>
        <v>12600.076509348562</v>
      </c>
      <c r="J372" s="121">
        <f t="shared" si="67"/>
        <v>52120231.728215069</v>
      </c>
      <c r="K372" s="128">
        <f t="shared" si="67"/>
        <v>13204.610828136918</v>
      </c>
      <c r="L372" s="125">
        <v>2740965.3366509038</v>
      </c>
      <c r="M372" s="126">
        <f t="shared" si="57"/>
        <v>703.63321157165353</v>
      </c>
      <c r="N372" s="126">
        <f t="shared" si="68"/>
        <v>54861197.064865969</v>
      </c>
      <c r="O372" s="126">
        <f t="shared" si="68"/>
        <v>13908.244039708572</v>
      </c>
      <c r="P372" s="118">
        <v>0</v>
      </c>
      <c r="Q372" s="126">
        <f t="shared" si="58"/>
        <v>0</v>
      </c>
      <c r="R372" s="95">
        <v>0</v>
      </c>
      <c r="S372" s="126">
        <f t="shared" si="59"/>
        <v>0</v>
      </c>
      <c r="T372" s="95">
        <v>0</v>
      </c>
      <c r="U372" s="126">
        <f t="shared" si="60"/>
        <v>0</v>
      </c>
      <c r="V372" s="129"/>
      <c r="W372" s="129"/>
      <c r="X372" s="130">
        <f t="shared" si="61"/>
        <v>0</v>
      </c>
      <c r="Y372" s="130">
        <f t="shared" si="62"/>
        <v>0</v>
      </c>
      <c r="Z372" s="129"/>
      <c r="AA372" s="129"/>
      <c r="AB372" s="131">
        <f t="shared" si="63"/>
        <v>5095896.2656694707</v>
      </c>
      <c r="AC372" s="132">
        <f t="shared" si="64"/>
        <v>1308.1675303600096</v>
      </c>
      <c r="AD372" s="132">
        <f t="shared" si="65"/>
        <v>49765300.799196504</v>
      </c>
      <c r="AE372" s="132">
        <f t="shared" si="66"/>
        <v>12600.076509348562</v>
      </c>
      <c r="AF372" s="133">
        <f t="shared" si="69"/>
        <v>54861197.064865977</v>
      </c>
      <c r="AG372" s="134">
        <f t="shared" si="69"/>
        <v>13908.244039708572</v>
      </c>
      <c r="AH372" s="1804"/>
      <c r="AI372" s="1804"/>
      <c r="AJ372" s="1804"/>
      <c r="AK372" s="1804"/>
      <c r="AL372" s="1804"/>
      <c r="AM372" s="1804"/>
      <c r="AN372" s="1804"/>
      <c r="AO372" s="1804"/>
      <c r="AP372" s="1804"/>
      <c r="AQ372" s="1804"/>
      <c r="AR372" s="1804"/>
      <c r="AS372" s="1804"/>
      <c r="AT372" s="1804"/>
      <c r="AU372" s="1804"/>
      <c r="AV372" s="1804"/>
      <c r="AW372" s="1804"/>
      <c r="AX372" s="1804"/>
      <c r="AY372" s="1804"/>
      <c r="AZ372" s="1804"/>
      <c r="BA372" s="1804"/>
      <c r="BB372" s="1804"/>
      <c r="BC372" s="1804"/>
      <c r="BD372" s="1804"/>
      <c r="BE372" s="1804"/>
      <c r="BF372" s="1804"/>
      <c r="BG372" s="1804"/>
      <c r="BH372" s="1804"/>
      <c r="BI372" s="1804"/>
      <c r="BJ372" s="1804"/>
      <c r="BK372" s="1804"/>
      <c r="BL372" s="1804"/>
      <c r="BM372" s="1804"/>
      <c r="BN372" s="1804"/>
      <c r="BO372" s="1804"/>
      <c r="BP372" s="1804"/>
      <c r="BQ372" s="1804"/>
      <c r="BR372" s="1804"/>
      <c r="BS372" s="1804"/>
      <c r="BT372" s="1804"/>
      <c r="BU372" s="1804"/>
      <c r="BV372" s="1804"/>
      <c r="BW372" s="1804"/>
      <c r="BX372" s="1804"/>
      <c r="BY372" s="1804"/>
      <c r="BZ372" s="1804"/>
      <c r="CA372" s="1804"/>
      <c r="CB372" s="1804"/>
      <c r="CC372" s="1804"/>
      <c r="CD372" s="1804"/>
      <c r="CE372" s="1804"/>
      <c r="CF372" s="1804"/>
      <c r="CG372" s="1804"/>
      <c r="CH372" s="1804"/>
      <c r="CI372" s="1804"/>
      <c r="CJ372" s="1804"/>
      <c r="CK372" s="1804"/>
      <c r="CL372" s="1804"/>
      <c r="CM372" s="1804"/>
      <c r="CN372" s="1804"/>
      <c r="CO372" s="1804"/>
      <c r="CP372" s="1804"/>
      <c r="CQ372" s="1804"/>
      <c r="CR372" s="1804"/>
      <c r="CS372" s="1804"/>
      <c r="CT372" s="1804"/>
      <c r="CU372" s="1804"/>
      <c r="CV372" s="1804"/>
      <c r="CW372" s="1804"/>
      <c r="CX372" s="1804"/>
      <c r="CY372" s="1804"/>
      <c r="CZ372" s="1804"/>
      <c r="DA372" s="1804"/>
      <c r="DB372" s="1804"/>
      <c r="DC372" s="1804"/>
      <c r="DD372" s="1804"/>
      <c r="DE372" s="1804"/>
      <c r="DF372" s="1804"/>
      <c r="DG372" s="1804"/>
      <c r="DH372" s="1804"/>
      <c r="DI372" s="1804"/>
      <c r="DJ372" s="1804"/>
      <c r="DK372" s="1804"/>
      <c r="DL372" s="1804"/>
      <c r="DM372" s="1804"/>
      <c r="DN372" s="1804"/>
      <c r="DO372" s="1804"/>
      <c r="DP372" s="1804"/>
      <c r="DQ372" s="1804"/>
      <c r="DR372" s="1804"/>
      <c r="DS372" s="1804"/>
      <c r="DT372" s="1804"/>
      <c r="DU372" s="1804"/>
      <c r="DV372" s="1804"/>
      <c r="DW372" s="1804"/>
      <c r="DX372" s="1804"/>
      <c r="DY372" s="1804"/>
      <c r="DZ372" s="1804"/>
      <c r="EA372" s="1804"/>
      <c r="EB372" s="1804"/>
      <c r="EC372" s="1804"/>
      <c r="ED372" s="1804"/>
      <c r="EE372" s="1804"/>
      <c r="EF372" s="1804"/>
      <c r="EG372" s="1804"/>
      <c r="EH372" s="1804"/>
      <c r="EI372" s="1804"/>
      <c r="EJ372" s="1804"/>
      <c r="EK372" s="1804"/>
      <c r="EL372" s="1804"/>
      <c r="EM372" s="1804"/>
      <c r="EN372" s="1804"/>
      <c r="EO372" s="1804"/>
      <c r="EP372" s="1804"/>
      <c r="EQ372" s="1804"/>
      <c r="ER372" s="1804"/>
      <c r="ES372" s="1804"/>
      <c r="ET372" s="1804"/>
      <c r="EU372" s="1804"/>
      <c r="EV372" s="1804"/>
      <c r="EW372" s="1804"/>
      <c r="EX372" s="1804"/>
      <c r="EY372" s="1804"/>
      <c r="EZ372" s="1804"/>
      <c r="FA372" s="1804"/>
      <c r="FB372" s="1804"/>
      <c r="FC372" s="1804"/>
      <c r="FD372" s="1804"/>
      <c r="FE372" s="1804"/>
      <c r="FF372" s="1804"/>
      <c r="FG372" s="1804"/>
      <c r="FH372" s="1804"/>
      <c r="FI372" s="1804"/>
      <c r="FJ372" s="1804"/>
      <c r="FK372" s="1804"/>
      <c r="FL372" s="1804"/>
      <c r="FM372" s="1804"/>
      <c r="FN372" s="1804"/>
      <c r="FO372" s="1804"/>
      <c r="FP372" s="1804"/>
      <c r="FQ372" s="1804"/>
      <c r="FR372" s="1804"/>
      <c r="FS372" s="1804"/>
      <c r="FT372" s="1804"/>
      <c r="FU372" s="1804"/>
      <c r="FV372" s="1804"/>
      <c r="FW372" s="1804"/>
      <c r="FX372" s="1804"/>
      <c r="FY372" s="1804"/>
      <c r="FZ372" s="1804"/>
      <c r="GA372" s="1804"/>
      <c r="GB372" s="1804"/>
      <c r="GC372" s="1804"/>
      <c r="GD372" s="1804"/>
      <c r="GE372" s="1804"/>
      <c r="GF372" s="1804"/>
      <c r="GG372" s="1804"/>
      <c r="GH372" s="1804"/>
      <c r="GI372" s="1804"/>
      <c r="GJ372" s="1804"/>
      <c r="GK372" s="1804"/>
      <c r="GL372" s="1804"/>
      <c r="GM372" s="1804"/>
      <c r="GN372" s="1804"/>
      <c r="GO372" s="1804"/>
      <c r="GP372" s="1804"/>
      <c r="GQ372" s="1804"/>
      <c r="GR372" s="1804"/>
      <c r="GS372" s="1804"/>
      <c r="GT372" s="1804"/>
      <c r="GU372" s="1804"/>
      <c r="GV372" s="1804"/>
      <c r="GW372" s="1804"/>
      <c r="GX372" s="1804"/>
      <c r="GY372" s="1804"/>
      <c r="GZ372" s="1804"/>
      <c r="HA372" s="1804"/>
      <c r="HB372" s="1804"/>
      <c r="HC372" s="1804"/>
      <c r="HD372" s="1804"/>
      <c r="HE372" s="1804"/>
      <c r="HF372" s="1804"/>
      <c r="HG372" s="1804"/>
      <c r="HH372" s="1804"/>
      <c r="HI372" s="1804"/>
      <c r="HJ372" s="1804"/>
      <c r="HK372" s="1804"/>
      <c r="HL372" s="1804"/>
      <c r="HM372" s="1804"/>
      <c r="HN372" s="1804"/>
      <c r="HO372" s="1804"/>
      <c r="HP372" s="1804"/>
      <c r="HQ372" s="1804"/>
      <c r="HR372" s="1804"/>
      <c r="HS372" s="1804"/>
      <c r="HT372" s="1804"/>
      <c r="HU372" s="1804"/>
      <c r="HV372" s="1804"/>
      <c r="HW372" s="1804"/>
      <c r="HX372" s="1804"/>
      <c r="HY372" s="1804"/>
      <c r="HZ372" s="1804"/>
      <c r="IA372" s="1804"/>
      <c r="IB372" s="1804"/>
      <c r="IC372" s="1804"/>
      <c r="ID372" s="1804"/>
      <c r="IE372" s="1804"/>
      <c r="IF372" s="1804"/>
      <c r="IG372" s="1804"/>
      <c r="IH372" s="1804"/>
      <c r="II372" s="1804"/>
      <c r="IJ372" s="1804"/>
      <c r="IK372" s="1804"/>
      <c r="IL372" s="1804"/>
      <c r="IM372" s="1804"/>
      <c r="IN372" s="1804"/>
      <c r="IO372" s="1804"/>
      <c r="IP372" s="1804"/>
      <c r="IQ372" s="1804"/>
      <c r="IR372" s="1804"/>
      <c r="IS372" s="1804"/>
      <c r="IT372" s="1804"/>
      <c r="IU372" s="1804"/>
      <c r="IV372" s="1804"/>
      <c r="IW372" s="1804"/>
      <c r="IX372" s="1804"/>
      <c r="IY372" s="1804"/>
    </row>
    <row r="373" spans="3:259" s="888" customFormat="1" x14ac:dyDescent="0.45">
      <c r="C373" s="67" t="s">
        <v>551</v>
      </c>
      <c r="D373" s="68" t="s">
        <v>654</v>
      </c>
      <c r="E373" s="69"/>
      <c r="F373" s="125">
        <v>2430825.7331159799</v>
      </c>
      <c r="G373" s="126">
        <f t="shared" si="55"/>
        <v>624.01727394820318</v>
      </c>
      <c r="H373" s="118">
        <v>31000333.213792525</v>
      </c>
      <c r="I373" s="127">
        <f t="shared" si="56"/>
        <v>7848.974366400128</v>
      </c>
      <c r="J373" s="121">
        <f t="shared" si="67"/>
        <v>33431158.946908504</v>
      </c>
      <c r="K373" s="128">
        <f t="shared" si="67"/>
        <v>8472.9916403483312</v>
      </c>
      <c r="L373" s="125">
        <v>261119.72937436527</v>
      </c>
      <c r="M373" s="126">
        <f t="shared" si="57"/>
        <v>67.032045727693301</v>
      </c>
      <c r="N373" s="126">
        <f t="shared" si="68"/>
        <v>33692278.676282868</v>
      </c>
      <c r="O373" s="126">
        <f t="shared" si="68"/>
        <v>8540.0236860760251</v>
      </c>
      <c r="P373" s="118">
        <v>18906899.223461777</v>
      </c>
      <c r="Q373" s="126">
        <f t="shared" si="58"/>
        <v>4787.0378143882863</v>
      </c>
      <c r="R373" s="95">
        <v>0</v>
      </c>
      <c r="S373" s="126">
        <f t="shared" si="59"/>
        <v>0</v>
      </c>
      <c r="T373" s="95">
        <v>3204820.1637282432</v>
      </c>
      <c r="U373" s="126">
        <f t="shared" si="60"/>
        <v>811.4284172543538</v>
      </c>
      <c r="V373" s="129"/>
      <c r="W373" s="129"/>
      <c r="X373" s="130">
        <f t="shared" si="61"/>
        <v>22111719.387190022</v>
      </c>
      <c r="Y373" s="130">
        <f t="shared" si="62"/>
        <v>5598.4662316426402</v>
      </c>
      <c r="Z373" s="129"/>
      <c r="AA373" s="129"/>
      <c r="AB373" s="131">
        <f t="shared" si="63"/>
        <v>2691945.4624903454</v>
      </c>
      <c r="AC373" s="132">
        <f t="shared" si="64"/>
        <v>691.04931967589653</v>
      </c>
      <c r="AD373" s="132">
        <f t="shared" si="65"/>
        <v>53112052.600982547</v>
      </c>
      <c r="AE373" s="132">
        <f t="shared" si="66"/>
        <v>13447.440598042769</v>
      </c>
      <c r="AF373" s="133">
        <f t="shared" si="69"/>
        <v>55803998.063472889</v>
      </c>
      <c r="AG373" s="134">
        <f t="shared" si="69"/>
        <v>14138.489917718665</v>
      </c>
      <c r="AH373" s="1804"/>
      <c r="AI373" s="1804"/>
      <c r="AJ373" s="1804"/>
      <c r="AK373" s="1804"/>
      <c r="AL373" s="1804"/>
      <c r="AM373" s="1804"/>
      <c r="AN373" s="1804"/>
      <c r="AO373" s="1804"/>
      <c r="AP373" s="1804"/>
      <c r="AQ373" s="1804"/>
      <c r="AR373" s="1804"/>
      <c r="AS373" s="1804"/>
      <c r="AT373" s="1804"/>
      <c r="AU373" s="1804"/>
      <c r="AV373" s="1804"/>
      <c r="AW373" s="1804"/>
      <c r="AX373" s="1804"/>
      <c r="AY373" s="1804"/>
      <c r="AZ373" s="1804"/>
      <c r="BA373" s="1804"/>
      <c r="BB373" s="1804"/>
      <c r="BC373" s="1804"/>
      <c r="BD373" s="1804"/>
      <c r="BE373" s="1804"/>
      <c r="BF373" s="1804"/>
      <c r="BG373" s="1804"/>
      <c r="BH373" s="1804"/>
      <c r="BI373" s="1804"/>
      <c r="BJ373" s="1804"/>
      <c r="BK373" s="1804"/>
      <c r="BL373" s="1804"/>
      <c r="BM373" s="1804"/>
      <c r="BN373" s="1804"/>
      <c r="BO373" s="1804"/>
      <c r="BP373" s="1804"/>
      <c r="BQ373" s="1804"/>
      <c r="BR373" s="1804"/>
      <c r="BS373" s="1804"/>
      <c r="BT373" s="1804"/>
      <c r="BU373" s="1804"/>
      <c r="BV373" s="1804"/>
      <c r="BW373" s="1804"/>
      <c r="BX373" s="1804"/>
      <c r="BY373" s="1804"/>
      <c r="BZ373" s="1804"/>
      <c r="CA373" s="1804"/>
      <c r="CB373" s="1804"/>
      <c r="CC373" s="1804"/>
      <c r="CD373" s="1804"/>
      <c r="CE373" s="1804"/>
      <c r="CF373" s="1804"/>
      <c r="CG373" s="1804"/>
      <c r="CH373" s="1804"/>
      <c r="CI373" s="1804"/>
      <c r="CJ373" s="1804"/>
      <c r="CK373" s="1804"/>
      <c r="CL373" s="1804"/>
      <c r="CM373" s="1804"/>
      <c r="CN373" s="1804"/>
      <c r="CO373" s="1804"/>
      <c r="CP373" s="1804"/>
      <c r="CQ373" s="1804"/>
      <c r="CR373" s="1804"/>
      <c r="CS373" s="1804"/>
      <c r="CT373" s="1804"/>
      <c r="CU373" s="1804"/>
      <c r="CV373" s="1804"/>
      <c r="CW373" s="1804"/>
      <c r="CX373" s="1804"/>
      <c r="CY373" s="1804"/>
      <c r="CZ373" s="1804"/>
      <c r="DA373" s="1804"/>
      <c r="DB373" s="1804"/>
      <c r="DC373" s="1804"/>
      <c r="DD373" s="1804"/>
      <c r="DE373" s="1804"/>
      <c r="DF373" s="1804"/>
      <c r="DG373" s="1804"/>
      <c r="DH373" s="1804"/>
      <c r="DI373" s="1804"/>
      <c r="DJ373" s="1804"/>
      <c r="DK373" s="1804"/>
      <c r="DL373" s="1804"/>
      <c r="DM373" s="1804"/>
      <c r="DN373" s="1804"/>
      <c r="DO373" s="1804"/>
      <c r="DP373" s="1804"/>
      <c r="DQ373" s="1804"/>
      <c r="DR373" s="1804"/>
      <c r="DS373" s="1804"/>
      <c r="DT373" s="1804"/>
      <c r="DU373" s="1804"/>
      <c r="DV373" s="1804"/>
      <c r="DW373" s="1804"/>
      <c r="DX373" s="1804"/>
      <c r="DY373" s="1804"/>
      <c r="DZ373" s="1804"/>
      <c r="EA373" s="1804"/>
      <c r="EB373" s="1804"/>
      <c r="EC373" s="1804"/>
      <c r="ED373" s="1804"/>
      <c r="EE373" s="1804"/>
      <c r="EF373" s="1804"/>
      <c r="EG373" s="1804"/>
      <c r="EH373" s="1804"/>
      <c r="EI373" s="1804"/>
      <c r="EJ373" s="1804"/>
      <c r="EK373" s="1804"/>
      <c r="EL373" s="1804"/>
      <c r="EM373" s="1804"/>
      <c r="EN373" s="1804"/>
      <c r="EO373" s="1804"/>
      <c r="EP373" s="1804"/>
      <c r="EQ373" s="1804"/>
      <c r="ER373" s="1804"/>
      <c r="ES373" s="1804"/>
      <c r="ET373" s="1804"/>
      <c r="EU373" s="1804"/>
      <c r="EV373" s="1804"/>
      <c r="EW373" s="1804"/>
      <c r="EX373" s="1804"/>
      <c r="EY373" s="1804"/>
      <c r="EZ373" s="1804"/>
      <c r="FA373" s="1804"/>
      <c r="FB373" s="1804"/>
      <c r="FC373" s="1804"/>
      <c r="FD373" s="1804"/>
      <c r="FE373" s="1804"/>
      <c r="FF373" s="1804"/>
      <c r="FG373" s="1804"/>
      <c r="FH373" s="1804"/>
      <c r="FI373" s="1804"/>
      <c r="FJ373" s="1804"/>
      <c r="FK373" s="1804"/>
      <c r="FL373" s="1804"/>
      <c r="FM373" s="1804"/>
      <c r="FN373" s="1804"/>
      <c r="FO373" s="1804"/>
      <c r="FP373" s="1804"/>
      <c r="FQ373" s="1804"/>
      <c r="FR373" s="1804"/>
      <c r="FS373" s="1804"/>
      <c r="FT373" s="1804"/>
      <c r="FU373" s="1804"/>
      <c r="FV373" s="1804"/>
      <c r="FW373" s="1804"/>
      <c r="FX373" s="1804"/>
      <c r="FY373" s="1804"/>
      <c r="FZ373" s="1804"/>
      <c r="GA373" s="1804"/>
      <c r="GB373" s="1804"/>
      <c r="GC373" s="1804"/>
      <c r="GD373" s="1804"/>
      <c r="GE373" s="1804"/>
      <c r="GF373" s="1804"/>
      <c r="GG373" s="1804"/>
      <c r="GH373" s="1804"/>
      <c r="GI373" s="1804"/>
      <c r="GJ373" s="1804"/>
      <c r="GK373" s="1804"/>
      <c r="GL373" s="1804"/>
      <c r="GM373" s="1804"/>
      <c r="GN373" s="1804"/>
      <c r="GO373" s="1804"/>
      <c r="GP373" s="1804"/>
      <c r="GQ373" s="1804"/>
      <c r="GR373" s="1804"/>
      <c r="GS373" s="1804"/>
      <c r="GT373" s="1804"/>
      <c r="GU373" s="1804"/>
      <c r="GV373" s="1804"/>
      <c r="GW373" s="1804"/>
      <c r="GX373" s="1804"/>
      <c r="GY373" s="1804"/>
      <c r="GZ373" s="1804"/>
      <c r="HA373" s="1804"/>
      <c r="HB373" s="1804"/>
      <c r="HC373" s="1804"/>
      <c r="HD373" s="1804"/>
      <c r="HE373" s="1804"/>
      <c r="HF373" s="1804"/>
      <c r="HG373" s="1804"/>
      <c r="HH373" s="1804"/>
      <c r="HI373" s="1804"/>
      <c r="HJ373" s="1804"/>
      <c r="HK373" s="1804"/>
      <c r="HL373" s="1804"/>
      <c r="HM373" s="1804"/>
      <c r="HN373" s="1804"/>
      <c r="HO373" s="1804"/>
      <c r="HP373" s="1804"/>
      <c r="HQ373" s="1804"/>
      <c r="HR373" s="1804"/>
      <c r="HS373" s="1804"/>
      <c r="HT373" s="1804"/>
      <c r="HU373" s="1804"/>
      <c r="HV373" s="1804"/>
      <c r="HW373" s="1804"/>
      <c r="HX373" s="1804"/>
      <c r="HY373" s="1804"/>
      <c r="HZ373" s="1804"/>
      <c r="IA373" s="1804"/>
      <c r="IB373" s="1804"/>
      <c r="IC373" s="1804"/>
      <c r="ID373" s="1804"/>
      <c r="IE373" s="1804"/>
      <c r="IF373" s="1804"/>
      <c r="IG373" s="1804"/>
      <c r="IH373" s="1804"/>
      <c r="II373" s="1804"/>
      <c r="IJ373" s="1804"/>
      <c r="IK373" s="1804"/>
      <c r="IL373" s="1804"/>
      <c r="IM373" s="1804"/>
      <c r="IN373" s="1804"/>
      <c r="IO373" s="1804"/>
      <c r="IP373" s="1804"/>
      <c r="IQ373" s="1804"/>
      <c r="IR373" s="1804"/>
      <c r="IS373" s="1804"/>
      <c r="IT373" s="1804"/>
      <c r="IU373" s="1804"/>
      <c r="IV373" s="1804"/>
      <c r="IW373" s="1804"/>
      <c r="IX373" s="1804"/>
      <c r="IY373" s="1804"/>
    </row>
    <row r="374" spans="3:259" s="888" customFormat="1" x14ac:dyDescent="0.45">
      <c r="C374" s="67" t="s">
        <v>552</v>
      </c>
      <c r="D374" s="68" t="s">
        <v>655</v>
      </c>
      <c r="E374" s="69"/>
      <c r="F374" s="125">
        <v>2463918.7686642082</v>
      </c>
      <c r="G374" s="126">
        <f t="shared" si="55"/>
        <v>632.51258710378897</v>
      </c>
      <c r="H374" s="118">
        <v>30042117.20246724</v>
      </c>
      <c r="I374" s="127">
        <f t="shared" si="56"/>
        <v>7606.3636544926803</v>
      </c>
      <c r="J374" s="121">
        <f t="shared" si="67"/>
        <v>32506035.971131448</v>
      </c>
      <c r="K374" s="128">
        <f t="shared" si="67"/>
        <v>8238.8762415964702</v>
      </c>
      <c r="L374" s="125">
        <v>6498690.718020129</v>
      </c>
      <c r="M374" s="126">
        <f t="shared" si="57"/>
        <v>1668.2788942229472</v>
      </c>
      <c r="N374" s="126">
        <f t="shared" si="68"/>
        <v>39004726.689151578</v>
      </c>
      <c r="O374" s="126">
        <f t="shared" si="68"/>
        <v>9907.1551358194174</v>
      </c>
      <c r="P374" s="118">
        <v>46200955.467091203</v>
      </c>
      <c r="Q374" s="126">
        <f t="shared" si="58"/>
        <v>11697.619914712821</v>
      </c>
      <c r="R374" s="95">
        <v>26014435.601011064</v>
      </c>
      <c r="S374" s="126">
        <f t="shared" si="59"/>
        <v>6586.5949498199907</v>
      </c>
      <c r="T374" s="95">
        <v>0</v>
      </c>
      <c r="U374" s="126">
        <f t="shared" si="60"/>
        <v>0</v>
      </c>
      <c r="V374" s="129"/>
      <c r="W374" s="129"/>
      <c r="X374" s="130">
        <f t="shared" si="61"/>
        <v>72215391.06810227</v>
      </c>
      <c r="Y374" s="130">
        <f t="shared" si="62"/>
        <v>18284.214864532812</v>
      </c>
      <c r="Z374" s="129"/>
      <c r="AA374" s="129"/>
      <c r="AB374" s="131">
        <f t="shared" si="63"/>
        <v>8962609.4866843373</v>
      </c>
      <c r="AC374" s="132">
        <f t="shared" si="64"/>
        <v>2300.7914813267362</v>
      </c>
      <c r="AD374" s="132">
        <f t="shared" si="65"/>
        <v>102257508.2705695</v>
      </c>
      <c r="AE374" s="132">
        <f t="shared" si="66"/>
        <v>25890.578519025494</v>
      </c>
      <c r="AF374" s="133">
        <f t="shared" si="69"/>
        <v>111220117.75725384</v>
      </c>
      <c r="AG374" s="134">
        <f t="shared" si="69"/>
        <v>28191.370000352232</v>
      </c>
      <c r="AH374" s="1804"/>
      <c r="AI374" s="1804"/>
      <c r="AJ374" s="1804"/>
      <c r="AK374" s="1804"/>
      <c r="AL374" s="1804"/>
      <c r="AM374" s="1804"/>
      <c r="AN374" s="1804"/>
      <c r="AO374" s="1804"/>
      <c r="AP374" s="1804"/>
      <c r="AQ374" s="1804"/>
      <c r="AR374" s="1804"/>
      <c r="AS374" s="1804"/>
      <c r="AT374" s="1804"/>
      <c r="AU374" s="1804"/>
      <c r="AV374" s="1804"/>
      <c r="AW374" s="1804"/>
      <c r="AX374" s="1804"/>
      <c r="AY374" s="1804"/>
      <c r="AZ374" s="1804"/>
      <c r="BA374" s="1804"/>
      <c r="BB374" s="1804"/>
      <c r="BC374" s="1804"/>
      <c r="BD374" s="1804"/>
      <c r="BE374" s="1804"/>
      <c r="BF374" s="1804"/>
      <c r="BG374" s="1804"/>
      <c r="BH374" s="1804"/>
      <c r="BI374" s="1804"/>
      <c r="BJ374" s="1804"/>
      <c r="BK374" s="1804"/>
      <c r="BL374" s="1804"/>
      <c r="BM374" s="1804"/>
      <c r="BN374" s="1804"/>
      <c r="BO374" s="1804"/>
      <c r="BP374" s="1804"/>
      <c r="BQ374" s="1804"/>
      <c r="BR374" s="1804"/>
      <c r="BS374" s="1804"/>
      <c r="BT374" s="1804"/>
      <c r="BU374" s="1804"/>
      <c r="BV374" s="1804"/>
      <c r="BW374" s="1804"/>
      <c r="BX374" s="1804"/>
      <c r="BY374" s="1804"/>
      <c r="BZ374" s="1804"/>
      <c r="CA374" s="1804"/>
      <c r="CB374" s="1804"/>
      <c r="CC374" s="1804"/>
      <c r="CD374" s="1804"/>
      <c r="CE374" s="1804"/>
      <c r="CF374" s="1804"/>
      <c r="CG374" s="1804"/>
      <c r="CH374" s="1804"/>
      <c r="CI374" s="1804"/>
      <c r="CJ374" s="1804"/>
      <c r="CK374" s="1804"/>
      <c r="CL374" s="1804"/>
      <c r="CM374" s="1804"/>
      <c r="CN374" s="1804"/>
      <c r="CO374" s="1804"/>
      <c r="CP374" s="1804"/>
      <c r="CQ374" s="1804"/>
      <c r="CR374" s="1804"/>
      <c r="CS374" s="1804"/>
      <c r="CT374" s="1804"/>
      <c r="CU374" s="1804"/>
      <c r="CV374" s="1804"/>
      <c r="CW374" s="1804"/>
      <c r="CX374" s="1804"/>
      <c r="CY374" s="1804"/>
      <c r="CZ374" s="1804"/>
      <c r="DA374" s="1804"/>
      <c r="DB374" s="1804"/>
      <c r="DC374" s="1804"/>
      <c r="DD374" s="1804"/>
      <c r="DE374" s="1804"/>
      <c r="DF374" s="1804"/>
      <c r="DG374" s="1804"/>
      <c r="DH374" s="1804"/>
      <c r="DI374" s="1804"/>
      <c r="DJ374" s="1804"/>
      <c r="DK374" s="1804"/>
      <c r="DL374" s="1804"/>
      <c r="DM374" s="1804"/>
      <c r="DN374" s="1804"/>
      <c r="DO374" s="1804"/>
      <c r="DP374" s="1804"/>
      <c r="DQ374" s="1804"/>
      <c r="DR374" s="1804"/>
      <c r="DS374" s="1804"/>
      <c r="DT374" s="1804"/>
      <c r="DU374" s="1804"/>
      <c r="DV374" s="1804"/>
      <c r="DW374" s="1804"/>
      <c r="DX374" s="1804"/>
      <c r="DY374" s="1804"/>
      <c r="DZ374" s="1804"/>
      <c r="EA374" s="1804"/>
      <c r="EB374" s="1804"/>
      <c r="EC374" s="1804"/>
      <c r="ED374" s="1804"/>
      <c r="EE374" s="1804"/>
      <c r="EF374" s="1804"/>
      <c r="EG374" s="1804"/>
      <c r="EH374" s="1804"/>
      <c r="EI374" s="1804"/>
      <c r="EJ374" s="1804"/>
      <c r="EK374" s="1804"/>
      <c r="EL374" s="1804"/>
      <c r="EM374" s="1804"/>
      <c r="EN374" s="1804"/>
      <c r="EO374" s="1804"/>
      <c r="EP374" s="1804"/>
      <c r="EQ374" s="1804"/>
      <c r="ER374" s="1804"/>
      <c r="ES374" s="1804"/>
      <c r="ET374" s="1804"/>
      <c r="EU374" s="1804"/>
      <c r="EV374" s="1804"/>
      <c r="EW374" s="1804"/>
      <c r="EX374" s="1804"/>
      <c r="EY374" s="1804"/>
      <c r="EZ374" s="1804"/>
      <c r="FA374" s="1804"/>
      <c r="FB374" s="1804"/>
      <c r="FC374" s="1804"/>
      <c r="FD374" s="1804"/>
      <c r="FE374" s="1804"/>
      <c r="FF374" s="1804"/>
      <c r="FG374" s="1804"/>
      <c r="FH374" s="1804"/>
      <c r="FI374" s="1804"/>
      <c r="FJ374" s="1804"/>
      <c r="FK374" s="1804"/>
      <c r="FL374" s="1804"/>
      <c r="FM374" s="1804"/>
      <c r="FN374" s="1804"/>
      <c r="FO374" s="1804"/>
      <c r="FP374" s="1804"/>
      <c r="FQ374" s="1804"/>
      <c r="FR374" s="1804"/>
      <c r="FS374" s="1804"/>
      <c r="FT374" s="1804"/>
      <c r="FU374" s="1804"/>
      <c r="FV374" s="1804"/>
      <c r="FW374" s="1804"/>
      <c r="FX374" s="1804"/>
      <c r="FY374" s="1804"/>
      <c r="FZ374" s="1804"/>
      <c r="GA374" s="1804"/>
      <c r="GB374" s="1804"/>
      <c r="GC374" s="1804"/>
      <c r="GD374" s="1804"/>
      <c r="GE374" s="1804"/>
      <c r="GF374" s="1804"/>
      <c r="GG374" s="1804"/>
      <c r="GH374" s="1804"/>
      <c r="GI374" s="1804"/>
      <c r="GJ374" s="1804"/>
      <c r="GK374" s="1804"/>
      <c r="GL374" s="1804"/>
      <c r="GM374" s="1804"/>
      <c r="GN374" s="1804"/>
      <c r="GO374" s="1804"/>
      <c r="GP374" s="1804"/>
      <c r="GQ374" s="1804"/>
      <c r="GR374" s="1804"/>
      <c r="GS374" s="1804"/>
      <c r="GT374" s="1804"/>
      <c r="GU374" s="1804"/>
      <c r="GV374" s="1804"/>
      <c r="GW374" s="1804"/>
      <c r="GX374" s="1804"/>
      <c r="GY374" s="1804"/>
      <c r="GZ374" s="1804"/>
      <c r="HA374" s="1804"/>
      <c r="HB374" s="1804"/>
      <c r="HC374" s="1804"/>
      <c r="HD374" s="1804"/>
      <c r="HE374" s="1804"/>
      <c r="HF374" s="1804"/>
      <c r="HG374" s="1804"/>
      <c r="HH374" s="1804"/>
      <c r="HI374" s="1804"/>
      <c r="HJ374" s="1804"/>
      <c r="HK374" s="1804"/>
      <c r="HL374" s="1804"/>
      <c r="HM374" s="1804"/>
      <c r="HN374" s="1804"/>
      <c r="HO374" s="1804"/>
      <c r="HP374" s="1804"/>
      <c r="HQ374" s="1804"/>
      <c r="HR374" s="1804"/>
      <c r="HS374" s="1804"/>
      <c r="HT374" s="1804"/>
      <c r="HU374" s="1804"/>
      <c r="HV374" s="1804"/>
      <c r="HW374" s="1804"/>
      <c r="HX374" s="1804"/>
      <c r="HY374" s="1804"/>
      <c r="HZ374" s="1804"/>
      <c r="IA374" s="1804"/>
      <c r="IB374" s="1804"/>
      <c r="IC374" s="1804"/>
      <c r="ID374" s="1804"/>
      <c r="IE374" s="1804"/>
      <c r="IF374" s="1804"/>
      <c r="IG374" s="1804"/>
      <c r="IH374" s="1804"/>
      <c r="II374" s="1804"/>
      <c r="IJ374" s="1804"/>
      <c r="IK374" s="1804"/>
      <c r="IL374" s="1804"/>
      <c r="IM374" s="1804"/>
      <c r="IN374" s="1804"/>
      <c r="IO374" s="1804"/>
      <c r="IP374" s="1804"/>
      <c r="IQ374" s="1804"/>
      <c r="IR374" s="1804"/>
      <c r="IS374" s="1804"/>
      <c r="IT374" s="1804"/>
      <c r="IU374" s="1804"/>
      <c r="IV374" s="1804"/>
      <c r="IW374" s="1804"/>
      <c r="IX374" s="1804"/>
      <c r="IY374" s="1804"/>
    </row>
    <row r="375" spans="3:259" s="888" customFormat="1" x14ac:dyDescent="0.45">
      <c r="C375" s="67" t="s">
        <v>553</v>
      </c>
      <c r="D375" s="68" t="s">
        <v>656</v>
      </c>
      <c r="E375" s="69"/>
      <c r="F375" s="125">
        <v>0</v>
      </c>
      <c r="G375" s="126">
        <f t="shared" si="55"/>
        <v>0</v>
      </c>
      <c r="H375" s="118">
        <v>12606520.984603321</v>
      </c>
      <c r="I375" s="127">
        <f t="shared" si="56"/>
        <v>3191.8450480917149</v>
      </c>
      <c r="J375" s="121">
        <f t="shared" si="67"/>
        <v>12606520.984603321</v>
      </c>
      <c r="K375" s="128">
        <f t="shared" si="67"/>
        <v>3191.8450480917149</v>
      </c>
      <c r="L375" s="125">
        <v>2661824.8281118129</v>
      </c>
      <c r="M375" s="126">
        <f t="shared" si="57"/>
        <v>683.31705162458354</v>
      </c>
      <c r="N375" s="126">
        <f t="shared" si="68"/>
        <v>15268345.812715134</v>
      </c>
      <c r="O375" s="126">
        <f t="shared" si="68"/>
        <v>3875.1620997162986</v>
      </c>
      <c r="P375" s="118">
        <v>32301688.64044366</v>
      </c>
      <c r="Q375" s="126">
        <f t="shared" si="58"/>
        <v>8178.4645468739291</v>
      </c>
      <c r="R375" s="95">
        <v>0</v>
      </c>
      <c r="S375" s="126">
        <f t="shared" si="59"/>
        <v>0</v>
      </c>
      <c r="T375" s="95">
        <v>0</v>
      </c>
      <c r="U375" s="126">
        <f t="shared" si="60"/>
        <v>0</v>
      </c>
      <c r="V375" s="129"/>
      <c r="W375" s="129"/>
      <c r="X375" s="130">
        <f t="shared" si="61"/>
        <v>32301688.64044366</v>
      </c>
      <c r="Y375" s="130">
        <f t="shared" si="62"/>
        <v>8178.4645468739291</v>
      </c>
      <c r="Z375" s="129"/>
      <c r="AA375" s="129"/>
      <c r="AB375" s="131">
        <f t="shared" si="63"/>
        <v>2661824.8281118129</v>
      </c>
      <c r="AC375" s="132">
        <f t="shared" si="64"/>
        <v>683.31705162458354</v>
      </c>
      <c r="AD375" s="132">
        <f t="shared" si="65"/>
        <v>44908209.625046983</v>
      </c>
      <c r="AE375" s="132">
        <f t="shared" si="66"/>
        <v>11370.309594965644</v>
      </c>
      <c r="AF375" s="133">
        <f t="shared" si="69"/>
        <v>47570034.453158796</v>
      </c>
      <c r="AG375" s="134">
        <f t="shared" si="69"/>
        <v>12053.626646590226</v>
      </c>
      <c r="AH375" s="1804"/>
      <c r="AI375" s="1804"/>
      <c r="AJ375" s="1804"/>
      <c r="AK375" s="1804"/>
      <c r="AL375" s="1804"/>
      <c r="AM375" s="1804"/>
      <c r="AN375" s="1804"/>
      <c r="AO375" s="1804"/>
      <c r="AP375" s="1804"/>
      <c r="AQ375" s="1804"/>
      <c r="AR375" s="1804"/>
      <c r="AS375" s="1804"/>
      <c r="AT375" s="1804"/>
      <c r="AU375" s="1804"/>
      <c r="AV375" s="1804"/>
      <c r="AW375" s="1804"/>
      <c r="AX375" s="1804"/>
      <c r="AY375" s="1804"/>
      <c r="AZ375" s="1804"/>
      <c r="BA375" s="1804"/>
      <c r="BB375" s="1804"/>
      <c r="BC375" s="1804"/>
      <c r="BD375" s="1804"/>
      <c r="BE375" s="1804"/>
      <c r="BF375" s="1804"/>
      <c r="BG375" s="1804"/>
      <c r="BH375" s="1804"/>
      <c r="BI375" s="1804"/>
      <c r="BJ375" s="1804"/>
      <c r="BK375" s="1804"/>
      <c r="BL375" s="1804"/>
      <c r="BM375" s="1804"/>
      <c r="BN375" s="1804"/>
      <c r="BO375" s="1804"/>
      <c r="BP375" s="1804"/>
      <c r="BQ375" s="1804"/>
      <c r="BR375" s="1804"/>
      <c r="BS375" s="1804"/>
      <c r="BT375" s="1804"/>
      <c r="BU375" s="1804"/>
      <c r="BV375" s="1804"/>
      <c r="BW375" s="1804"/>
      <c r="BX375" s="1804"/>
      <c r="BY375" s="1804"/>
      <c r="BZ375" s="1804"/>
      <c r="CA375" s="1804"/>
      <c r="CB375" s="1804"/>
      <c r="CC375" s="1804"/>
      <c r="CD375" s="1804"/>
      <c r="CE375" s="1804"/>
      <c r="CF375" s="1804"/>
      <c r="CG375" s="1804"/>
      <c r="CH375" s="1804"/>
      <c r="CI375" s="1804"/>
      <c r="CJ375" s="1804"/>
      <c r="CK375" s="1804"/>
      <c r="CL375" s="1804"/>
      <c r="CM375" s="1804"/>
      <c r="CN375" s="1804"/>
      <c r="CO375" s="1804"/>
      <c r="CP375" s="1804"/>
      <c r="CQ375" s="1804"/>
      <c r="CR375" s="1804"/>
      <c r="CS375" s="1804"/>
      <c r="CT375" s="1804"/>
      <c r="CU375" s="1804"/>
      <c r="CV375" s="1804"/>
      <c r="CW375" s="1804"/>
      <c r="CX375" s="1804"/>
      <c r="CY375" s="1804"/>
      <c r="CZ375" s="1804"/>
      <c r="DA375" s="1804"/>
      <c r="DB375" s="1804"/>
      <c r="DC375" s="1804"/>
      <c r="DD375" s="1804"/>
      <c r="DE375" s="1804"/>
      <c r="DF375" s="1804"/>
      <c r="DG375" s="1804"/>
      <c r="DH375" s="1804"/>
      <c r="DI375" s="1804"/>
      <c r="DJ375" s="1804"/>
      <c r="DK375" s="1804"/>
      <c r="DL375" s="1804"/>
      <c r="DM375" s="1804"/>
      <c r="DN375" s="1804"/>
      <c r="DO375" s="1804"/>
      <c r="DP375" s="1804"/>
      <c r="DQ375" s="1804"/>
      <c r="DR375" s="1804"/>
      <c r="DS375" s="1804"/>
      <c r="DT375" s="1804"/>
      <c r="DU375" s="1804"/>
      <c r="DV375" s="1804"/>
      <c r="DW375" s="1804"/>
      <c r="DX375" s="1804"/>
      <c r="DY375" s="1804"/>
      <c r="DZ375" s="1804"/>
      <c r="EA375" s="1804"/>
      <c r="EB375" s="1804"/>
      <c r="EC375" s="1804"/>
      <c r="ED375" s="1804"/>
      <c r="EE375" s="1804"/>
      <c r="EF375" s="1804"/>
      <c r="EG375" s="1804"/>
      <c r="EH375" s="1804"/>
      <c r="EI375" s="1804"/>
      <c r="EJ375" s="1804"/>
      <c r="EK375" s="1804"/>
      <c r="EL375" s="1804"/>
      <c r="EM375" s="1804"/>
      <c r="EN375" s="1804"/>
      <c r="EO375" s="1804"/>
      <c r="EP375" s="1804"/>
      <c r="EQ375" s="1804"/>
      <c r="ER375" s="1804"/>
      <c r="ES375" s="1804"/>
      <c r="ET375" s="1804"/>
      <c r="EU375" s="1804"/>
      <c r="EV375" s="1804"/>
      <c r="EW375" s="1804"/>
      <c r="EX375" s="1804"/>
      <c r="EY375" s="1804"/>
      <c r="EZ375" s="1804"/>
      <c r="FA375" s="1804"/>
      <c r="FB375" s="1804"/>
      <c r="FC375" s="1804"/>
      <c r="FD375" s="1804"/>
      <c r="FE375" s="1804"/>
      <c r="FF375" s="1804"/>
      <c r="FG375" s="1804"/>
      <c r="FH375" s="1804"/>
      <c r="FI375" s="1804"/>
      <c r="FJ375" s="1804"/>
      <c r="FK375" s="1804"/>
      <c r="FL375" s="1804"/>
      <c r="FM375" s="1804"/>
      <c r="FN375" s="1804"/>
      <c r="FO375" s="1804"/>
      <c r="FP375" s="1804"/>
      <c r="FQ375" s="1804"/>
      <c r="FR375" s="1804"/>
      <c r="FS375" s="1804"/>
      <c r="FT375" s="1804"/>
      <c r="FU375" s="1804"/>
      <c r="FV375" s="1804"/>
      <c r="FW375" s="1804"/>
      <c r="FX375" s="1804"/>
      <c r="FY375" s="1804"/>
      <c r="FZ375" s="1804"/>
      <c r="GA375" s="1804"/>
      <c r="GB375" s="1804"/>
      <c r="GC375" s="1804"/>
      <c r="GD375" s="1804"/>
      <c r="GE375" s="1804"/>
      <c r="GF375" s="1804"/>
      <c r="GG375" s="1804"/>
      <c r="GH375" s="1804"/>
      <c r="GI375" s="1804"/>
      <c r="GJ375" s="1804"/>
      <c r="GK375" s="1804"/>
      <c r="GL375" s="1804"/>
      <c r="GM375" s="1804"/>
      <c r="GN375" s="1804"/>
      <c r="GO375" s="1804"/>
      <c r="GP375" s="1804"/>
      <c r="GQ375" s="1804"/>
      <c r="GR375" s="1804"/>
      <c r="GS375" s="1804"/>
      <c r="GT375" s="1804"/>
      <c r="GU375" s="1804"/>
      <c r="GV375" s="1804"/>
      <c r="GW375" s="1804"/>
      <c r="GX375" s="1804"/>
      <c r="GY375" s="1804"/>
      <c r="GZ375" s="1804"/>
      <c r="HA375" s="1804"/>
      <c r="HB375" s="1804"/>
      <c r="HC375" s="1804"/>
      <c r="HD375" s="1804"/>
      <c r="HE375" s="1804"/>
      <c r="HF375" s="1804"/>
      <c r="HG375" s="1804"/>
      <c r="HH375" s="1804"/>
      <c r="HI375" s="1804"/>
      <c r="HJ375" s="1804"/>
      <c r="HK375" s="1804"/>
      <c r="HL375" s="1804"/>
      <c r="HM375" s="1804"/>
      <c r="HN375" s="1804"/>
      <c r="HO375" s="1804"/>
      <c r="HP375" s="1804"/>
      <c r="HQ375" s="1804"/>
      <c r="HR375" s="1804"/>
      <c r="HS375" s="1804"/>
      <c r="HT375" s="1804"/>
      <c r="HU375" s="1804"/>
      <c r="HV375" s="1804"/>
      <c r="HW375" s="1804"/>
      <c r="HX375" s="1804"/>
      <c r="HY375" s="1804"/>
      <c r="HZ375" s="1804"/>
      <c r="IA375" s="1804"/>
      <c r="IB375" s="1804"/>
      <c r="IC375" s="1804"/>
      <c r="ID375" s="1804"/>
      <c r="IE375" s="1804"/>
      <c r="IF375" s="1804"/>
      <c r="IG375" s="1804"/>
      <c r="IH375" s="1804"/>
      <c r="II375" s="1804"/>
      <c r="IJ375" s="1804"/>
      <c r="IK375" s="1804"/>
      <c r="IL375" s="1804"/>
      <c r="IM375" s="1804"/>
      <c r="IN375" s="1804"/>
      <c r="IO375" s="1804"/>
      <c r="IP375" s="1804"/>
      <c r="IQ375" s="1804"/>
      <c r="IR375" s="1804"/>
      <c r="IS375" s="1804"/>
      <c r="IT375" s="1804"/>
      <c r="IU375" s="1804"/>
      <c r="IV375" s="1804"/>
      <c r="IW375" s="1804"/>
      <c r="IX375" s="1804"/>
      <c r="IY375" s="1804"/>
    </row>
    <row r="376" spans="3:259" s="888" customFormat="1" x14ac:dyDescent="0.45">
      <c r="C376" s="67" t="s">
        <v>554</v>
      </c>
      <c r="D376" s="68" t="s">
        <v>657</v>
      </c>
      <c r="E376" s="69"/>
      <c r="F376" s="125">
        <v>0</v>
      </c>
      <c r="G376" s="126">
        <f t="shared" si="55"/>
        <v>0</v>
      </c>
      <c r="H376" s="118">
        <v>18405187.005548012</v>
      </c>
      <c r="I376" s="127">
        <f t="shared" si="56"/>
        <v>4660.009297934701</v>
      </c>
      <c r="J376" s="121">
        <f t="shared" si="67"/>
        <v>18405187.005548012</v>
      </c>
      <c r="K376" s="128">
        <f t="shared" si="67"/>
        <v>4660.009297934701</v>
      </c>
      <c r="L376" s="125">
        <v>494840.71624511812</v>
      </c>
      <c r="M376" s="126">
        <f t="shared" si="57"/>
        <v>127.03056026728427</v>
      </c>
      <c r="N376" s="126">
        <f t="shared" si="68"/>
        <v>18900027.72179313</v>
      </c>
      <c r="O376" s="126">
        <f t="shared" si="68"/>
        <v>4787.0398582019852</v>
      </c>
      <c r="P376" s="118">
        <v>4079935.827858862</v>
      </c>
      <c r="Q376" s="126">
        <f t="shared" si="58"/>
        <v>1032.9989522555852</v>
      </c>
      <c r="R376" s="95">
        <v>0</v>
      </c>
      <c r="S376" s="126">
        <f t="shared" si="59"/>
        <v>0</v>
      </c>
      <c r="T376" s="95">
        <v>0</v>
      </c>
      <c r="U376" s="126">
        <f t="shared" si="60"/>
        <v>0</v>
      </c>
      <c r="V376" s="129"/>
      <c r="W376" s="129"/>
      <c r="X376" s="130">
        <f t="shared" si="61"/>
        <v>4079935.827858862</v>
      </c>
      <c r="Y376" s="130">
        <f t="shared" si="62"/>
        <v>1032.9989522555852</v>
      </c>
      <c r="Z376" s="129"/>
      <c r="AA376" s="129"/>
      <c r="AB376" s="131">
        <f t="shared" si="63"/>
        <v>494840.71624511812</v>
      </c>
      <c r="AC376" s="132">
        <f t="shared" si="64"/>
        <v>127.03056026728427</v>
      </c>
      <c r="AD376" s="132">
        <f t="shared" si="65"/>
        <v>22485122.833406873</v>
      </c>
      <c r="AE376" s="132">
        <f t="shared" si="66"/>
        <v>5693.0082501902862</v>
      </c>
      <c r="AF376" s="133">
        <f t="shared" si="69"/>
        <v>22979963.549651992</v>
      </c>
      <c r="AG376" s="134">
        <f t="shared" si="69"/>
        <v>5820.0388104575704</v>
      </c>
      <c r="AH376" s="1804"/>
      <c r="AI376" s="1804"/>
      <c r="AJ376" s="1804"/>
      <c r="AK376" s="1804"/>
      <c r="AL376" s="1804"/>
      <c r="AM376" s="1804"/>
      <c r="AN376" s="1804"/>
      <c r="AO376" s="1804"/>
      <c r="AP376" s="1804"/>
      <c r="AQ376" s="1804"/>
      <c r="AR376" s="1804"/>
      <c r="AS376" s="1804"/>
      <c r="AT376" s="1804"/>
      <c r="AU376" s="1804"/>
      <c r="AV376" s="1804"/>
      <c r="AW376" s="1804"/>
      <c r="AX376" s="1804"/>
      <c r="AY376" s="1804"/>
      <c r="AZ376" s="1804"/>
      <c r="BA376" s="1804"/>
      <c r="BB376" s="1804"/>
      <c r="BC376" s="1804"/>
      <c r="BD376" s="1804"/>
      <c r="BE376" s="1804"/>
      <c r="BF376" s="1804"/>
      <c r="BG376" s="1804"/>
      <c r="BH376" s="1804"/>
      <c r="BI376" s="1804"/>
      <c r="BJ376" s="1804"/>
      <c r="BK376" s="1804"/>
      <c r="BL376" s="1804"/>
      <c r="BM376" s="1804"/>
      <c r="BN376" s="1804"/>
      <c r="BO376" s="1804"/>
      <c r="BP376" s="1804"/>
      <c r="BQ376" s="1804"/>
      <c r="BR376" s="1804"/>
      <c r="BS376" s="1804"/>
      <c r="BT376" s="1804"/>
      <c r="BU376" s="1804"/>
      <c r="BV376" s="1804"/>
      <c r="BW376" s="1804"/>
      <c r="BX376" s="1804"/>
      <c r="BY376" s="1804"/>
      <c r="BZ376" s="1804"/>
      <c r="CA376" s="1804"/>
      <c r="CB376" s="1804"/>
      <c r="CC376" s="1804"/>
      <c r="CD376" s="1804"/>
      <c r="CE376" s="1804"/>
      <c r="CF376" s="1804"/>
      <c r="CG376" s="1804"/>
      <c r="CH376" s="1804"/>
      <c r="CI376" s="1804"/>
      <c r="CJ376" s="1804"/>
      <c r="CK376" s="1804"/>
      <c r="CL376" s="1804"/>
      <c r="CM376" s="1804"/>
      <c r="CN376" s="1804"/>
      <c r="CO376" s="1804"/>
      <c r="CP376" s="1804"/>
      <c r="CQ376" s="1804"/>
      <c r="CR376" s="1804"/>
      <c r="CS376" s="1804"/>
      <c r="CT376" s="1804"/>
      <c r="CU376" s="1804"/>
      <c r="CV376" s="1804"/>
      <c r="CW376" s="1804"/>
      <c r="CX376" s="1804"/>
      <c r="CY376" s="1804"/>
      <c r="CZ376" s="1804"/>
      <c r="DA376" s="1804"/>
      <c r="DB376" s="1804"/>
      <c r="DC376" s="1804"/>
      <c r="DD376" s="1804"/>
      <c r="DE376" s="1804"/>
      <c r="DF376" s="1804"/>
      <c r="DG376" s="1804"/>
      <c r="DH376" s="1804"/>
      <c r="DI376" s="1804"/>
      <c r="DJ376" s="1804"/>
      <c r="DK376" s="1804"/>
      <c r="DL376" s="1804"/>
      <c r="DM376" s="1804"/>
      <c r="DN376" s="1804"/>
      <c r="DO376" s="1804"/>
      <c r="DP376" s="1804"/>
      <c r="DQ376" s="1804"/>
      <c r="DR376" s="1804"/>
      <c r="DS376" s="1804"/>
      <c r="DT376" s="1804"/>
      <c r="DU376" s="1804"/>
      <c r="DV376" s="1804"/>
      <c r="DW376" s="1804"/>
      <c r="DX376" s="1804"/>
      <c r="DY376" s="1804"/>
      <c r="DZ376" s="1804"/>
      <c r="EA376" s="1804"/>
      <c r="EB376" s="1804"/>
      <c r="EC376" s="1804"/>
      <c r="ED376" s="1804"/>
      <c r="EE376" s="1804"/>
      <c r="EF376" s="1804"/>
      <c r="EG376" s="1804"/>
      <c r="EH376" s="1804"/>
      <c r="EI376" s="1804"/>
      <c r="EJ376" s="1804"/>
      <c r="EK376" s="1804"/>
      <c r="EL376" s="1804"/>
      <c r="EM376" s="1804"/>
      <c r="EN376" s="1804"/>
      <c r="EO376" s="1804"/>
      <c r="EP376" s="1804"/>
      <c r="EQ376" s="1804"/>
      <c r="ER376" s="1804"/>
      <c r="ES376" s="1804"/>
      <c r="ET376" s="1804"/>
      <c r="EU376" s="1804"/>
      <c r="EV376" s="1804"/>
      <c r="EW376" s="1804"/>
      <c r="EX376" s="1804"/>
      <c r="EY376" s="1804"/>
      <c r="EZ376" s="1804"/>
      <c r="FA376" s="1804"/>
      <c r="FB376" s="1804"/>
      <c r="FC376" s="1804"/>
      <c r="FD376" s="1804"/>
      <c r="FE376" s="1804"/>
      <c r="FF376" s="1804"/>
      <c r="FG376" s="1804"/>
      <c r="FH376" s="1804"/>
      <c r="FI376" s="1804"/>
      <c r="FJ376" s="1804"/>
      <c r="FK376" s="1804"/>
      <c r="FL376" s="1804"/>
      <c r="FM376" s="1804"/>
      <c r="FN376" s="1804"/>
      <c r="FO376" s="1804"/>
      <c r="FP376" s="1804"/>
      <c r="FQ376" s="1804"/>
      <c r="FR376" s="1804"/>
      <c r="FS376" s="1804"/>
      <c r="FT376" s="1804"/>
      <c r="FU376" s="1804"/>
      <c r="FV376" s="1804"/>
      <c r="FW376" s="1804"/>
      <c r="FX376" s="1804"/>
      <c r="FY376" s="1804"/>
      <c r="FZ376" s="1804"/>
      <c r="GA376" s="1804"/>
      <c r="GB376" s="1804"/>
      <c r="GC376" s="1804"/>
      <c r="GD376" s="1804"/>
      <c r="GE376" s="1804"/>
      <c r="GF376" s="1804"/>
      <c r="GG376" s="1804"/>
      <c r="GH376" s="1804"/>
      <c r="GI376" s="1804"/>
      <c r="GJ376" s="1804"/>
      <c r="GK376" s="1804"/>
      <c r="GL376" s="1804"/>
      <c r="GM376" s="1804"/>
      <c r="GN376" s="1804"/>
      <c r="GO376" s="1804"/>
      <c r="GP376" s="1804"/>
      <c r="GQ376" s="1804"/>
      <c r="GR376" s="1804"/>
      <c r="GS376" s="1804"/>
      <c r="GT376" s="1804"/>
      <c r="GU376" s="1804"/>
      <c r="GV376" s="1804"/>
      <c r="GW376" s="1804"/>
      <c r="GX376" s="1804"/>
      <c r="GY376" s="1804"/>
      <c r="GZ376" s="1804"/>
      <c r="HA376" s="1804"/>
      <c r="HB376" s="1804"/>
      <c r="HC376" s="1804"/>
      <c r="HD376" s="1804"/>
      <c r="HE376" s="1804"/>
      <c r="HF376" s="1804"/>
      <c r="HG376" s="1804"/>
      <c r="HH376" s="1804"/>
      <c r="HI376" s="1804"/>
      <c r="HJ376" s="1804"/>
      <c r="HK376" s="1804"/>
      <c r="HL376" s="1804"/>
      <c r="HM376" s="1804"/>
      <c r="HN376" s="1804"/>
      <c r="HO376" s="1804"/>
      <c r="HP376" s="1804"/>
      <c r="HQ376" s="1804"/>
      <c r="HR376" s="1804"/>
      <c r="HS376" s="1804"/>
      <c r="HT376" s="1804"/>
      <c r="HU376" s="1804"/>
      <c r="HV376" s="1804"/>
      <c r="HW376" s="1804"/>
      <c r="HX376" s="1804"/>
      <c r="HY376" s="1804"/>
      <c r="HZ376" s="1804"/>
      <c r="IA376" s="1804"/>
      <c r="IB376" s="1804"/>
      <c r="IC376" s="1804"/>
      <c r="ID376" s="1804"/>
      <c r="IE376" s="1804"/>
      <c r="IF376" s="1804"/>
      <c r="IG376" s="1804"/>
      <c r="IH376" s="1804"/>
      <c r="II376" s="1804"/>
      <c r="IJ376" s="1804"/>
      <c r="IK376" s="1804"/>
      <c r="IL376" s="1804"/>
      <c r="IM376" s="1804"/>
      <c r="IN376" s="1804"/>
      <c r="IO376" s="1804"/>
      <c r="IP376" s="1804"/>
      <c r="IQ376" s="1804"/>
      <c r="IR376" s="1804"/>
      <c r="IS376" s="1804"/>
      <c r="IT376" s="1804"/>
      <c r="IU376" s="1804"/>
      <c r="IV376" s="1804"/>
      <c r="IW376" s="1804"/>
      <c r="IX376" s="1804"/>
      <c r="IY376" s="1804"/>
    </row>
    <row r="377" spans="3:259" s="888" customFormat="1" x14ac:dyDescent="0.45">
      <c r="C377" s="67" t="s">
        <v>555</v>
      </c>
      <c r="D377" s="68" t="s">
        <v>658</v>
      </c>
      <c r="E377" s="69"/>
      <c r="F377" s="125">
        <v>938972.71244865295</v>
      </c>
      <c r="G377" s="126">
        <f t="shared" si="55"/>
        <v>241.04368501269366</v>
      </c>
      <c r="H377" s="118">
        <v>40112850.608151302</v>
      </c>
      <c r="I377" s="127">
        <f t="shared" si="56"/>
        <v>10156.172645477827</v>
      </c>
      <c r="J377" s="121">
        <f t="shared" si="67"/>
        <v>41051823.320599958</v>
      </c>
      <c r="K377" s="128">
        <f t="shared" si="67"/>
        <v>10397.216330490521</v>
      </c>
      <c r="L377" s="125">
        <v>1627726.5084831929</v>
      </c>
      <c r="M377" s="126">
        <f t="shared" si="57"/>
        <v>417.85367199272042</v>
      </c>
      <c r="N377" s="126">
        <f t="shared" si="68"/>
        <v>42679549.829083152</v>
      </c>
      <c r="O377" s="126">
        <f t="shared" si="68"/>
        <v>10815.07000248324</v>
      </c>
      <c r="P377" s="118">
        <v>28506026.103783291</v>
      </c>
      <c r="Q377" s="126">
        <f t="shared" si="58"/>
        <v>7217.4407492168912</v>
      </c>
      <c r="R377" s="95">
        <v>0</v>
      </c>
      <c r="S377" s="126">
        <f t="shared" si="59"/>
        <v>0</v>
      </c>
      <c r="T377" s="95">
        <v>0</v>
      </c>
      <c r="U377" s="126">
        <f t="shared" si="60"/>
        <v>0</v>
      </c>
      <c r="V377" s="129"/>
      <c r="W377" s="129"/>
      <c r="X377" s="130">
        <f t="shared" si="61"/>
        <v>28506026.103783291</v>
      </c>
      <c r="Y377" s="130">
        <f t="shared" si="62"/>
        <v>7217.4407492168912</v>
      </c>
      <c r="Z377" s="129"/>
      <c r="AA377" s="129"/>
      <c r="AB377" s="131">
        <f t="shared" si="63"/>
        <v>2566699.2209318457</v>
      </c>
      <c r="AC377" s="132">
        <f t="shared" si="64"/>
        <v>658.89735700541405</v>
      </c>
      <c r="AD377" s="132">
        <f t="shared" si="65"/>
        <v>68618876.711934596</v>
      </c>
      <c r="AE377" s="132">
        <f t="shared" si="66"/>
        <v>17373.613394694719</v>
      </c>
      <c r="AF377" s="133">
        <f t="shared" si="69"/>
        <v>71185575.932866439</v>
      </c>
      <c r="AG377" s="134">
        <f t="shared" si="69"/>
        <v>18032.510751700134</v>
      </c>
      <c r="AH377" s="1804"/>
      <c r="AI377" s="1804"/>
      <c r="AJ377" s="1804"/>
      <c r="AK377" s="1804"/>
      <c r="AL377" s="1804"/>
      <c r="AM377" s="1804"/>
      <c r="AN377" s="1804"/>
      <c r="AO377" s="1804"/>
      <c r="AP377" s="1804"/>
      <c r="AQ377" s="1804"/>
      <c r="AR377" s="1804"/>
      <c r="AS377" s="1804"/>
      <c r="AT377" s="1804"/>
      <c r="AU377" s="1804"/>
      <c r="AV377" s="1804"/>
      <c r="AW377" s="1804"/>
      <c r="AX377" s="1804"/>
      <c r="AY377" s="1804"/>
      <c r="AZ377" s="1804"/>
      <c r="BA377" s="1804"/>
      <c r="BB377" s="1804"/>
      <c r="BC377" s="1804"/>
      <c r="BD377" s="1804"/>
      <c r="BE377" s="1804"/>
      <c r="BF377" s="1804"/>
      <c r="BG377" s="1804"/>
      <c r="BH377" s="1804"/>
      <c r="BI377" s="1804"/>
      <c r="BJ377" s="1804"/>
      <c r="BK377" s="1804"/>
      <c r="BL377" s="1804"/>
      <c r="BM377" s="1804"/>
      <c r="BN377" s="1804"/>
      <c r="BO377" s="1804"/>
      <c r="BP377" s="1804"/>
      <c r="BQ377" s="1804"/>
      <c r="BR377" s="1804"/>
      <c r="BS377" s="1804"/>
      <c r="BT377" s="1804"/>
      <c r="BU377" s="1804"/>
      <c r="BV377" s="1804"/>
      <c r="BW377" s="1804"/>
      <c r="BX377" s="1804"/>
      <c r="BY377" s="1804"/>
      <c r="BZ377" s="1804"/>
      <c r="CA377" s="1804"/>
      <c r="CB377" s="1804"/>
      <c r="CC377" s="1804"/>
      <c r="CD377" s="1804"/>
      <c r="CE377" s="1804"/>
      <c r="CF377" s="1804"/>
      <c r="CG377" s="1804"/>
      <c r="CH377" s="1804"/>
      <c r="CI377" s="1804"/>
      <c r="CJ377" s="1804"/>
      <c r="CK377" s="1804"/>
      <c r="CL377" s="1804"/>
      <c r="CM377" s="1804"/>
      <c r="CN377" s="1804"/>
      <c r="CO377" s="1804"/>
      <c r="CP377" s="1804"/>
      <c r="CQ377" s="1804"/>
      <c r="CR377" s="1804"/>
      <c r="CS377" s="1804"/>
      <c r="CT377" s="1804"/>
      <c r="CU377" s="1804"/>
      <c r="CV377" s="1804"/>
      <c r="CW377" s="1804"/>
      <c r="CX377" s="1804"/>
      <c r="CY377" s="1804"/>
      <c r="CZ377" s="1804"/>
      <c r="DA377" s="1804"/>
      <c r="DB377" s="1804"/>
      <c r="DC377" s="1804"/>
      <c r="DD377" s="1804"/>
      <c r="DE377" s="1804"/>
      <c r="DF377" s="1804"/>
      <c r="DG377" s="1804"/>
      <c r="DH377" s="1804"/>
      <c r="DI377" s="1804"/>
      <c r="DJ377" s="1804"/>
      <c r="DK377" s="1804"/>
      <c r="DL377" s="1804"/>
      <c r="DM377" s="1804"/>
      <c r="DN377" s="1804"/>
      <c r="DO377" s="1804"/>
      <c r="DP377" s="1804"/>
      <c r="DQ377" s="1804"/>
      <c r="DR377" s="1804"/>
      <c r="DS377" s="1804"/>
      <c r="DT377" s="1804"/>
      <c r="DU377" s="1804"/>
      <c r="DV377" s="1804"/>
      <c r="DW377" s="1804"/>
      <c r="DX377" s="1804"/>
      <c r="DY377" s="1804"/>
      <c r="DZ377" s="1804"/>
      <c r="EA377" s="1804"/>
      <c r="EB377" s="1804"/>
      <c r="EC377" s="1804"/>
      <c r="ED377" s="1804"/>
      <c r="EE377" s="1804"/>
      <c r="EF377" s="1804"/>
      <c r="EG377" s="1804"/>
      <c r="EH377" s="1804"/>
      <c r="EI377" s="1804"/>
      <c r="EJ377" s="1804"/>
      <c r="EK377" s="1804"/>
      <c r="EL377" s="1804"/>
      <c r="EM377" s="1804"/>
      <c r="EN377" s="1804"/>
      <c r="EO377" s="1804"/>
      <c r="EP377" s="1804"/>
      <c r="EQ377" s="1804"/>
      <c r="ER377" s="1804"/>
      <c r="ES377" s="1804"/>
      <c r="ET377" s="1804"/>
      <c r="EU377" s="1804"/>
      <c r="EV377" s="1804"/>
      <c r="EW377" s="1804"/>
      <c r="EX377" s="1804"/>
      <c r="EY377" s="1804"/>
      <c r="EZ377" s="1804"/>
      <c r="FA377" s="1804"/>
      <c r="FB377" s="1804"/>
      <c r="FC377" s="1804"/>
      <c r="FD377" s="1804"/>
      <c r="FE377" s="1804"/>
      <c r="FF377" s="1804"/>
      <c r="FG377" s="1804"/>
      <c r="FH377" s="1804"/>
      <c r="FI377" s="1804"/>
      <c r="FJ377" s="1804"/>
      <c r="FK377" s="1804"/>
      <c r="FL377" s="1804"/>
      <c r="FM377" s="1804"/>
      <c r="FN377" s="1804"/>
      <c r="FO377" s="1804"/>
      <c r="FP377" s="1804"/>
      <c r="FQ377" s="1804"/>
      <c r="FR377" s="1804"/>
      <c r="FS377" s="1804"/>
      <c r="FT377" s="1804"/>
      <c r="FU377" s="1804"/>
      <c r="FV377" s="1804"/>
      <c r="FW377" s="1804"/>
      <c r="FX377" s="1804"/>
      <c r="FY377" s="1804"/>
      <c r="FZ377" s="1804"/>
      <c r="GA377" s="1804"/>
      <c r="GB377" s="1804"/>
      <c r="GC377" s="1804"/>
      <c r="GD377" s="1804"/>
      <c r="GE377" s="1804"/>
      <c r="GF377" s="1804"/>
      <c r="GG377" s="1804"/>
      <c r="GH377" s="1804"/>
      <c r="GI377" s="1804"/>
      <c r="GJ377" s="1804"/>
      <c r="GK377" s="1804"/>
      <c r="GL377" s="1804"/>
      <c r="GM377" s="1804"/>
      <c r="GN377" s="1804"/>
      <c r="GO377" s="1804"/>
      <c r="GP377" s="1804"/>
      <c r="GQ377" s="1804"/>
      <c r="GR377" s="1804"/>
      <c r="GS377" s="1804"/>
      <c r="GT377" s="1804"/>
      <c r="GU377" s="1804"/>
      <c r="GV377" s="1804"/>
      <c r="GW377" s="1804"/>
      <c r="GX377" s="1804"/>
      <c r="GY377" s="1804"/>
      <c r="GZ377" s="1804"/>
      <c r="HA377" s="1804"/>
      <c r="HB377" s="1804"/>
      <c r="HC377" s="1804"/>
      <c r="HD377" s="1804"/>
      <c r="HE377" s="1804"/>
      <c r="HF377" s="1804"/>
      <c r="HG377" s="1804"/>
      <c r="HH377" s="1804"/>
      <c r="HI377" s="1804"/>
      <c r="HJ377" s="1804"/>
      <c r="HK377" s="1804"/>
      <c r="HL377" s="1804"/>
      <c r="HM377" s="1804"/>
      <c r="HN377" s="1804"/>
      <c r="HO377" s="1804"/>
      <c r="HP377" s="1804"/>
      <c r="HQ377" s="1804"/>
      <c r="HR377" s="1804"/>
      <c r="HS377" s="1804"/>
      <c r="HT377" s="1804"/>
      <c r="HU377" s="1804"/>
      <c r="HV377" s="1804"/>
      <c r="HW377" s="1804"/>
      <c r="HX377" s="1804"/>
      <c r="HY377" s="1804"/>
      <c r="HZ377" s="1804"/>
      <c r="IA377" s="1804"/>
      <c r="IB377" s="1804"/>
      <c r="IC377" s="1804"/>
      <c r="ID377" s="1804"/>
      <c r="IE377" s="1804"/>
      <c r="IF377" s="1804"/>
      <c r="IG377" s="1804"/>
      <c r="IH377" s="1804"/>
      <c r="II377" s="1804"/>
      <c r="IJ377" s="1804"/>
      <c r="IK377" s="1804"/>
      <c r="IL377" s="1804"/>
      <c r="IM377" s="1804"/>
      <c r="IN377" s="1804"/>
      <c r="IO377" s="1804"/>
      <c r="IP377" s="1804"/>
      <c r="IQ377" s="1804"/>
      <c r="IR377" s="1804"/>
      <c r="IS377" s="1804"/>
      <c r="IT377" s="1804"/>
      <c r="IU377" s="1804"/>
      <c r="IV377" s="1804"/>
      <c r="IW377" s="1804"/>
      <c r="IX377" s="1804"/>
      <c r="IY377" s="1804"/>
    </row>
    <row r="378" spans="3:259" s="888" customFormat="1" x14ac:dyDescent="0.45">
      <c r="C378" s="67" t="s">
        <v>556</v>
      </c>
      <c r="D378" s="68" t="s">
        <v>659</v>
      </c>
      <c r="E378" s="69"/>
      <c r="F378" s="125">
        <v>0</v>
      </c>
      <c r="G378" s="126">
        <f t="shared" si="55"/>
        <v>0</v>
      </c>
      <c r="H378" s="118">
        <v>9443132.0365552548</v>
      </c>
      <c r="I378" s="127">
        <f t="shared" si="56"/>
        <v>2390.9066003354246</v>
      </c>
      <c r="J378" s="121">
        <f t="shared" si="67"/>
        <v>9443132.0365552548</v>
      </c>
      <c r="K378" s="128">
        <f t="shared" si="67"/>
        <v>2390.9066003354246</v>
      </c>
      <c r="L378" s="125">
        <v>0</v>
      </c>
      <c r="M378" s="126">
        <f t="shared" si="57"/>
        <v>0</v>
      </c>
      <c r="N378" s="126">
        <f t="shared" si="68"/>
        <v>9443132.0365552548</v>
      </c>
      <c r="O378" s="126">
        <f t="shared" si="68"/>
        <v>2390.9066003354246</v>
      </c>
      <c r="P378" s="118">
        <v>0</v>
      </c>
      <c r="Q378" s="126">
        <f t="shared" si="58"/>
        <v>0</v>
      </c>
      <c r="R378" s="95">
        <v>0</v>
      </c>
      <c r="S378" s="126">
        <f t="shared" si="59"/>
        <v>0</v>
      </c>
      <c r="T378" s="95">
        <v>765927.50115074229</v>
      </c>
      <c r="U378" s="126">
        <f t="shared" si="60"/>
        <v>193.92518401635641</v>
      </c>
      <c r="V378" s="129"/>
      <c r="W378" s="129"/>
      <c r="X378" s="130">
        <f t="shared" si="61"/>
        <v>765927.50115074229</v>
      </c>
      <c r="Y378" s="130">
        <f t="shared" si="62"/>
        <v>193.92518401635641</v>
      </c>
      <c r="Z378" s="129"/>
      <c r="AA378" s="129"/>
      <c r="AB378" s="131">
        <f t="shared" si="63"/>
        <v>0</v>
      </c>
      <c r="AC378" s="132">
        <f t="shared" si="64"/>
        <v>0</v>
      </c>
      <c r="AD378" s="132">
        <f t="shared" si="65"/>
        <v>10209059.537705997</v>
      </c>
      <c r="AE378" s="132">
        <f t="shared" si="66"/>
        <v>2584.8317843517812</v>
      </c>
      <c r="AF378" s="133">
        <f t="shared" si="69"/>
        <v>10209059.537705997</v>
      </c>
      <c r="AG378" s="134">
        <f t="shared" si="69"/>
        <v>2584.8317843517812</v>
      </c>
      <c r="AH378" s="1804"/>
      <c r="AI378" s="1804"/>
      <c r="AJ378" s="1804"/>
      <c r="AK378" s="1804"/>
      <c r="AL378" s="1804"/>
      <c r="AM378" s="1804"/>
      <c r="AN378" s="1804"/>
      <c r="AO378" s="1804"/>
      <c r="AP378" s="1804"/>
      <c r="AQ378" s="1804"/>
      <c r="AR378" s="1804"/>
      <c r="AS378" s="1804"/>
      <c r="AT378" s="1804"/>
      <c r="AU378" s="1804"/>
      <c r="AV378" s="1804"/>
      <c r="AW378" s="1804"/>
      <c r="AX378" s="1804"/>
      <c r="AY378" s="1804"/>
      <c r="AZ378" s="1804"/>
      <c r="BA378" s="1804"/>
      <c r="BB378" s="1804"/>
      <c r="BC378" s="1804"/>
      <c r="BD378" s="1804"/>
      <c r="BE378" s="1804"/>
      <c r="BF378" s="1804"/>
      <c r="BG378" s="1804"/>
      <c r="BH378" s="1804"/>
      <c r="BI378" s="1804"/>
      <c r="BJ378" s="1804"/>
      <c r="BK378" s="1804"/>
      <c r="BL378" s="1804"/>
      <c r="BM378" s="1804"/>
      <c r="BN378" s="1804"/>
      <c r="BO378" s="1804"/>
      <c r="BP378" s="1804"/>
      <c r="BQ378" s="1804"/>
      <c r="BR378" s="1804"/>
      <c r="BS378" s="1804"/>
      <c r="BT378" s="1804"/>
      <c r="BU378" s="1804"/>
      <c r="BV378" s="1804"/>
      <c r="BW378" s="1804"/>
      <c r="BX378" s="1804"/>
      <c r="BY378" s="1804"/>
      <c r="BZ378" s="1804"/>
      <c r="CA378" s="1804"/>
      <c r="CB378" s="1804"/>
      <c r="CC378" s="1804"/>
      <c r="CD378" s="1804"/>
      <c r="CE378" s="1804"/>
      <c r="CF378" s="1804"/>
      <c r="CG378" s="1804"/>
      <c r="CH378" s="1804"/>
      <c r="CI378" s="1804"/>
      <c r="CJ378" s="1804"/>
      <c r="CK378" s="1804"/>
      <c r="CL378" s="1804"/>
      <c r="CM378" s="1804"/>
      <c r="CN378" s="1804"/>
      <c r="CO378" s="1804"/>
      <c r="CP378" s="1804"/>
      <c r="CQ378" s="1804"/>
      <c r="CR378" s="1804"/>
      <c r="CS378" s="1804"/>
      <c r="CT378" s="1804"/>
      <c r="CU378" s="1804"/>
      <c r="CV378" s="1804"/>
      <c r="CW378" s="1804"/>
      <c r="CX378" s="1804"/>
      <c r="CY378" s="1804"/>
      <c r="CZ378" s="1804"/>
      <c r="DA378" s="1804"/>
      <c r="DB378" s="1804"/>
      <c r="DC378" s="1804"/>
      <c r="DD378" s="1804"/>
      <c r="DE378" s="1804"/>
      <c r="DF378" s="1804"/>
      <c r="DG378" s="1804"/>
      <c r="DH378" s="1804"/>
      <c r="DI378" s="1804"/>
      <c r="DJ378" s="1804"/>
      <c r="DK378" s="1804"/>
      <c r="DL378" s="1804"/>
      <c r="DM378" s="1804"/>
      <c r="DN378" s="1804"/>
      <c r="DO378" s="1804"/>
      <c r="DP378" s="1804"/>
      <c r="DQ378" s="1804"/>
      <c r="DR378" s="1804"/>
      <c r="DS378" s="1804"/>
      <c r="DT378" s="1804"/>
      <c r="DU378" s="1804"/>
      <c r="DV378" s="1804"/>
      <c r="DW378" s="1804"/>
      <c r="DX378" s="1804"/>
      <c r="DY378" s="1804"/>
      <c r="DZ378" s="1804"/>
      <c r="EA378" s="1804"/>
      <c r="EB378" s="1804"/>
      <c r="EC378" s="1804"/>
      <c r="ED378" s="1804"/>
      <c r="EE378" s="1804"/>
      <c r="EF378" s="1804"/>
      <c r="EG378" s="1804"/>
      <c r="EH378" s="1804"/>
      <c r="EI378" s="1804"/>
      <c r="EJ378" s="1804"/>
      <c r="EK378" s="1804"/>
      <c r="EL378" s="1804"/>
      <c r="EM378" s="1804"/>
      <c r="EN378" s="1804"/>
      <c r="EO378" s="1804"/>
      <c r="EP378" s="1804"/>
      <c r="EQ378" s="1804"/>
      <c r="ER378" s="1804"/>
      <c r="ES378" s="1804"/>
      <c r="ET378" s="1804"/>
      <c r="EU378" s="1804"/>
      <c r="EV378" s="1804"/>
      <c r="EW378" s="1804"/>
      <c r="EX378" s="1804"/>
      <c r="EY378" s="1804"/>
      <c r="EZ378" s="1804"/>
      <c r="FA378" s="1804"/>
      <c r="FB378" s="1804"/>
      <c r="FC378" s="1804"/>
      <c r="FD378" s="1804"/>
      <c r="FE378" s="1804"/>
      <c r="FF378" s="1804"/>
      <c r="FG378" s="1804"/>
      <c r="FH378" s="1804"/>
      <c r="FI378" s="1804"/>
      <c r="FJ378" s="1804"/>
      <c r="FK378" s="1804"/>
      <c r="FL378" s="1804"/>
      <c r="FM378" s="1804"/>
      <c r="FN378" s="1804"/>
      <c r="FO378" s="1804"/>
      <c r="FP378" s="1804"/>
      <c r="FQ378" s="1804"/>
      <c r="FR378" s="1804"/>
      <c r="FS378" s="1804"/>
      <c r="FT378" s="1804"/>
      <c r="FU378" s="1804"/>
      <c r="FV378" s="1804"/>
      <c r="FW378" s="1804"/>
      <c r="FX378" s="1804"/>
      <c r="FY378" s="1804"/>
      <c r="FZ378" s="1804"/>
      <c r="GA378" s="1804"/>
      <c r="GB378" s="1804"/>
      <c r="GC378" s="1804"/>
      <c r="GD378" s="1804"/>
      <c r="GE378" s="1804"/>
      <c r="GF378" s="1804"/>
      <c r="GG378" s="1804"/>
      <c r="GH378" s="1804"/>
      <c r="GI378" s="1804"/>
      <c r="GJ378" s="1804"/>
      <c r="GK378" s="1804"/>
      <c r="GL378" s="1804"/>
      <c r="GM378" s="1804"/>
      <c r="GN378" s="1804"/>
      <c r="GO378" s="1804"/>
      <c r="GP378" s="1804"/>
      <c r="GQ378" s="1804"/>
      <c r="GR378" s="1804"/>
      <c r="GS378" s="1804"/>
      <c r="GT378" s="1804"/>
      <c r="GU378" s="1804"/>
      <c r="GV378" s="1804"/>
      <c r="GW378" s="1804"/>
      <c r="GX378" s="1804"/>
      <c r="GY378" s="1804"/>
      <c r="GZ378" s="1804"/>
      <c r="HA378" s="1804"/>
      <c r="HB378" s="1804"/>
      <c r="HC378" s="1804"/>
      <c r="HD378" s="1804"/>
      <c r="HE378" s="1804"/>
      <c r="HF378" s="1804"/>
      <c r="HG378" s="1804"/>
      <c r="HH378" s="1804"/>
      <c r="HI378" s="1804"/>
      <c r="HJ378" s="1804"/>
      <c r="HK378" s="1804"/>
      <c r="HL378" s="1804"/>
      <c r="HM378" s="1804"/>
      <c r="HN378" s="1804"/>
      <c r="HO378" s="1804"/>
      <c r="HP378" s="1804"/>
      <c r="HQ378" s="1804"/>
      <c r="HR378" s="1804"/>
      <c r="HS378" s="1804"/>
      <c r="HT378" s="1804"/>
      <c r="HU378" s="1804"/>
      <c r="HV378" s="1804"/>
      <c r="HW378" s="1804"/>
      <c r="HX378" s="1804"/>
      <c r="HY378" s="1804"/>
      <c r="HZ378" s="1804"/>
      <c r="IA378" s="1804"/>
      <c r="IB378" s="1804"/>
      <c r="IC378" s="1804"/>
      <c r="ID378" s="1804"/>
      <c r="IE378" s="1804"/>
      <c r="IF378" s="1804"/>
      <c r="IG378" s="1804"/>
      <c r="IH378" s="1804"/>
      <c r="II378" s="1804"/>
      <c r="IJ378" s="1804"/>
      <c r="IK378" s="1804"/>
      <c r="IL378" s="1804"/>
      <c r="IM378" s="1804"/>
      <c r="IN378" s="1804"/>
      <c r="IO378" s="1804"/>
      <c r="IP378" s="1804"/>
      <c r="IQ378" s="1804"/>
      <c r="IR378" s="1804"/>
      <c r="IS378" s="1804"/>
      <c r="IT378" s="1804"/>
      <c r="IU378" s="1804"/>
      <c r="IV378" s="1804"/>
      <c r="IW378" s="1804"/>
      <c r="IX378" s="1804"/>
      <c r="IY378" s="1804"/>
    </row>
    <row r="379" spans="3:259" s="888" customFormat="1" x14ac:dyDescent="0.45">
      <c r="C379" s="67" t="s">
        <v>557</v>
      </c>
      <c r="D379" s="68" t="s">
        <v>660</v>
      </c>
      <c r="E379" s="69"/>
      <c r="F379" s="125">
        <v>0</v>
      </c>
      <c r="G379" s="126">
        <f t="shared" si="55"/>
        <v>0</v>
      </c>
      <c r="H379" s="118">
        <v>23018018.773249779</v>
      </c>
      <c r="I379" s="127">
        <f t="shared" si="56"/>
        <v>5827.9321731991104</v>
      </c>
      <c r="J379" s="121">
        <f t="shared" si="67"/>
        <v>23018018.773249779</v>
      </c>
      <c r="K379" s="128">
        <f t="shared" si="67"/>
        <v>5827.9321731991104</v>
      </c>
      <c r="L379" s="125">
        <v>6945.5872265469434</v>
      </c>
      <c r="M379" s="126">
        <f t="shared" si="57"/>
        <v>1.7830016969268656</v>
      </c>
      <c r="N379" s="126">
        <f t="shared" si="68"/>
        <v>23024964.360476326</v>
      </c>
      <c r="O379" s="126">
        <f t="shared" si="68"/>
        <v>5829.7151748960368</v>
      </c>
      <c r="P379" s="118">
        <v>47990868.784876391</v>
      </c>
      <c r="Q379" s="126">
        <f t="shared" si="58"/>
        <v>12150.808067642853</v>
      </c>
      <c r="R379" s="95">
        <v>24991271.036433551</v>
      </c>
      <c r="S379" s="126">
        <f t="shared" si="59"/>
        <v>6327.5399137146105</v>
      </c>
      <c r="T379" s="95">
        <v>0</v>
      </c>
      <c r="U379" s="126">
        <f t="shared" si="60"/>
        <v>0</v>
      </c>
      <c r="V379" s="129"/>
      <c r="W379" s="129"/>
      <c r="X379" s="130">
        <f t="shared" si="61"/>
        <v>72982139.821309939</v>
      </c>
      <c r="Y379" s="130">
        <f t="shared" si="62"/>
        <v>18478.347981357463</v>
      </c>
      <c r="Z379" s="129"/>
      <c r="AA379" s="129"/>
      <c r="AB379" s="131">
        <f t="shared" si="63"/>
        <v>6945.5872265469434</v>
      </c>
      <c r="AC379" s="132">
        <f t="shared" si="64"/>
        <v>1.7830016969268656</v>
      </c>
      <c r="AD379" s="132">
        <f t="shared" si="65"/>
        <v>96000158.594559714</v>
      </c>
      <c r="AE379" s="132">
        <f t="shared" si="66"/>
        <v>24306.280154556574</v>
      </c>
      <c r="AF379" s="133">
        <f t="shared" si="69"/>
        <v>96007104.181786254</v>
      </c>
      <c r="AG379" s="134">
        <f t="shared" si="69"/>
        <v>24308.063156253502</v>
      </c>
      <c r="AH379" s="1804"/>
      <c r="AI379" s="1804"/>
      <c r="AJ379" s="1804"/>
      <c r="AK379" s="1804"/>
      <c r="AL379" s="1804"/>
      <c r="AM379" s="1804"/>
      <c r="AN379" s="1804"/>
      <c r="AO379" s="1804"/>
      <c r="AP379" s="1804"/>
      <c r="AQ379" s="1804"/>
      <c r="AR379" s="1804"/>
      <c r="AS379" s="1804"/>
      <c r="AT379" s="1804"/>
      <c r="AU379" s="1804"/>
      <c r="AV379" s="1804"/>
      <c r="AW379" s="1804"/>
      <c r="AX379" s="1804"/>
      <c r="AY379" s="1804"/>
      <c r="AZ379" s="1804"/>
      <c r="BA379" s="1804"/>
      <c r="BB379" s="1804"/>
      <c r="BC379" s="1804"/>
      <c r="BD379" s="1804"/>
      <c r="BE379" s="1804"/>
      <c r="BF379" s="1804"/>
      <c r="BG379" s="1804"/>
      <c r="BH379" s="1804"/>
      <c r="BI379" s="1804"/>
      <c r="BJ379" s="1804"/>
      <c r="BK379" s="1804"/>
      <c r="BL379" s="1804"/>
      <c r="BM379" s="1804"/>
      <c r="BN379" s="1804"/>
      <c r="BO379" s="1804"/>
      <c r="BP379" s="1804"/>
      <c r="BQ379" s="1804"/>
      <c r="BR379" s="1804"/>
      <c r="BS379" s="1804"/>
      <c r="BT379" s="1804"/>
      <c r="BU379" s="1804"/>
      <c r="BV379" s="1804"/>
      <c r="BW379" s="1804"/>
      <c r="BX379" s="1804"/>
      <c r="BY379" s="1804"/>
      <c r="BZ379" s="1804"/>
      <c r="CA379" s="1804"/>
      <c r="CB379" s="1804"/>
      <c r="CC379" s="1804"/>
      <c r="CD379" s="1804"/>
      <c r="CE379" s="1804"/>
      <c r="CF379" s="1804"/>
      <c r="CG379" s="1804"/>
      <c r="CH379" s="1804"/>
      <c r="CI379" s="1804"/>
      <c r="CJ379" s="1804"/>
      <c r="CK379" s="1804"/>
      <c r="CL379" s="1804"/>
      <c r="CM379" s="1804"/>
      <c r="CN379" s="1804"/>
      <c r="CO379" s="1804"/>
      <c r="CP379" s="1804"/>
      <c r="CQ379" s="1804"/>
      <c r="CR379" s="1804"/>
      <c r="CS379" s="1804"/>
      <c r="CT379" s="1804"/>
      <c r="CU379" s="1804"/>
      <c r="CV379" s="1804"/>
      <c r="CW379" s="1804"/>
      <c r="CX379" s="1804"/>
      <c r="CY379" s="1804"/>
      <c r="CZ379" s="1804"/>
      <c r="DA379" s="1804"/>
      <c r="DB379" s="1804"/>
      <c r="DC379" s="1804"/>
      <c r="DD379" s="1804"/>
      <c r="DE379" s="1804"/>
      <c r="DF379" s="1804"/>
      <c r="DG379" s="1804"/>
      <c r="DH379" s="1804"/>
      <c r="DI379" s="1804"/>
      <c r="DJ379" s="1804"/>
      <c r="DK379" s="1804"/>
      <c r="DL379" s="1804"/>
      <c r="DM379" s="1804"/>
      <c r="DN379" s="1804"/>
      <c r="DO379" s="1804"/>
      <c r="DP379" s="1804"/>
      <c r="DQ379" s="1804"/>
      <c r="DR379" s="1804"/>
      <c r="DS379" s="1804"/>
      <c r="DT379" s="1804"/>
      <c r="DU379" s="1804"/>
      <c r="DV379" s="1804"/>
      <c r="DW379" s="1804"/>
      <c r="DX379" s="1804"/>
      <c r="DY379" s="1804"/>
      <c r="DZ379" s="1804"/>
      <c r="EA379" s="1804"/>
      <c r="EB379" s="1804"/>
      <c r="EC379" s="1804"/>
      <c r="ED379" s="1804"/>
      <c r="EE379" s="1804"/>
      <c r="EF379" s="1804"/>
      <c r="EG379" s="1804"/>
      <c r="EH379" s="1804"/>
      <c r="EI379" s="1804"/>
      <c r="EJ379" s="1804"/>
      <c r="EK379" s="1804"/>
      <c r="EL379" s="1804"/>
      <c r="EM379" s="1804"/>
      <c r="EN379" s="1804"/>
      <c r="EO379" s="1804"/>
      <c r="EP379" s="1804"/>
      <c r="EQ379" s="1804"/>
      <c r="ER379" s="1804"/>
      <c r="ES379" s="1804"/>
      <c r="ET379" s="1804"/>
      <c r="EU379" s="1804"/>
      <c r="EV379" s="1804"/>
      <c r="EW379" s="1804"/>
      <c r="EX379" s="1804"/>
      <c r="EY379" s="1804"/>
      <c r="EZ379" s="1804"/>
      <c r="FA379" s="1804"/>
      <c r="FB379" s="1804"/>
      <c r="FC379" s="1804"/>
      <c r="FD379" s="1804"/>
      <c r="FE379" s="1804"/>
      <c r="FF379" s="1804"/>
      <c r="FG379" s="1804"/>
      <c r="FH379" s="1804"/>
      <c r="FI379" s="1804"/>
      <c r="FJ379" s="1804"/>
      <c r="FK379" s="1804"/>
      <c r="FL379" s="1804"/>
      <c r="FM379" s="1804"/>
      <c r="FN379" s="1804"/>
      <c r="FO379" s="1804"/>
      <c r="FP379" s="1804"/>
      <c r="FQ379" s="1804"/>
      <c r="FR379" s="1804"/>
      <c r="FS379" s="1804"/>
      <c r="FT379" s="1804"/>
      <c r="FU379" s="1804"/>
      <c r="FV379" s="1804"/>
      <c r="FW379" s="1804"/>
      <c r="FX379" s="1804"/>
      <c r="FY379" s="1804"/>
      <c r="FZ379" s="1804"/>
      <c r="GA379" s="1804"/>
      <c r="GB379" s="1804"/>
      <c r="GC379" s="1804"/>
      <c r="GD379" s="1804"/>
      <c r="GE379" s="1804"/>
      <c r="GF379" s="1804"/>
      <c r="GG379" s="1804"/>
      <c r="GH379" s="1804"/>
      <c r="GI379" s="1804"/>
      <c r="GJ379" s="1804"/>
      <c r="GK379" s="1804"/>
      <c r="GL379" s="1804"/>
      <c r="GM379" s="1804"/>
      <c r="GN379" s="1804"/>
      <c r="GO379" s="1804"/>
      <c r="GP379" s="1804"/>
      <c r="GQ379" s="1804"/>
      <c r="GR379" s="1804"/>
      <c r="GS379" s="1804"/>
      <c r="GT379" s="1804"/>
      <c r="GU379" s="1804"/>
      <c r="GV379" s="1804"/>
      <c r="GW379" s="1804"/>
      <c r="GX379" s="1804"/>
      <c r="GY379" s="1804"/>
      <c r="GZ379" s="1804"/>
      <c r="HA379" s="1804"/>
      <c r="HB379" s="1804"/>
      <c r="HC379" s="1804"/>
      <c r="HD379" s="1804"/>
      <c r="HE379" s="1804"/>
      <c r="HF379" s="1804"/>
      <c r="HG379" s="1804"/>
      <c r="HH379" s="1804"/>
      <c r="HI379" s="1804"/>
      <c r="HJ379" s="1804"/>
      <c r="HK379" s="1804"/>
      <c r="HL379" s="1804"/>
      <c r="HM379" s="1804"/>
      <c r="HN379" s="1804"/>
      <c r="HO379" s="1804"/>
      <c r="HP379" s="1804"/>
      <c r="HQ379" s="1804"/>
      <c r="HR379" s="1804"/>
      <c r="HS379" s="1804"/>
      <c r="HT379" s="1804"/>
      <c r="HU379" s="1804"/>
      <c r="HV379" s="1804"/>
      <c r="HW379" s="1804"/>
      <c r="HX379" s="1804"/>
      <c r="HY379" s="1804"/>
      <c r="HZ379" s="1804"/>
      <c r="IA379" s="1804"/>
      <c r="IB379" s="1804"/>
      <c r="IC379" s="1804"/>
      <c r="ID379" s="1804"/>
      <c r="IE379" s="1804"/>
      <c r="IF379" s="1804"/>
      <c r="IG379" s="1804"/>
      <c r="IH379" s="1804"/>
      <c r="II379" s="1804"/>
      <c r="IJ379" s="1804"/>
      <c r="IK379" s="1804"/>
      <c r="IL379" s="1804"/>
      <c r="IM379" s="1804"/>
      <c r="IN379" s="1804"/>
      <c r="IO379" s="1804"/>
      <c r="IP379" s="1804"/>
      <c r="IQ379" s="1804"/>
      <c r="IR379" s="1804"/>
      <c r="IS379" s="1804"/>
      <c r="IT379" s="1804"/>
      <c r="IU379" s="1804"/>
      <c r="IV379" s="1804"/>
      <c r="IW379" s="1804"/>
      <c r="IX379" s="1804"/>
      <c r="IY379" s="1804"/>
    </row>
    <row r="380" spans="3:259" s="888" customFormat="1" x14ac:dyDescent="0.45">
      <c r="C380" s="67" t="s">
        <v>558</v>
      </c>
      <c r="D380" s="68" t="s">
        <v>661</v>
      </c>
      <c r="E380" s="69"/>
      <c r="F380" s="125">
        <v>4600071.9960912662</v>
      </c>
      <c r="G380" s="126">
        <f t="shared" si="55"/>
        <v>1180.8844821165887</v>
      </c>
      <c r="H380" s="118">
        <v>8826331.1243964471</v>
      </c>
      <c r="I380" s="127">
        <f t="shared" si="56"/>
        <v>2234.7387773859364</v>
      </c>
      <c r="J380" s="121">
        <f t="shared" si="67"/>
        <v>13426403.120487712</v>
      </c>
      <c r="K380" s="128">
        <f t="shared" si="67"/>
        <v>3415.6232595025249</v>
      </c>
      <c r="L380" s="125">
        <v>3004241.5944787343</v>
      </c>
      <c r="M380" s="126">
        <f t="shared" si="57"/>
        <v>771.21885971863583</v>
      </c>
      <c r="N380" s="126">
        <f t="shared" si="68"/>
        <v>16430644.714966446</v>
      </c>
      <c r="O380" s="126">
        <f t="shared" si="68"/>
        <v>4186.8421192211608</v>
      </c>
      <c r="P380" s="118">
        <v>22748398.243942063</v>
      </c>
      <c r="Q380" s="126">
        <f t="shared" si="58"/>
        <v>5759.6669513836905</v>
      </c>
      <c r="R380" s="95">
        <v>0</v>
      </c>
      <c r="S380" s="126">
        <f t="shared" si="59"/>
        <v>0</v>
      </c>
      <c r="T380" s="95">
        <v>0</v>
      </c>
      <c r="U380" s="126">
        <f t="shared" si="60"/>
        <v>0</v>
      </c>
      <c r="V380" s="129"/>
      <c r="W380" s="129"/>
      <c r="X380" s="130">
        <f t="shared" si="61"/>
        <v>22748398.243942063</v>
      </c>
      <c r="Y380" s="130">
        <f t="shared" si="62"/>
        <v>5759.6669513836905</v>
      </c>
      <c r="Z380" s="129"/>
      <c r="AA380" s="129"/>
      <c r="AB380" s="131">
        <f t="shared" si="63"/>
        <v>7604313.5905700009</v>
      </c>
      <c r="AC380" s="132">
        <f t="shared" si="64"/>
        <v>1952.1033418352245</v>
      </c>
      <c r="AD380" s="132">
        <f t="shared" si="65"/>
        <v>31574729.36833851</v>
      </c>
      <c r="AE380" s="132">
        <f t="shared" si="66"/>
        <v>7994.4057287696269</v>
      </c>
      <c r="AF380" s="133">
        <f t="shared" si="69"/>
        <v>39179042.958908513</v>
      </c>
      <c r="AG380" s="134">
        <f t="shared" si="69"/>
        <v>9946.5090706048504</v>
      </c>
      <c r="AH380" s="1804"/>
      <c r="AI380" s="1804"/>
      <c r="AJ380" s="1804"/>
      <c r="AK380" s="1804"/>
      <c r="AL380" s="1804"/>
      <c r="AM380" s="1804"/>
      <c r="AN380" s="1804"/>
      <c r="AO380" s="1804"/>
      <c r="AP380" s="1804"/>
      <c r="AQ380" s="1804"/>
      <c r="AR380" s="1804"/>
      <c r="AS380" s="1804"/>
      <c r="AT380" s="1804"/>
      <c r="AU380" s="1804"/>
      <c r="AV380" s="1804"/>
      <c r="AW380" s="1804"/>
      <c r="AX380" s="1804"/>
      <c r="AY380" s="1804"/>
      <c r="AZ380" s="1804"/>
      <c r="BA380" s="1804"/>
      <c r="BB380" s="1804"/>
      <c r="BC380" s="1804"/>
      <c r="BD380" s="1804"/>
      <c r="BE380" s="1804"/>
      <c r="BF380" s="1804"/>
      <c r="BG380" s="1804"/>
      <c r="BH380" s="1804"/>
      <c r="BI380" s="1804"/>
      <c r="BJ380" s="1804"/>
      <c r="BK380" s="1804"/>
      <c r="BL380" s="1804"/>
      <c r="BM380" s="1804"/>
      <c r="BN380" s="1804"/>
      <c r="BO380" s="1804"/>
      <c r="BP380" s="1804"/>
      <c r="BQ380" s="1804"/>
      <c r="BR380" s="1804"/>
      <c r="BS380" s="1804"/>
      <c r="BT380" s="1804"/>
      <c r="BU380" s="1804"/>
      <c r="BV380" s="1804"/>
      <c r="BW380" s="1804"/>
      <c r="BX380" s="1804"/>
      <c r="BY380" s="1804"/>
      <c r="BZ380" s="1804"/>
      <c r="CA380" s="1804"/>
      <c r="CB380" s="1804"/>
      <c r="CC380" s="1804"/>
      <c r="CD380" s="1804"/>
      <c r="CE380" s="1804"/>
      <c r="CF380" s="1804"/>
      <c r="CG380" s="1804"/>
      <c r="CH380" s="1804"/>
      <c r="CI380" s="1804"/>
      <c r="CJ380" s="1804"/>
      <c r="CK380" s="1804"/>
      <c r="CL380" s="1804"/>
      <c r="CM380" s="1804"/>
      <c r="CN380" s="1804"/>
      <c r="CO380" s="1804"/>
      <c r="CP380" s="1804"/>
      <c r="CQ380" s="1804"/>
      <c r="CR380" s="1804"/>
      <c r="CS380" s="1804"/>
      <c r="CT380" s="1804"/>
      <c r="CU380" s="1804"/>
      <c r="CV380" s="1804"/>
      <c r="CW380" s="1804"/>
      <c r="CX380" s="1804"/>
      <c r="CY380" s="1804"/>
      <c r="CZ380" s="1804"/>
      <c r="DA380" s="1804"/>
      <c r="DB380" s="1804"/>
      <c r="DC380" s="1804"/>
      <c r="DD380" s="1804"/>
      <c r="DE380" s="1804"/>
      <c r="DF380" s="1804"/>
      <c r="DG380" s="1804"/>
      <c r="DH380" s="1804"/>
      <c r="DI380" s="1804"/>
      <c r="DJ380" s="1804"/>
      <c r="DK380" s="1804"/>
      <c r="DL380" s="1804"/>
      <c r="DM380" s="1804"/>
      <c r="DN380" s="1804"/>
      <c r="DO380" s="1804"/>
      <c r="DP380" s="1804"/>
      <c r="DQ380" s="1804"/>
      <c r="DR380" s="1804"/>
      <c r="DS380" s="1804"/>
      <c r="DT380" s="1804"/>
      <c r="DU380" s="1804"/>
      <c r="DV380" s="1804"/>
      <c r="DW380" s="1804"/>
      <c r="DX380" s="1804"/>
      <c r="DY380" s="1804"/>
      <c r="DZ380" s="1804"/>
      <c r="EA380" s="1804"/>
      <c r="EB380" s="1804"/>
      <c r="EC380" s="1804"/>
      <c r="ED380" s="1804"/>
      <c r="EE380" s="1804"/>
      <c r="EF380" s="1804"/>
      <c r="EG380" s="1804"/>
      <c r="EH380" s="1804"/>
      <c r="EI380" s="1804"/>
      <c r="EJ380" s="1804"/>
      <c r="EK380" s="1804"/>
      <c r="EL380" s="1804"/>
      <c r="EM380" s="1804"/>
      <c r="EN380" s="1804"/>
      <c r="EO380" s="1804"/>
      <c r="EP380" s="1804"/>
      <c r="EQ380" s="1804"/>
      <c r="ER380" s="1804"/>
      <c r="ES380" s="1804"/>
      <c r="ET380" s="1804"/>
      <c r="EU380" s="1804"/>
      <c r="EV380" s="1804"/>
      <c r="EW380" s="1804"/>
      <c r="EX380" s="1804"/>
      <c r="EY380" s="1804"/>
      <c r="EZ380" s="1804"/>
      <c r="FA380" s="1804"/>
      <c r="FB380" s="1804"/>
      <c r="FC380" s="1804"/>
      <c r="FD380" s="1804"/>
      <c r="FE380" s="1804"/>
      <c r="FF380" s="1804"/>
      <c r="FG380" s="1804"/>
      <c r="FH380" s="1804"/>
      <c r="FI380" s="1804"/>
      <c r="FJ380" s="1804"/>
      <c r="FK380" s="1804"/>
      <c r="FL380" s="1804"/>
      <c r="FM380" s="1804"/>
      <c r="FN380" s="1804"/>
      <c r="FO380" s="1804"/>
      <c r="FP380" s="1804"/>
      <c r="FQ380" s="1804"/>
      <c r="FR380" s="1804"/>
      <c r="FS380" s="1804"/>
      <c r="FT380" s="1804"/>
      <c r="FU380" s="1804"/>
      <c r="FV380" s="1804"/>
      <c r="FW380" s="1804"/>
      <c r="FX380" s="1804"/>
      <c r="FY380" s="1804"/>
      <c r="FZ380" s="1804"/>
      <c r="GA380" s="1804"/>
      <c r="GB380" s="1804"/>
      <c r="GC380" s="1804"/>
      <c r="GD380" s="1804"/>
      <c r="GE380" s="1804"/>
      <c r="GF380" s="1804"/>
      <c r="GG380" s="1804"/>
      <c r="GH380" s="1804"/>
      <c r="GI380" s="1804"/>
      <c r="GJ380" s="1804"/>
      <c r="GK380" s="1804"/>
      <c r="GL380" s="1804"/>
      <c r="GM380" s="1804"/>
      <c r="GN380" s="1804"/>
      <c r="GO380" s="1804"/>
      <c r="GP380" s="1804"/>
      <c r="GQ380" s="1804"/>
      <c r="GR380" s="1804"/>
      <c r="GS380" s="1804"/>
      <c r="GT380" s="1804"/>
      <c r="GU380" s="1804"/>
      <c r="GV380" s="1804"/>
      <c r="GW380" s="1804"/>
      <c r="GX380" s="1804"/>
      <c r="GY380" s="1804"/>
      <c r="GZ380" s="1804"/>
      <c r="HA380" s="1804"/>
      <c r="HB380" s="1804"/>
      <c r="HC380" s="1804"/>
      <c r="HD380" s="1804"/>
      <c r="HE380" s="1804"/>
      <c r="HF380" s="1804"/>
      <c r="HG380" s="1804"/>
      <c r="HH380" s="1804"/>
      <c r="HI380" s="1804"/>
      <c r="HJ380" s="1804"/>
      <c r="HK380" s="1804"/>
      <c r="HL380" s="1804"/>
      <c r="HM380" s="1804"/>
      <c r="HN380" s="1804"/>
      <c r="HO380" s="1804"/>
      <c r="HP380" s="1804"/>
      <c r="HQ380" s="1804"/>
      <c r="HR380" s="1804"/>
      <c r="HS380" s="1804"/>
      <c r="HT380" s="1804"/>
      <c r="HU380" s="1804"/>
      <c r="HV380" s="1804"/>
      <c r="HW380" s="1804"/>
      <c r="HX380" s="1804"/>
      <c r="HY380" s="1804"/>
      <c r="HZ380" s="1804"/>
      <c r="IA380" s="1804"/>
      <c r="IB380" s="1804"/>
      <c r="IC380" s="1804"/>
      <c r="ID380" s="1804"/>
      <c r="IE380" s="1804"/>
      <c r="IF380" s="1804"/>
      <c r="IG380" s="1804"/>
      <c r="IH380" s="1804"/>
      <c r="II380" s="1804"/>
      <c r="IJ380" s="1804"/>
      <c r="IK380" s="1804"/>
      <c r="IL380" s="1804"/>
      <c r="IM380" s="1804"/>
      <c r="IN380" s="1804"/>
      <c r="IO380" s="1804"/>
      <c r="IP380" s="1804"/>
      <c r="IQ380" s="1804"/>
      <c r="IR380" s="1804"/>
      <c r="IS380" s="1804"/>
      <c r="IT380" s="1804"/>
      <c r="IU380" s="1804"/>
      <c r="IV380" s="1804"/>
      <c r="IW380" s="1804"/>
      <c r="IX380" s="1804"/>
      <c r="IY380" s="1804"/>
    </row>
    <row r="381" spans="3:259" s="888" customFormat="1" x14ac:dyDescent="0.45">
      <c r="C381" s="67" t="s">
        <v>559</v>
      </c>
      <c r="D381" s="68" t="s">
        <v>662</v>
      </c>
      <c r="E381" s="69"/>
      <c r="F381" s="125">
        <v>2502765.4492197908</v>
      </c>
      <c r="G381" s="126">
        <f t="shared" si="55"/>
        <v>642.4849184692124</v>
      </c>
      <c r="H381" s="118">
        <v>73949544.067986161</v>
      </c>
      <c r="I381" s="127">
        <f t="shared" si="56"/>
        <v>18723.285062573414</v>
      </c>
      <c r="J381" s="121">
        <f t="shared" si="67"/>
        <v>76452309.517205954</v>
      </c>
      <c r="K381" s="128">
        <f t="shared" si="67"/>
        <v>19365.769981042627</v>
      </c>
      <c r="L381" s="125">
        <v>2767556.4868410644</v>
      </c>
      <c r="M381" s="126">
        <f t="shared" si="57"/>
        <v>710.45942573696959</v>
      </c>
      <c r="N381" s="126">
        <f t="shared" si="68"/>
        <v>79219866.004047021</v>
      </c>
      <c r="O381" s="126">
        <f t="shared" si="68"/>
        <v>20076.229406779596</v>
      </c>
      <c r="P381" s="118">
        <v>22801922.708593041</v>
      </c>
      <c r="Q381" s="126">
        <f t="shared" si="58"/>
        <v>5773.2188105886707</v>
      </c>
      <c r="R381" s="95">
        <v>0</v>
      </c>
      <c r="S381" s="126">
        <f t="shared" si="59"/>
        <v>0</v>
      </c>
      <c r="T381" s="95">
        <v>0</v>
      </c>
      <c r="U381" s="126">
        <f t="shared" si="60"/>
        <v>0</v>
      </c>
      <c r="V381" s="129"/>
      <c r="W381" s="129"/>
      <c r="X381" s="130">
        <f t="shared" si="61"/>
        <v>22801922.708593041</v>
      </c>
      <c r="Y381" s="130">
        <f t="shared" si="62"/>
        <v>5773.2188105886707</v>
      </c>
      <c r="Z381" s="129"/>
      <c r="AA381" s="129"/>
      <c r="AB381" s="131">
        <f t="shared" si="63"/>
        <v>5270321.9360608552</v>
      </c>
      <c r="AC381" s="132">
        <f t="shared" si="64"/>
        <v>1352.944344206182</v>
      </c>
      <c r="AD381" s="132">
        <f t="shared" si="65"/>
        <v>96751466.776579201</v>
      </c>
      <c r="AE381" s="132">
        <f t="shared" si="66"/>
        <v>24496.503873162084</v>
      </c>
      <c r="AF381" s="133">
        <f t="shared" si="69"/>
        <v>102021788.71264006</v>
      </c>
      <c r="AG381" s="134">
        <f t="shared" si="69"/>
        <v>25849.448217368266</v>
      </c>
      <c r="AH381" s="1804"/>
      <c r="AI381" s="1804"/>
      <c r="AJ381" s="1804"/>
      <c r="AK381" s="1804"/>
      <c r="AL381" s="1804"/>
      <c r="AM381" s="1804"/>
      <c r="AN381" s="1804"/>
      <c r="AO381" s="1804"/>
      <c r="AP381" s="1804"/>
      <c r="AQ381" s="1804"/>
      <c r="AR381" s="1804"/>
      <c r="AS381" s="1804"/>
      <c r="AT381" s="1804"/>
      <c r="AU381" s="1804"/>
      <c r="AV381" s="1804"/>
      <c r="AW381" s="1804"/>
      <c r="AX381" s="1804"/>
      <c r="AY381" s="1804"/>
      <c r="AZ381" s="1804"/>
      <c r="BA381" s="1804"/>
      <c r="BB381" s="1804"/>
      <c r="BC381" s="1804"/>
      <c r="BD381" s="1804"/>
      <c r="BE381" s="1804"/>
      <c r="BF381" s="1804"/>
      <c r="BG381" s="1804"/>
      <c r="BH381" s="1804"/>
      <c r="BI381" s="1804"/>
      <c r="BJ381" s="1804"/>
      <c r="BK381" s="1804"/>
      <c r="BL381" s="1804"/>
      <c r="BM381" s="1804"/>
      <c r="BN381" s="1804"/>
      <c r="BO381" s="1804"/>
      <c r="BP381" s="1804"/>
      <c r="BQ381" s="1804"/>
      <c r="BR381" s="1804"/>
      <c r="BS381" s="1804"/>
      <c r="BT381" s="1804"/>
      <c r="BU381" s="1804"/>
      <c r="BV381" s="1804"/>
      <c r="BW381" s="1804"/>
      <c r="BX381" s="1804"/>
      <c r="BY381" s="1804"/>
      <c r="BZ381" s="1804"/>
      <c r="CA381" s="1804"/>
      <c r="CB381" s="1804"/>
      <c r="CC381" s="1804"/>
      <c r="CD381" s="1804"/>
      <c r="CE381" s="1804"/>
      <c r="CF381" s="1804"/>
      <c r="CG381" s="1804"/>
      <c r="CH381" s="1804"/>
      <c r="CI381" s="1804"/>
      <c r="CJ381" s="1804"/>
      <c r="CK381" s="1804"/>
      <c r="CL381" s="1804"/>
      <c r="CM381" s="1804"/>
      <c r="CN381" s="1804"/>
      <c r="CO381" s="1804"/>
      <c r="CP381" s="1804"/>
      <c r="CQ381" s="1804"/>
      <c r="CR381" s="1804"/>
      <c r="CS381" s="1804"/>
      <c r="CT381" s="1804"/>
      <c r="CU381" s="1804"/>
      <c r="CV381" s="1804"/>
      <c r="CW381" s="1804"/>
      <c r="CX381" s="1804"/>
      <c r="CY381" s="1804"/>
      <c r="CZ381" s="1804"/>
      <c r="DA381" s="1804"/>
      <c r="DB381" s="1804"/>
      <c r="DC381" s="1804"/>
      <c r="DD381" s="1804"/>
      <c r="DE381" s="1804"/>
      <c r="DF381" s="1804"/>
      <c r="DG381" s="1804"/>
      <c r="DH381" s="1804"/>
      <c r="DI381" s="1804"/>
      <c r="DJ381" s="1804"/>
      <c r="DK381" s="1804"/>
      <c r="DL381" s="1804"/>
      <c r="DM381" s="1804"/>
      <c r="DN381" s="1804"/>
      <c r="DO381" s="1804"/>
      <c r="DP381" s="1804"/>
      <c r="DQ381" s="1804"/>
      <c r="DR381" s="1804"/>
      <c r="DS381" s="1804"/>
      <c r="DT381" s="1804"/>
      <c r="DU381" s="1804"/>
      <c r="DV381" s="1804"/>
      <c r="DW381" s="1804"/>
      <c r="DX381" s="1804"/>
      <c r="DY381" s="1804"/>
      <c r="DZ381" s="1804"/>
      <c r="EA381" s="1804"/>
      <c r="EB381" s="1804"/>
      <c r="EC381" s="1804"/>
      <c r="ED381" s="1804"/>
      <c r="EE381" s="1804"/>
      <c r="EF381" s="1804"/>
      <c r="EG381" s="1804"/>
      <c r="EH381" s="1804"/>
      <c r="EI381" s="1804"/>
      <c r="EJ381" s="1804"/>
      <c r="EK381" s="1804"/>
      <c r="EL381" s="1804"/>
      <c r="EM381" s="1804"/>
      <c r="EN381" s="1804"/>
      <c r="EO381" s="1804"/>
      <c r="EP381" s="1804"/>
      <c r="EQ381" s="1804"/>
      <c r="ER381" s="1804"/>
      <c r="ES381" s="1804"/>
      <c r="ET381" s="1804"/>
      <c r="EU381" s="1804"/>
      <c r="EV381" s="1804"/>
      <c r="EW381" s="1804"/>
      <c r="EX381" s="1804"/>
      <c r="EY381" s="1804"/>
      <c r="EZ381" s="1804"/>
      <c r="FA381" s="1804"/>
      <c r="FB381" s="1804"/>
      <c r="FC381" s="1804"/>
      <c r="FD381" s="1804"/>
      <c r="FE381" s="1804"/>
      <c r="FF381" s="1804"/>
      <c r="FG381" s="1804"/>
      <c r="FH381" s="1804"/>
      <c r="FI381" s="1804"/>
      <c r="FJ381" s="1804"/>
      <c r="FK381" s="1804"/>
      <c r="FL381" s="1804"/>
      <c r="FM381" s="1804"/>
      <c r="FN381" s="1804"/>
      <c r="FO381" s="1804"/>
      <c r="FP381" s="1804"/>
      <c r="FQ381" s="1804"/>
      <c r="FR381" s="1804"/>
      <c r="FS381" s="1804"/>
      <c r="FT381" s="1804"/>
      <c r="FU381" s="1804"/>
      <c r="FV381" s="1804"/>
      <c r="FW381" s="1804"/>
      <c r="FX381" s="1804"/>
      <c r="FY381" s="1804"/>
      <c r="FZ381" s="1804"/>
      <c r="GA381" s="1804"/>
      <c r="GB381" s="1804"/>
      <c r="GC381" s="1804"/>
      <c r="GD381" s="1804"/>
      <c r="GE381" s="1804"/>
      <c r="GF381" s="1804"/>
      <c r="GG381" s="1804"/>
      <c r="GH381" s="1804"/>
      <c r="GI381" s="1804"/>
      <c r="GJ381" s="1804"/>
      <c r="GK381" s="1804"/>
      <c r="GL381" s="1804"/>
      <c r="GM381" s="1804"/>
      <c r="GN381" s="1804"/>
      <c r="GO381" s="1804"/>
      <c r="GP381" s="1804"/>
      <c r="GQ381" s="1804"/>
      <c r="GR381" s="1804"/>
      <c r="GS381" s="1804"/>
      <c r="GT381" s="1804"/>
      <c r="GU381" s="1804"/>
      <c r="GV381" s="1804"/>
      <c r="GW381" s="1804"/>
      <c r="GX381" s="1804"/>
      <c r="GY381" s="1804"/>
      <c r="GZ381" s="1804"/>
      <c r="HA381" s="1804"/>
      <c r="HB381" s="1804"/>
      <c r="HC381" s="1804"/>
      <c r="HD381" s="1804"/>
      <c r="HE381" s="1804"/>
      <c r="HF381" s="1804"/>
      <c r="HG381" s="1804"/>
      <c r="HH381" s="1804"/>
      <c r="HI381" s="1804"/>
      <c r="HJ381" s="1804"/>
      <c r="HK381" s="1804"/>
      <c r="HL381" s="1804"/>
      <c r="HM381" s="1804"/>
      <c r="HN381" s="1804"/>
      <c r="HO381" s="1804"/>
      <c r="HP381" s="1804"/>
      <c r="HQ381" s="1804"/>
      <c r="HR381" s="1804"/>
      <c r="HS381" s="1804"/>
      <c r="HT381" s="1804"/>
      <c r="HU381" s="1804"/>
      <c r="HV381" s="1804"/>
      <c r="HW381" s="1804"/>
      <c r="HX381" s="1804"/>
      <c r="HY381" s="1804"/>
      <c r="HZ381" s="1804"/>
      <c r="IA381" s="1804"/>
      <c r="IB381" s="1804"/>
      <c r="IC381" s="1804"/>
      <c r="ID381" s="1804"/>
      <c r="IE381" s="1804"/>
      <c r="IF381" s="1804"/>
      <c r="IG381" s="1804"/>
      <c r="IH381" s="1804"/>
      <c r="II381" s="1804"/>
      <c r="IJ381" s="1804"/>
      <c r="IK381" s="1804"/>
      <c r="IL381" s="1804"/>
      <c r="IM381" s="1804"/>
      <c r="IN381" s="1804"/>
      <c r="IO381" s="1804"/>
      <c r="IP381" s="1804"/>
      <c r="IQ381" s="1804"/>
      <c r="IR381" s="1804"/>
      <c r="IS381" s="1804"/>
      <c r="IT381" s="1804"/>
      <c r="IU381" s="1804"/>
      <c r="IV381" s="1804"/>
      <c r="IW381" s="1804"/>
      <c r="IX381" s="1804"/>
      <c r="IY381" s="1804"/>
    </row>
    <row r="382" spans="3:259" s="888" customFormat="1" x14ac:dyDescent="0.45">
      <c r="C382" s="67" t="s">
        <v>560</v>
      </c>
      <c r="D382" s="68" t="s">
        <v>663</v>
      </c>
      <c r="E382" s="69"/>
      <c r="F382" s="125">
        <v>10763868.286580348</v>
      </c>
      <c r="G382" s="126">
        <f t="shared" si="55"/>
        <v>2763.192627848041</v>
      </c>
      <c r="H382" s="118">
        <v>7887740.5927335992</v>
      </c>
      <c r="I382" s="127">
        <f t="shared" si="56"/>
        <v>1997.0970406742199</v>
      </c>
      <c r="J382" s="121">
        <f t="shared" si="67"/>
        <v>18651608.879313946</v>
      </c>
      <c r="K382" s="128">
        <f t="shared" si="67"/>
        <v>4760.2896685222604</v>
      </c>
      <c r="L382" s="125">
        <v>0</v>
      </c>
      <c r="M382" s="126">
        <f t="shared" si="57"/>
        <v>0</v>
      </c>
      <c r="N382" s="126">
        <f t="shared" si="68"/>
        <v>18651608.879313946</v>
      </c>
      <c r="O382" s="126">
        <f t="shared" si="68"/>
        <v>4760.2896685222604</v>
      </c>
      <c r="P382" s="118">
        <v>148366629.02081469</v>
      </c>
      <c r="Q382" s="126">
        <f t="shared" si="58"/>
        <v>37564.946801780068</v>
      </c>
      <c r="R382" s="95">
        <v>0</v>
      </c>
      <c r="S382" s="126">
        <f t="shared" si="59"/>
        <v>0</v>
      </c>
      <c r="T382" s="95">
        <v>0</v>
      </c>
      <c r="U382" s="126">
        <f t="shared" si="60"/>
        <v>0</v>
      </c>
      <c r="V382" s="129"/>
      <c r="W382" s="129"/>
      <c r="X382" s="130">
        <f t="shared" si="61"/>
        <v>148366629.02081469</v>
      </c>
      <c r="Y382" s="130">
        <f t="shared" si="62"/>
        <v>37564.946801780068</v>
      </c>
      <c r="Z382" s="129"/>
      <c r="AA382" s="129"/>
      <c r="AB382" s="131">
        <f t="shared" si="63"/>
        <v>10763868.286580348</v>
      </c>
      <c r="AC382" s="132">
        <f t="shared" si="64"/>
        <v>2763.192627848041</v>
      </c>
      <c r="AD382" s="132">
        <f t="shared" si="65"/>
        <v>156254369.61354828</v>
      </c>
      <c r="AE382" s="132">
        <f t="shared" si="66"/>
        <v>39562.043842454288</v>
      </c>
      <c r="AF382" s="133">
        <f t="shared" si="69"/>
        <v>167018237.90012863</v>
      </c>
      <c r="AG382" s="134">
        <f t="shared" si="69"/>
        <v>42325.236470302327</v>
      </c>
      <c r="AH382" s="1804"/>
      <c r="AI382" s="1804"/>
      <c r="AJ382" s="1804"/>
      <c r="AK382" s="1804"/>
      <c r="AL382" s="1804"/>
      <c r="AM382" s="1804"/>
      <c r="AN382" s="1804"/>
      <c r="AO382" s="1804"/>
      <c r="AP382" s="1804"/>
      <c r="AQ382" s="1804"/>
      <c r="AR382" s="1804"/>
      <c r="AS382" s="1804"/>
      <c r="AT382" s="1804"/>
      <c r="AU382" s="1804"/>
      <c r="AV382" s="1804"/>
      <c r="AW382" s="1804"/>
      <c r="AX382" s="1804"/>
      <c r="AY382" s="1804"/>
      <c r="AZ382" s="1804"/>
      <c r="BA382" s="1804"/>
      <c r="BB382" s="1804"/>
      <c r="BC382" s="1804"/>
      <c r="BD382" s="1804"/>
      <c r="BE382" s="1804"/>
      <c r="BF382" s="1804"/>
      <c r="BG382" s="1804"/>
      <c r="BH382" s="1804"/>
      <c r="BI382" s="1804"/>
      <c r="BJ382" s="1804"/>
      <c r="BK382" s="1804"/>
      <c r="BL382" s="1804"/>
      <c r="BM382" s="1804"/>
      <c r="BN382" s="1804"/>
      <c r="BO382" s="1804"/>
      <c r="BP382" s="1804"/>
      <c r="BQ382" s="1804"/>
      <c r="BR382" s="1804"/>
      <c r="BS382" s="1804"/>
      <c r="BT382" s="1804"/>
      <c r="BU382" s="1804"/>
      <c r="BV382" s="1804"/>
      <c r="BW382" s="1804"/>
      <c r="BX382" s="1804"/>
      <c r="BY382" s="1804"/>
      <c r="BZ382" s="1804"/>
      <c r="CA382" s="1804"/>
      <c r="CB382" s="1804"/>
      <c r="CC382" s="1804"/>
      <c r="CD382" s="1804"/>
      <c r="CE382" s="1804"/>
      <c r="CF382" s="1804"/>
      <c r="CG382" s="1804"/>
      <c r="CH382" s="1804"/>
      <c r="CI382" s="1804"/>
      <c r="CJ382" s="1804"/>
      <c r="CK382" s="1804"/>
      <c r="CL382" s="1804"/>
      <c r="CM382" s="1804"/>
      <c r="CN382" s="1804"/>
      <c r="CO382" s="1804"/>
      <c r="CP382" s="1804"/>
      <c r="CQ382" s="1804"/>
      <c r="CR382" s="1804"/>
      <c r="CS382" s="1804"/>
      <c r="CT382" s="1804"/>
      <c r="CU382" s="1804"/>
      <c r="CV382" s="1804"/>
      <c r="CW382" s="1804"/>
      <c r="CX382" s="1804"/>
      <c r="CY382" s="1804"/>
      <c r="CZ382" s="1804"/>
      <c r="DA382" s="1804"/>
      <c r="DB382" s="1804"/>
      <c r="DC382" s="1804"/>
      <c r="DD382" s="1804"/>
      <c r="DE382" s="1804"/>
      <c r="DF382" s="1804"/>
      <c r="DG382" s="1804"/>
      <c r="DH382" s="1804"/>
      <c r="DI382" s="1804"/>
      <c r="DJ382" s="1804"/>
      <c r="DK382" s="1804"/>
      <c r="DL382" s="1804"/>
      <c r="DM382" s="1804"/>
      <c r="DN382" s="1804"/>
      <c r="DO382" s="1804"/>
      <c r="DP382" s="1804"/>
      <c r="DQ382" s="1804"/>
      <c r="DR382" s="1804"/>
      <c r="DS382" s="1804"/>
      <c r="DT382" s="1804"/>
      <c r="DU382" s="1804"/>
      <c r="DV382" s="1804"/>
      <c r="DW382" s="1804"/>
      <c r="DX382" s="1804"/>
      <c r="DY382" s="1804"/>
      <c r="DZ382" s="1804"/>
      <c r="EA382" s="1804"/>
      <c r="EB382" s="1804"/>
      <c r="EC382" s="1804"/>
      <c r="ED382" s="1804"/>
      <c r="EE382" s="1804"/>
      <c r="EF382" s="1804"/>
      <c r="EG382" s="1804"/>
      <c r="EH382" s="1804"/>
      <c r="EI382" s="1804"/>
      <c r="EJ382" s="1804"/>
      <c r="EK382" s="1804"/>
      <c r="EL382" s="1804"/>
      <c r="EM382" s="1804"/>
      <c r="EN382" s="1804"/>
      <c r="EO382" s="1804"/>
      <c r="EP382" s="1804"/>
      <c r="EQ382" s="1804"/>
      <c r="ER382" s="1804"/>
      <c r="ES382" s="1804"/>
      <c r="ET382" s="1804"/>
      <c r="EU382" s="1804"/>
      <c r="EV382" s="1804"/>
      <c r="EW382" s="1804"/>
      <c r="EX382" s="1804"/>
      <c r="EY382" s="1804"/>
      <c r="EZ382" s="1804"/>
      <c r="FA382" s="1804"/>
      <c r="FB382" s="1804"/>
      <c r="FC382" s="1804"/>
      <c r="FD382" s="1804"/>
      <c r="FE382" s="1804"/>
      <c r="FF382" s="1804"/>
      <c r="FG382" s="1804"/>
      <c r="FH382" s="1804"/>
      <c r="FI382" s="1804"/>
      <c r="FJ382" s="1804"/>
      <c r="FK382" s="1804"/>
      <c r="FL382" s="1804"/>
      <c r="FM382" s="1804"/>
      <c r="FN382" s="1804"/>
      <c r="FO382" s="1804"/>
      <c r="FP382" s="1804"/>
      <c r="FQ382" s="1804"/>
      <c r="FR382" s="1804"/>
      <c r="FS382" s="1804"/>
      <c r="FT382" s="1804"/>
      <c r="FU382" s="1804"/>
      <c r="FV382" s="1804"/>
      <c r="FW382" s="1804"/>
      <c r="FX382" s="1804"/>
      <c r="FY382" s="1804"/>
      <c r="FZ382" s="1804"/>
      <c r="GA382" s="1804"/>
      <c r="GB382" s="1804"/>
      <c r="GC382" s="1804"/>
      <c r="GD382" s="1804"/>
      <c r="GE382" s="1804"/>
      <c r="GF382" s="1804"/>
      <c r="GG382" s="1804"/>
      <c r="GH382" s="1804"/>
      <c r="GI382" s="1804"/>
      <c r="GJ382" s="1804"/>
      <c r="GK382" s="1804"/>
      <c r="GL382" s="1804"/>
      <c r="GM382" s="1804"/>
      <c r="GN382" s="1804"/>
      <c r="GO382" s="1804"/>
      <c r="GP382" s="1804"/>
      <c r="GQ382" s="1804"/>
      <c r="GR382" s="1804"/>
      <c r="GS382" s="1804"/>
      <c r="GT382" s="1804"/>
      <c r="GU382" s="1804"/>
      <c r="GV382" s="1804"/>
      <c r="GW382" s="1804"/>
      <c r="GX382" s="1804"/>
      <c r="GY382" s="1804"/>
      <c r="GZ382" s="1804"/>
      <c r="HA382" s="1804"/>
      <c r="HB382" s="1804"/>
      <c r="HC382" s="1804"/>
      <c r="HD382" s="1804"/>
      <c r="HE382" s="1804"/>
      <c r="HF382" s="1804"/>
      <c r="HG382" s="1804"/>
      <c r="HH382" s="1804"/>
      <c r="HI382" s="1804"/>
      <c r="HJ382" s="1804"/>
      <c r="HK382" s="1804"/>
      <c r="HL382" s="1804"/>
      <c r="HM382" s="1804"/>
      <c r="HN382" s="1804"/>
      <c r="HO382" s="1804"/>
      <c r="HP382" s="1804"/>
      <c r="HQ382" s="1804"/>
      <c r="HR382" s="1804"/>
      <c r="HS382" s="1804"/>
      <c r="HT382" s="1804"/>
      <c r="HU382" s="1804"/>
      <c r="HV382" s="1804"/>
      <c r="HW382" s="1804"/>
      <c r="HX382" s="1804"/>
      <c r="HY382" s="1804"/>
      <c r="HZ382" s="1804"/>
      <c r="IA382" s="1804"/>
      <c r="IB382" s="1804"/>
      <c r="IC382" s="1804"/>
      <c r="ID382" s="1804"/>
      <c r="IE382" s="1804"/>
      <c r="IF382" s="1804"/>
      <c r="IG382" s="1804"/>
      <c r="IH382" s="1804"/>
      <c r="II382" s="1804"/>
      <c r="IJ382" s="1804"/>
      <c r="IK382" s="1804"/>
      <c r="IL382" s="1804"/>
      <c r="IM382" s="1804"/>
      <c r="IN382" s="1804"/>
      <c r="IO382" s="1804"/>
      <c r="IP382" s="1804"/>
      <c r="IQ382" s="1804"/>
      <c r="IR382" s="1804"/>
      <c r="IS382" s="1804"/>
      <c r="IT382" s="1804"/>
      <c r="IU382" s="1804"/>
      <c r="IV382" s="1804"/>
      <c r="IW382" s="1804"/>
      <c r="IX382" s="1804"/>
      <c r="IY382" s="1804"/>
    </row>
    <row r="383" spans="3:259" s="888" customFormat="1" ht="14.65" thickBot="1" x14ac:dyDescent="0.5">
      <c r="C383" s="67" t="s">
        <v>664</v>
      </c>
      <c r="D383" s="135"/>
      <c r="E383" s="136"/>
      <c r="F383" s="137"/>
      <c r="G383" s="138"/>
      <c r="H383" s="139"/>
      <c r="I383" s="140"/>
      <c r="J383" s="137"/>
      <c r="K383" s="141"/>
      <c r="L383" s="142"/>
      <c r="M383" s="138"/>
      <c r="N383" s="129"/>
      <c r="O383" s="138"/>
      <c r="P383" s="140"/>
      <c r="Q383" s="129"/>
      <c r="R383" s="143"/>
      <c r="S383" s="129"/>
      <c r="T383" s="143"/>
      <c r="U383" s="129"/>
      <c r="V383" s="1347">
        <v>105055578</v>
      </c>
      <c r="W383" s="1347">
        <f>V383*(EF_CO2_ElectGen_DCI+EF_CO2_ElectTDL_DCI)*ConFact_0.001</f>
        <v>26359.495075979998</v>
      </c>
      <c r="X383" s="130">
        <f t="shared" si="61"/>
        <v>105055578</v>
      </c>
      <c r="Y383" s="130">
        <f t="shared" si="62"/>
        <v>26359.495075979998</v>
      </c>
      <c r="Z383" s="1347">
        <f>1295552*$D$468</f>
        <v>13710826.816</v>
      </c>
      <c r="AA383" s="1347">
        <f>(Z383*EF_CO2_GasOil*ConFact_0.001)+(Z383*EF_N2O_GasOil*ConFact_0.001)+(Z383*EF_CH4_GasOil*ConFact_0.001)</f>
        <v>3519.7063519353601</v>
      </c>
      <c r="AB383" s="144">
        <f t="shared" si="63"/>
        <v>13710826.816</v>
      </c>
      <c r="AC383" s="145">
        <f t="shared" si="64"/>
        <v>3519.7063519353601</v>
      </c>
      <c r="AD383" s="132">
        <f t="shared" si="65"/>
        <v>105055578</v>
      </c>
      <c r="AE383" s="132">
        <f t="shared" si="66"/>
        <v>26359.495075979998</v>
      </c>
      <c r="AF383" s="133">
        <f t="shared" si="69"/>
        <v>118766404.816</v>
      </c>
      <c r="AG383" s="134">
        <f t="shared" si="69"/>
        <v>29879.201427915359</v>
      </c>
      <c r="AH383" s="1804"/>
      <c r="AI383" s="1804"/>
      <c r="AJ383" s="1804"/>
      <c r="AK383" s="1804"/>
      <c r="AL383" s="1804"/>
      <c r="AM383" s="1804"/>
      <c r="AN383" s="1804"/>
      <c r="AO383" s="1804"/>
      <c r="AP383" s="1804"/>
      <c r="AQ383" s="1804"/>
      <c r="AR383" s="1804"/>
      <c r="AS383" s="1804"/>
      <c r="AT383" s="1804"/>
      <c r="AU383" s="1804"/>
      <c r="AV383" s="1804"/>
      <c r="AW383" s="1804"/>
      <c r="AX383" s="1804"/>
      <c r="AY383" s="1804"/>
      <c r="AZ383" s="1804"/>
      <c r="BA383" s="1804"/>
      <c r="BB383" s="1804"/>
      <c r="BC383" s="1804"/>
      <c r="BD383" s="1804"/>
      <c r="BE383" s="1804"/>
      <c r="BF383" s="1804"/>
      <c r="BG383" s="1804"/>
      <c r="BH383" s="1804"/>
      <c r="BI383" s="1804"/>
      <c r="BJ383" s="1804"/>
      <c r="BK383" s="1804"/>
      <c r="BL383" s="1804"/>
      <c r="BM383" s="1804"/>
      <c r="BN383" s="1804"/>
      <c r="BO383" s="1804"/>
      <c r="BP383" s="1804"/>
      <c r="BQ383" s="1804"/>
      <c r="BR383" s="1804"/>
      <c r="BS383" s="1804"/>
      <c r="BT383" s="1804"/>
      <c r="BU383" s="1804"/>
      <c r="BV383" s="1804"/>
      <c r="BW383" s="1804"/>
      <c r="BX383" s="1804"/>
      <c r="BY383" s="1804"/>
      <c r="BZ383" s="1804"/>
      <c r="CA383" s="1804"/>
      <c r="CB383" s="1804"/>
      <c r="CC383" s="1804"/>
      <c r="CD383" s="1804"/>
      <c r="CE383" s="1804"/>
      <c r="CF383" s="1804"/>
      <c r="CG383" s="1804"/>
      <c r="CH383" s="1804"/>
      <c r="CI383" s="1804"/>
      <c r="CJ383" s="1804"/>
      <c r="CK383" s="1804"/>
      <c r="CL383" s="1804"/>
      <c r="CM383" s="1804"/>
      <c r="CN383" s="1804"/>
      <c r="CO383" s="1804"/>
      <c r="CP383" s="1804"/>
      <c r="CQ383" s="1804"/>
      <c r="CR383" s="1804"/>
      <c r="CS383" s="1804"/>
      <c r="CT383" s="1804"/>
      <c r="CU383" s="1804"/>
      <c r="CV383" s="1804"/>
      <c r="CW383" s="1804"/>
      <c r="CX383" s="1804"/>
      <c r="CY383" s="1804"/>
      <c r="CZ383" s="1804"/>
      <c r="DA383" s="1804"/>
      <c r="DB383" s="1804"/>
      <c r="DC383" s="1804"/>
      <c r="DD383" s="1804"/>
      <c r="DE383" s="1804"/>
      <c r="DF383" s="1804"/>
      <c r="DG383" s="1804"/>
      <c r="DH383" s="1804"/>
      <c r="DI383" s="1804"/>
      <c r="DJ383" s="1804"/>
      <c r="DK383" s="1804"/>
      <c r="DL383" s="1804"/>
      <c r="DM383" s="1804"/>
      <c r="DN383" s="1804"/>
      <c r="DO383" s="1804"/>
      <c r="DP383" s="1804"/>
      <c r="DQ383" s="1804"/>
      <c r="DR383" s="1804"/>
      <c r="DS383" s="1804"/>
      <c r="DT383" s="1804"/>
      <c r="DU383" s="1804"/>
      <c r="DV383" s="1804"/>
      <c r="DW383" s="1804"/>
      <c r="DX383" s="1804"/>
      <c r="DY383" s="1804"/>
      <c r="DZ383" s="1804"/>
      <c r="EA383" s="1804"/>
      <c r="EB383" s="1804"/>
      <c r="EC383" s="1804"/>
      <c r="ED383" s="1804"/>
      <c r="EE383" s="1804"/>
      <c r="EF383" s="1804"/>
      <c r="EG383" s="1804"/>
      <c r="EH383" s="1804"/>
      <c r="EI383" s="1804"/>
      <c r="EJ383" s="1804"/>
      <c r="EK383" s="1804"/>
      <c r="EL383" s="1804"/>
      <c r="EM383" s="1804"/>
      <c r="EN383" s="1804"/>
      <c r="EO383" s="1804"/>
      <c r="EP383" s="1804"/>
      <c r="EQ383" s="1804"/>
      <c r="ER383" s="1804"/>
      <c r="ES383" s="1804"/>
      <c r="ET383" s="1804"/>
      <c r="EU383" s="1804"/>
      <c r="EV383" s="1804"/>
      <c r="EW383" s="1804"/>
      <c r="EX383" s="1804"/>
      <c r="EY383" s="1804"/>
      <c r="EZ383" s="1804"/>
      <c r="FA383" s="1804"/>
      <c r="FB383" s="1804"/>
      <c r="FC383" s="1804"/>
      <c r="FD383" s="1804"/>
      <c r="FE383" s="1804"/>
      <c r="FF383" s="1804"/>
      <c r="FG383" s="1804"/>
      <c r="FH383" s="1804"/>
      <c r="FI383" s="1804"/>
      <c r="FJ383" s="1804"/>
      <c r="FK383" s="1804"/>
      <c r="FL383" s="1804"/>
      <c r="FM383" s="1804"/>
      <c r="FN383" s="1804"/>
      <c r="FO383" s="1804"/>
      <c r="FP383" s="1804"/>
      <c r="FQ383" s="1804"/>
      <c r="FR383" s="1804"/>
      <c r="FS383" s="1804"/>
      <c r="FT383" s="1804"/>
      <c r="FU383" s="1804"/>
      <c r="FV383" s="1804"/>
      <c r="FW383" s="1804"/>
      <c r="FX383" s="1804"/>
      <c r="FY383" s="1804"/>
      <c r="FZ383" s="1804"/>
      <c r="GA383" s="1804"/>
      <c r="GB383" s="1804"/>
      <c r="GC383" s="1804"/>
      <c r="GD383" s="1804"/>
      <c r="GE383" s="1804"/>
      <c r="GF383" s="1804"/>
      <c r="GG383" s="1804"/>
      <c r="GH383" s="1804"/>
      <c r="GI383" s="1804"/>
      <c r="GJ383" s="1804"/>
      <c r="GK383" s="1804"/>
      <c r="GL383" s="1804"/>
      <c r="GM383" s="1804"/>
      <c r="GN383" s="1804"/>
      <c r="GO383" s="1804"/>
      <c r="GP383" s="1804"/>
      <c r="GQ383" s="1804"/>
      <c r="GR383" s="1804"/>
      <c r="GS383" s="1804"/>
      <c r="GT383" s="1804"/>
      <c r="GU383" s="1804"/>
      <c r="GV383" s="1804"/>
      <c r="GW383" s="1804"/>
      <c r="GX383" s="1804"/>
      <c r="GY383" s="1804"/>
      <c r="GZ383" s="1804"/>
      <c r="HA383" s="1804"/>
      <c r="HB383" s="1804"/>
      <c r="HC383" s="1804"/>
      <c r="HD383" s="1804"/>
      <c r="HE383" s="1804"/>
      <c r="HF383" s="1804"/>
      <c r="HG383" s="1804"/>
      <c r="HH383" s="1804"/>
      <c r="HI383" s="1804"/>
      <c r="HJ383" s="1804"/>
      <c r="HK383" s="1804"/>
      <c r="HL383" s="1804"/>
      <c r="HM383" s="1804"/>
      <c r="HN383" s="1804"/>
      <c r="HO383" s="1804"/>
      <c r="HP383" s="1804"/>
      <c r="HQ383" s="1804"/>
      <c r="HR383" s="1804"/>
      <c r="HS383" s="1804"/>
      <c r="HT383" s="1804"/>
      <c r="HU383" s="1804"/>
      <c r="HV383" s="1804"/>
      <c r="HW383" s="1804"/>
      <c r="HX383" s="1804"/>
      <c r="HY383" s="1804"/>
      <c r="HZ383" s="1804"/>
      <c r="IA383" s="1804"/>
      <c r="IB383" s="1804"/>
      <c r="IC383" s="1804"/>
      <c r="ID383" s="1804"/>
      <c r="IE383" s="1804"/>
      <c r="IF383" s="1804"/>
      <c r="IG383" s="1804"/>
      <c r="IH383" s="1804"/>
      <c r="II383" s="1804"/>
      <c r="IJ383" s="1804"/>
      <c r="IK383" s="1804"/>
      <c r="IL383" s="1804"/>
      <c r="IM383" s="1804"/>
      <c r="IN383" s="1804"/>
      <c r="IO383" s="1804"/>
      <c r="IP383" s="1804"/>
      <c r="IQ383" s="1804"/>
      <c r="IR383" s="1804"/>
      <c r="IS383" s="1804"/>
      <c r="IT383" s="1804"/>
      <c r="IU383" s="1804"/>
      <c r="IV383" s="1804"/>
      <c r="IW383" s="1804"/>
      <c r="IX383" s="1804"/>
      <c r="IY383" s="1804"/>
    </row>
    <row r="384" spans="3:259" s="888" customFormat="1" ht="14.65" thickBot="1" x14ac:dyDescent="0.5">
      <c r="C384" s="82" t="s">
        <v>665</v>
      </c>
      <c r="D384" s="2310"/>
      <c r="E384" s="2311"/>
      <c r="F384" s="146">
        <f t="shared" ref="F384:U384" si="70">SUM(F350:F382)</f>
        <v>204328969.70183089</v>
      </c>
      <c r="G384" s="147">
        <f t="shared" si="70"/>
        <v>52453.289812156989</v>
      </c>
      <c r="H384" s="148">
        <f t="shared" si="70"/>
        <v>747030807.02724516</v>
      </c>
      <c r="I384" s="149">
        <f t="shared" si="70"/>
        <v>189140.73003122825</v>
      </c>
      <c r="J384" s="149">
        <f t="shared" si="70"/>
        <v>951359776.72907615</v>
      </c>
      <c r="K384" s="147">
        <f t="shared" si="70"/>
        <v>241594.01984338523</v>
      </c>
      <c r="L384" s="148">
        <f t="shared" si="70"/>
        <v>99495943.660860986</v>
      </c>
      <c r="M384" s="147">
        <f t="shared" si="70"/>
        <v>25541.603697179627</v>
      </c>
      <c r="N384" s="149">
        <f t="shared" si="70"/>
        <v>1050855720.3899375</v>
      </c>
      <c r="O384" s="149">
        <f t="shared" si="70"/>
        <v>267135.62354056485</v>
      </c>
      <c r="P384" s="148">
        <f t="shared" si="70"/>
        <v>1113189892.8999999</v>
      </c>
      <c r="Q384" s="149">
        <f t="shared" si="70"/>
        <v>281848.54898335104</v>
      </c>
      <c r="R384" s="148">
        <f t="shared" si="70"/>
        <v>61878809</v>
      </c>
      <c r="S384" s="149">
        <f t="shared" si="70"/>
        <v>15667.095650709998</v>
      </c>
      <c r="T384" s="148">
        <f t="shared" si="70"/>
        <v>15582144</v>
      </c>
      <c r="U384" s="148">
        <f t="shared" si="70"/>
        <v>3945.2430393599998</v>
      </c>
      <c r="V384" s="148">
        <f t="shared" ref="V384:AG384" si="71">SUM(V350:V383)</f>
        <v>105055578</v>
      </c>
      <c r="W384" s="148">
        <f t="shared" si="71"/>
        <v>26359.495075979998</v>
      </c>
      <c r="X384" s="148">
        <f>SUM(X350:X383)</f>
        <v>1295706423.8999999</v>
      </c>
      <c r="Y384" s="148">
        <f>SUM(Y350:Y383)</f>
        <v>327820.38274940103</v>
      </c>
      <c r="Z384" s="148">
        <f t="shared" si="71"/>
        <v>13710826.816</v>
      </c>
      <c r="AA384" s="148">
        <f t="shared" si="71"/>
        <v>3519.7063519353601</v>
      </c>
      <c r="AB384" s="1337">
        <f t="shared" si="71"/>
        <v>317535740.1786918</v>
      </c>
      <c r="AC384" s="1338">
        <f>SUM(AC350:AC383)</f>
        <v>81514.599861271985</v>
      </c>
      <c r="AD384" s="148">
        <f t="shared" si="71"/>
        <v>2042737230.9272454</v>
      </c>
      <c r="AE384" s="1338">
        <f t="shared" si="71"/>
        <v>516961.11278062919</v>
      </c>
      <c r="AF384" s="148">
        <f t="shared" si="71"/>
        <v>2360272971.1059375</v>
      </c>
      <c r="AG384" s="1338">
        <f t="shared" si="71"/>
        <v>598475.71264190122</v>
      </c>
      <c r="AH384" s="1804"/>
      <c r="AI384" s="1804"/>
      <c r="AJ384" s="1804"/>
      <c r="AK384" s="1804"/>
      <c r="AL384" s="1804"/>
      <c r="AM384" s="1804"/>
      <c r="AN384" s="1804"/>
      <c r="AO384" s="1804"/>
      <c r="AP384" s="1804"/>
      <c r="AQ384" s="1804"/>
      <c r="AR384" s="1804"/>
      <c r="AS384" s="1804"/>
      <c r="AT384" s="1804"/>
      <c r="AU384" s="1804"/>
      <c r="AV384" s="1804"/>
      <c r="AW384" s="1804"/>
      <c r="AX384" s="1804"/>
      <c r="AY384" s="1804"/>
      <c r="AZ384" s="1804"/>
      <c r="BA384" s="1804"/>
      <c r="BB384" s="1804"/>
      <c r="BC384" s="1804"/>
      <c r="BD384" s="1804"/>
      <c r="BE384" s="1804"/>
      <c r="BF384" s="1804"/>
      <c r="BG384" s="1804"/>
      <c r="BH384" s="1804"/>
      <c r="BI384" s="1804"/>
      <c r="BJ384" s="1804"/>
      <c r="BK384" s="1804"/>
      <c r="BL384" s="1804"/>
      <c r="BM384" s="1804"/>
      <c r="BN384" s="1804"/>
      <c r="BO384" s="1804"/>
      <c r="BP384" s="1804"/>
      <c r="BQ384" s="1804"/>
      <c r="BR384" s="1804"/>
      <c r="BS384" s="1804"/>
      <c r="BT384" s="1804"/>
      <c r="BU384" s="1804"/>
      <c r="BV384" s="1804"/>
      <c r="BW384" s="1804"/>
      <c r="BX384" s="1804"/>
      <c r="BY384" s="1804"/>
      <c r="BZ384" s="1804"/>
      <c r="CA384" s="1804"/>
      <c r="CB384" s="1804"/>
      <c r="CC384" s="1804"/>
      <c r="CD384" s="1804"/>
      <c r="CE384" s="1804"/>
      <c r="CF384" s="1804"/>
      <c r="CG384" s="1804"/>
      <c r="CH384" s="1804"/>
      <c r="CI384" s="1804"/>
      <c r="CJ384" s="1804"/>
      <c r="CK384" s="1804"/>
      <c r="CL384" s="1804"/>
      <c r="CM384" s="1804"/>
      <c r="CN384" s="1804"/>
      <c r="CO384" s="1804"/>
      <c r="CP384" s="1804"/>
      <c r="CQ384" s="1804"/>
      <c r="CR384" s="1804"/>
      <c r="CS384" s="1804"/>
      <c r="CT384" s="1804"/>
      <c r="CU384" s="1804"/>
      <c r="CV384" s="1804"/>
      <c r="CW384" s="1804"/>
      <c r="CX384" s="1804"/>
      <c r="CY384" s="1804"/>
      <c r="CZ384" s="1804"/>
      <c r="DA384" s="1804"/>
      <c r="DB384" s="1804"/>
      <c r="DC384" s="1804"/>
      <c r="DD384" s="1804"/>
      <c r="DE384" s="1804"/>
      <c r="DF384" s="1804"/>
      <c r="DG384" s="1804"/>
      <c r="DH384" s="1804"/>
      <c r="DI384" s="1804"/>
      <c r="DJ384" s="1804"/>
      <c r="DK384" s="1804"/>
      <c r="DL384" s="1804"/>
      <c r="DM384" s="1804"/>
      <c r="DN384" s="1804"/>
      <c r="DO384" s="1804"/>
      <c r="DP384" s="1804"/>
      <c r="DQ384" s="1804"/>
      <c r="DR384" s="1804"/>
      <c r="DS384" s="1804"/>
      <c r="DT384" s="1804"/>
      <c r="DU384" s="1804"/>
      <c r="DV384" s="1804"/>
      <c r="DW384" s="1804"/>
      <c r="DX384" s="1804"/>
      <c r="DY384" s="1804"/>
      <c r="DZ384" s="1804"/>
      <c r="EA384" s="1804"/>
      <c r="EB384" s="1804"/>
      <c r="EC384" s="1804"/>
      <c r="ED384" s="1804"/>
      <c r="EE384" s="1804"/>
      <c r="EF384" s="1804"/>
      <c r="EG384" s="1804"/>
      <c r="EH384" s="1804"/>
      <c r="EI384" s="1804"/>
      <c r="EJ384" s="1804"/>
      <c r="EK384" s="1804"/>
      <c r="EL384" s="1804"/>
      <c r="EM384" s="1804"/>
      <c r="EN384" s="1804"/>
      <c r="EO384" s="1804"/>
      <c r="EP384" s="1804"/>
      <c r="EQ384" s="1804"/>
      <c r="ER384" s="1804"/>
      <c r="ES384" s="1804"/>
      <c r="ET384" s="1804"/>
      <c r="EU384" s="1804"/>
      <c r="EV384" s="1804"/>
      <c r="EW384" s="1804"/>
      <c r="EX384" s="1804"/>
      <c r="EY384" s="1804"/>
      <c r="EZ384" s="1804"/>
      <c r="FA384" s="1804"/>
      <c r="FB384" s="1804"/>
      <c r="FC384" s="1804"/>
      <c r="FD384" s="1804"/>
      <c r="FE384" s="1804"/>
      <c r="FF384" s="1804"/>
      <c r="FG384" s="1804"/>
      <c r="FH384" s="1804"/>
      <c r="FI384" s="1804"/>
      <c r="FJ384" s="1804"/>
      <c r="FK384" s="1804"/>
      <c r="FL384" s="1804"/>
      <c r="FM384" s="1804"/>
      <c r="FN384" s="1804"/>
      <c r="FO384" s="1804"/>
      <c r="FP384" s="1804"/>
      <c r="FQ384" s="1804"/>
      <c r="FR384" s="1804"/>
      <c r="FS384" s="1804"/>
      <c r="FT384" s="1804"/>
      <c r="FU384" s="1804"/>
      <c r="FV384" s="1804"/>
      <c r="FW384" s="1804"/>
      <c r="FX384" s="1804"/>
      <c r="FY384" s="1804"/>
      <c r="FZ384" s="1804"/>
      <c r="GA384" s="1804"/>
      <c r="GB384" s="1804"/>
      <c r="GC384" s="1804"/>
      <c r="GD384" s="1804"/>
      <c r="GE384" s="1804"/>
      <c r="GF384" s="1804"/>
      <c r="GG384" s="1804"/>
      <c r="GH384" s="1804"/>
      <c r="GI384" s="1804"/>
      <c r="GJ384" s="1804"/>
      <c r="GK384" s="1804"/>
      <c r="GL384" s="1804"/>
      <c r="GM384" s="1804"/>
      <c r="GN384" s="1804"/>
      <c r="GO384" s="1804"/>
      <c r="GP384" s="1804"/>
      <c r="GQ384" s="1804"/>
      <c r="GR384" s="1804"/>
      <c r="GS384" s="1804"/>
      <c r="GT384" s="1804"/>
      <c r="GU384" s="1804"/>
      <c r="GV384" s="1804"/>
      <c r="GW384" s="1804"/>
      <c r="GX384" s="1804"/>
      <c r="GY384" s="1804"/>
      <c r="GZ384" s="1804"/>
      <c r="HA384" s="1804"/>
      <c r="HB384" s="1804"/>
      <c r="HC384" s="1804"/>
      <c r="HD384" s="1804"/>
      <c r="HE384" s="1804"/>
      <c r="HF384" s="1804"/>
      <c r="HG384" s="1804"/>
      <c r="HH384" s="1804"/>
      <c r="HI384" s="1804"/>
      <c r="HJ384" s="1804"/>
      <c r="HK384" s="1804"/>
      <c r="HL384" s="1804"/>
      <c r="HM384" s="1804"/>
      <c r="HN384" s="1804"/>
      <c r="HO384" s="1804"/>
      <c r="HP384" s="1804"/>
      <c r="HQ384" s="1804"/>
      <c r="HR384" s="1804"/>
      <c r="HS384" s="1804"/>
      <c r="HT384" s="1804"/>
      <c r="HU384" s="1804"/>
      <c r="HV384" s="1804"/>
      <c r="HW384" s="1804"/>
      <c r="HX384" s="1804"/>
      <c r="HY384" s="1804"/>
      <c r="HZ384" s="1804"/>
      <c r="IA384" s="1804"/>
      <c r="IB384" s="1804"/>
      <c r="IC384" s="1804"/>
      <c r="ID384" s="1804"/>
      <c r="IE384" s="1804"/>
      <c r="IF384" s="1804"/>
      <c r="IG384" s="1804"/>
      <c r="IH384" s="1804"/>
      <c r="II384" s="1804"/>
      <c r="IJ384" s="1804"/>
      <c r="IK384" s="1804"/>
      <c r="IL384" s="1804"/>
      <c r="IM384" s="1804"/>
      <c r="IN384" s="1804"/>
      <c r="IO384" s="1804"/>
      <c r="IP384" s="1804"/>
      <c r="IQ384" s="1804"/>
      <c r="IR384" s="1804"/>
      <c r="IS384" s="1804"/>
      <c r="IT384" s="1804"/>
      <c r="IU384" s="1804"/>
      <c r="IV384" s="1804"/>
      <c r="IW384" s="1804"/>
    </row>
    <row r="385" spans="3:257" s="888" customFormat="1" x14ac:dyDescent="0.45">
      <c r="C385" s="1804"/>
      <c r="D385" s="1804"/>
      <c r="E385" s="1804"/>
      <c r="F385" s="1804"/>
      <c r="G385" s="1804"/>
      <c r="H385" s="1808"/>
      <c r="I385" s="1804"/>
      <c r="J385" s="1804"/>
      <c r="K385" s="1808"/>
      <c r="L385" s="1804"/>
      <c r="M385" s="127"/>
      <c r="N385" s="1808"/>
      <c r="O385" s="1804"/>
      <c r="P385" s="1804"/>
      <c r="Q385" s="1808"/>
      <c r="R385" s="1808"/>
      <c r="S385" s="1804"/>
      <c r="T385" s="1808"/>
      <c r="U385" s="1804"/>
      <c r="V385" s="1804"/>
      <c r="W385" s="1804"/>
      <c r="X385" s="1804"/>
      <c r="Y385" s="1804"/>
      <c r="Z385" s="1804"/>
      <c r="AA385" s="1804"/>
      <c r="AB385" s="1804"/>
      <c r="AC385" s="1804"/>
      <c r="AD385" s="1808"/>
      <c r="AE385" s="1804"/>
      <c r="AF385" s="1808"/>
      <c r="AG385" s="1804"/>
      <c r="AH385" s="1808"/>
      <c r="AI385" s="1804"/>
      <c r="AJ385" s="1804"/>
      <c r="AK385" s="1804"/>
      <c r="AL385" s="1804"/>
      <c r="AM385" s="1804"/>
      <c r="AN385" s="1804"/>
      <c r="AO385" s="1804"/>
      <c r="AP385" s="1804"/>
      <c r="AQ385" s="1804"/>
      <c r="AR385" s="1804"/>
      <c r="AS385" s="1804"/>
      <c r="AT385" s="1804"/>
      <c r="AU385" s="1804"/>
      <c r="AV385" s="1804"/>
      <c r="AW385" s="1804"/>
      <c r="AX385" s="1804"/>
      <c r="AY385" s="1804"/>
      <c r="AZ385" s="1804"/>
      <c r="BA385" s="1804"/>
      <c r="BB385" s="1804"/>
      <c r="BC385" s="1804"/>
      <c r="BD385" s="1804"/>
      <c r="BE385" s="1804"/>
      <c r="BF385" s="1804"/>
      <c r="BG385" s="1804"/>
      <c r="BH385" s="1804"/>
      <c r="BI385" s="1804"/>
      <c r="BJ385" s="1804"/>
      <c r="BK385" s="1804"/>
      <c r="BL385" s="1804"/>
      <c r="BM385" s="1804"/>
      <c r="BN385" s="1804"/>
      <c r="BO385" s="1804"/>
      <c r="BP385" s="1804"/>
      <c r="BQ385" s="1804"/>
      <c r="BR385" s="1804"/>
      <c r="BS385" s="1804"/>
      <c r="BT385" s="1804"/>
      <c r="BU385" s="1804"/>
      <c r="BV385" s="1804"/>
      <c r="BW385" s="1804"/>
      <c r="BX385" s="1804"/>
      <c r="BY385" s="1804"/>
      <c r="BZ385" s="1804"/>
      <c r="CA385" s="1804"/>
      <c r="CB385" s="1804"/>
      <c r="CC385" s="1804"/>
      <c r="CD385" s="1804"/>
      <c r="CE385" s="1804"/>
      <c r="CF385" s="1804"/>
      <c r="CG385" s="1804"/>
      <c r="CH385" s="1804"/>
      <c r="CI385" s="1804"/>
      <c r="CJ385" s="1804"/>
      <c r="CK385" s="1804"/>
      <c r="CL385" s="1804"/>
      <c r="CM385" s="1804"/>
      <c r="CN385" s="1804"/>
      <c r="CO385" s="1804"/>
      <c r="CP385" s="1804"/>
      <c r="CQ385" s="1804"/>
      <c r="CR385" s="1804"/>
      <c r="CS385" s="1804"/>
      <c r="CT385" s="1804"/>
      <c r="CU385" s="1804"/>
      <c r="CV385" s="1804"/>
      <c r="CW385" s="1804"/>
      <c r="CX385" s="1804"/>
      <c r="CY385" s="1804"/>
      <c r="CZ385" s="1804"/>
      <c r="DA385" s="1804"/>
      <c r="DB385" s="1804"/>
      <c r="DC385" s="1804"/>
      <c r="DD385" s="1804"/>
      <c r="DE385" s="1804"/>
      <c r="DF385" s="1804"/>
      <c r="DG385" s="1804"/>
      <c r="DH385" s="1804"/>
      <c r="DI385" s="1804"/>
      <c r="DJ385" s="1804"/>
      <c r="DK385" s="1804"/>
      <c r="DL385" s="1804"/>
      <c r="DM385" s="1804"/>
      <c r="DN385" s="1804"/>
      <c r="DO385" s="1804"/>
      <c r="DP385" s="1804"/>
      <c r="DQ385" s="1804"/>
      <c r="DR385" s="1804"/>
      <c r="DS385" s="1804"/>
      <c r="DT385" s="1804"/>
      <c r="DU385" s="1804"/>
      <c r="DV385" s="1804"/>
      <c r="DW385" s="1804"/>
      <c r="DX385" s="1804"/>
      <c r="DY385" s="1804"/>
      <c r="DZ385" s="1804"/>
      <c r="EA385" s="1804"/>
      <c r="EB385" s="1804"/>
      <c r="EC385" s="1804"/>
      <c r="ED385" s="1804"/>
      <c r="EE385" s="1804"/>
      <c r="EF385" s="1804"/>
      <c r="EG385" s="1804"/>
      <c r="EH385" s="1804"/>
      <c r="EI385" s="1804"/>
      <c r="EJ385" s="1804"/>
      <c r="EK385" s="1804"/>
      <c r="EL385" s="1804"/>
      <c r="EM385" s="1804"/>
      <c r="EN385" s="1804"/>
      <c r="EO385" s="1804"/>
      <c r="EP385" s="1804"/>
      <c r="EQ385" s="1804"/>
      <c r="ER385" s="1804"/>
      <c r="ES385" s="1804"/>
      <c r="ET385" s="1804"/>
      <c r="EU385" s="1804"/>
      <c r="EV385" s="1804"/>
      <c r="EW385" s="1804"/>
      <c r="EX385" s="1804"/>
      <c r="EY385" s="1804"/>
      <c r="EZ385" s="1804"/>
      <c r="FA385" s="1804"/>
      <c r="FB385" s="1804"/>
      <c r="FC385" s="1804"/>
      <c r="FD385" s="1804"/>
      <c r="FE385" s="1804"/>
      <c r="FF385" s="1804"/>
      <c r="FG385" s="1804"/>
      <c r="FH385" s="1804"/>
      <c r="FI385" s="1804"/>
      <c r="FJ385" s="1804"/>
      <c r="FK385" s="1804"/>
      <c r="FL385" s="1804"/>
      <c r="FM385" s="1804"/>
      <c r="FN385" s="1804"/>
      <c r="FO385" s="1804"/>
      <c r="FP385" s="1804"/>
      <c r="FQ385" s="1804"/>
      <c r="FR385" s="1804"/>
      <c r="FS385" s="1804"/>
      <c r="FT385" s="1804"/>
      <c r="FU385" s="1804"/>
      <c r="FV385" s="1804"/>
      <c r="FW385" s="1804"/>
      <c r="FX385" s="1804"/>
      <c r="FY385" s="1804"/>
      <c r="FZ385" s="1804"/>
      <c r="GA385" s="1804"/>
      <c r="GB385" s="1804"/>
      <c r="GC385" s="1804"/>
      <c r="GD385" s="1804"/>
      <c r="GE385" s="1804"/>
      <c r="GF385" s="1804"/>
      <c r="GG385" s="1804"/>
      <c r="GH385" s="1804"/>
      <c r="GI385" s="1804"/>
      <c r="GJ385" s="1804"/>
      <c r="GK385" s="1804"/>
      <c r="GL385" s="1804"/>
      <c r="GM385" s="1804"/>
      <c r="GN385" s="1804"/>
      <c r="GO385" s="1804"/>
      <c r="GP385" s="1804"/>
      <c r="GQ385" s="1804"/>
      <c r="GR385" s="1804"/>
      <c r="GS385" s="1804"/>
      <c r="GT385" s="1804"/>
      <c r="GU385" s="1804"/>
      <c r="GV385" s="1804"/>
      <c r="GW385" s="1804"/>
      <c r="GX385" s="1804"/>
      <c r="GY385" s="1804"/>
      <c r="GZ385" s="1804"/>
      <c r="HA385" s="1804"/>
      <c r="HB385" s="1804"/>
      <c r="HC385" s="1804"/>
      <c r="HD385" s="1804"/>
      <c r="HE385" s="1804"/>
      <c r="HF385" s="1804"/>
      <c r="HG385" s="1804"/>
      <c r="HH385" s="1804"/>
      <c r="HI385" s="1804"/>
      <c r="HJ385" s="1804"/>
      <c r="HK385" s="1804"/>
      <c r="HL385" s="1804"/>
      <c r="HM385" s="1804"/>
      <c r="HN385" s="1804"/>
      <c r="HO385" s="1804"/>
      <c r="HP385" s="1804"/>
      <c r="HQ385" s="1804"/>
      <c r="HR385" s="1804"/>
      <c r="HS385" s="1804"/>
      <c r="HT385" s="1804"/>
      <c r="HU385" s="1804"/>
      <c r="HV385" s="1804"/>
      <c r="HW385" s="1804"/>
      <c r="HX385" s="1804"/>
      <c r="HY385" s="1804"/>
      <c r="HZ385" s="1804"/>
      <c r="IA385" s="1804"/>
      <c r="IB385" s="1804"/>
      <c r="IC385" s="1804"/>
      <c r="ID385" s="1804"/>
      <c r="IE385" s="1804"/>
      <c r="IF385" s="1804"/>
      <c r="IG385" s="1804"/>
      <c r="IH385" s="1804"/>
      <c r="II385" s="1804"/>
      <c r="IJ385" s="1804"/>
      <c r="IK385" s="1804"/>
      <c r="IL385" s="1804"/>
      <c r="IM385" s="1804"/>
      <c r="IN385" s="1804"/>
      <c r="IO385" s="1804"/>
      <c r="IP385" s="1804"/>
      <c r="IQ385" s="1804"/>
      <c r="IR385" s="1804"/>
      <c r="IS385" s="1804"/>
      <c r="IT385" s="1804"/>
      <c r="IU385" s="1804"/>
      <c r="IV385" s="1804"/>
      <c r="IW385" s="1804"/>
    </row>
    <row r="386" spans="3:257" s="888" customFormat="1" ht="24" x14ac:dyDescent="0.45">
      <c r="C386" s="1803" t="s">
        <v>727</v>
      </c>
      <c r="D386" s="1803" t="s">
        <v>869</v>
      </c>
      <c r="E386" s="1804"/>
      <c r="F386" s="1828"/>
      <c r="G386" s="1828"/>
      <c r="H386" s="1828"/>
      <c r="I386" s="1828"/>
      <c r="J386" s="1830"/>
      <c r="K386" s="1830"/>
      <c r="L386" s="1828"/>
      <c r="M386" s="1828"/>
      <c r="N386" s="1830"/>
      <c r="O386" s="1830"/>
      <c r="P386" s="1804"/>
      <c r="Q386" s="1804"/>
      <c r="R386" s="1804"/>
      <c r="S386" s="1804"/>
      <c r="T386" s="1804"/>
      <c r="U386" s="1808"/>
      <c r="V386" s="1804"/>
      <c r="W386" s="1804"/>
      <c r="X386" s="1804"/>
      <c r="Y386" s="1804"/>
      <c r="Z386" s="1804"/>
      <c r="AA386" s="1804"/>
      <c r="AB386" s="1804"/>
      <c r="AC386" s="1804"/>
      <c r="AD386" s="1804"/>
      <c r="AE386" s="1804"/>
      <c r="AF386" s="1804"/>
      <c r="AG386" s="1804"/>
      <c r="AH386" s="1804"/>
      <c r="AI386" s="1804"/>
      <c r="AJ386" s="1804"/>
      <c r="AK386" s="1804"/>
      <c r="AL386" s="1804"/>
      <c r="AM386" s="1804"/>
      <c r="AN386" s="1804"/>
      <c r="AO386" s="1804"/>
      <c r="AP386" s="1804"/>
      <c r="AQ386" s="1804"/>
      <c r="AR386" s="1804"/>
      <c r="AS386" s="1804"/>
      <c r="AT386" s="1804"/>
      <c r="AU386" s="1804"/>
      <c r="AV386" s="1804"/>
      <c r="AW386" s="1804"/>
      <c r="AX386" s="1804"/>
      <c r="AY386" s="1804"/>
      <c r="AZ386" s="1804"/>
      <c r="BA386" s="1804"/>
      <c r="BB386" s="1804"/>
      <c r="BC386" s="1804"/>
      <c r="BD386" s="1804"/>
      <c r="BE386" s="1804"/>
      <c r="BF386" s="1804"/>
      <c r="BG386" s="1804"/>
      <c r="BH386" s="1804"/>
      <c r="BI386" s="1804"/>
      <c r="BJ386" s="1804"/>
      <c r="BK386" s="1804"/>
      <c r="BL386" s="1804"/>
      <c r="BM386" s="1804"/>
      <c r="BN386" s="1804"/>
      <c r="BO386" s="1804"/>
      <c r="BP386" s="1804"/>
      <c r="BQ386" s="1804"/>
      <c r="BR386" s="1804"/>
      <c r="BS386" s="1804"/>
      <c r="BT386" s="1804"/>
      <c r="BU386" s="1804"/>
      <c r="BV386" s="1804"/>
      <c r="BW386" s="1804"/>
      <c r="BX386" s="1804"/>
      <c r="BY386" s="1804"/>
      <c r="BZ386" s="1804"/>
      <c r="CA386" s="1804"/>
      <c r="CB386" s="1804"/>
      <c r="CC386" s="1804"/>
      <c r="CD386" s="1804"/>
      <c r="CE386" s="1804"/>
      <c r="CF386" s="1804"/>
      <c r="CG386" s="1804"/>
      <c r="CH386" s="1804"/>
      <c r="CI386" s="1804"/>
      <c r="CJ386" s="1804"/>
      <c r="CK386" s="1804"/>
      <c r="CL386" s="1804"/>
      <c r="CM386" s="1804"/>
      <c r="CN386" s="1804"/>
      <c r="CO386" s="1804"/>
      <c r="CP386" s="1804"/>
      <c r="CQ386" s="1804"/>
      <c r="CR386" s="1804"/>
      <c r="CS386" s="1804"/>
      <c r="CT386" s="1804"/>
      <c r="CU386" s="1804"/>
      <c r="CV386" s="1804"/>
      <c r="CW386" s="1804"/>
      <c r="CX386" s="1804"/>
      <c r="CY386" s="1804"/>
      <c r="CZ386" s="1804"/>
      <c r="DA386" s="1804"/>
      <c r="DB386" s="1804"/>
      <c r="DC386" s="1804"/>
      <c r="DD386" s="1804"/>
      <c r="DE386" s="1804"/>
      <c r="DF386" s="1804"/>
      <c r="DG386" s="1804"/>
      <c r="DH386" s="1804"/>
      <c r="DI386" s="1804"/>
      <c r="DJ386" s="1804"/>
      <c r="DK386" s="1804"/>
      <c r="DL386" s="1804"/>
      <c r="DM386" s="1804"/>
      <c r="DN386" s="1804"/>
      <c r="DO386" s="1804"/>
      <c r="DP386" s="1804"/>
      <c r="DQ386" s="1804"/>
      <c r="DR386" s="1804"/>
      <c r="DS386" s="1804"/>
      <c r="DT386" s="1804"/>
      <c r="DU386" s="1804"/>
      <c r="DV386" s="1804"/>
      <c r="DW386" s="1804"/>
      <c r="DX386" s="1804"/>
      <c r="DY386" s="1804"/>
      <c r="DZ386" s="1804"/>
      <c r="EA386" s="1804"/>
      <c r="EB386" s="1804"/>
      <c r="EC386" s="1804"/>
      <c r="ED386" s="1804"/>
      <c r="EE386" s="1804"/>
      <c r="EF386" s="1804"/>
      <c r="EG386" s="1804"/>
      <c r="EH386" s="1804"/>
      <c r="EI386" s="1804"/>
      <c r="EJ386" s="1804"/>
      <c r="EK386" s="1804"/>
      <c r="EL386" s="1804"/>
      <c r="EM386" s="1804"/>
      <c r="EN386" s="1804"/>
      <c r="EO386" s="1804"/>
      <c r="EP386" s="1804"/>
      <c r="EQ386" s="1804"/>
      <c r="ER386" s="1804"/>
      <c r="ES386" s="1804"/>
      <c r="ET386" s="1804"/>
      <c r="EU386" s="1804"/>
      <c r="EV386" s="1804"/>
      <c r="EW386" s="1804"/>
      <c r="EX386" s="1804"/>
      <c r="EY386" s="1804"/>
      <c r="EZ386" s="1804"/>
      <c r="FA386" s="1804"/>
      <c r="FB386" s="1804"/>
      <c r="FC386" s="1804"/>
      <c r="FD386" s="1804"/>
      <c r="FE386" s="1804"/>
      <c r="FF386" s="1804"/>
      <c r="FG386" s="1804"/>
      <c r="FH386" s="1804"/>
      <c r="FI386" s="1804"/>
      <c r="FJ386" s="1804"/>
      <c r="FK386" s="1804"/>
      <c r="FL386" s="1804"/>
      <c r="FM386" s="1804"/>
      <c r="FN386" s="1804"/>
      <c r="FO386" s="1804"/>
      <c r="FP386" s="1804"/>
      <c r="FQ386" s="1804"/>
      <c r="FR386" s="1804"/>
      <c r="FS386" s="1804"/>
      <c r="FT386" s="1804"/>
      <c r="FU386" s="1804"/>
      <c r="FV386" s="1804"/>
      <c r="FW386" s="1804"/>
      <c r="FX386" s="1804"/>
      <c r="FY386" s="1804"/>
      <c r="FZ386" s="1804"/>
      <c r="GA386" s="1804"/>
      <c r="GB386" s="1804"/>
      <c r="GC386" s="1804"/>
      <c r="GD386" s="1804"/>
      <c r="GE386" s="1804"/>
      <c r="GF386" s="1804"/>
      <c r="GG386" s="1804"/>
      <c r="GH386" s="1804"/>
      <c r="GI386" s="1804"/>
      <c r="GJ386" s="1804"/>
      <c r="GK386" s="1804"/>
      <c r="GL386" s="1804"/>
      <c r="GM386" s="1804"/>
      <c r="GN386" s="1804"/>
      <c r="GO386" s="1804"/>
      <c r="GP386" s="1804"/>
      <c r="GQ386" s="1804"/>
      <c r="GR386" s="1804"/>
      <c r="GS386" s="1804"/>
      <c r="GT386" s="1804"/>
      <c r="GU386" s="1804"/>
      <c r="GV386" s="1804"/>
      <c r="GW386" s="1804"/>
      <c r="GX386" s="1804"/>
      <c r="GY386" s="1804"/>
      <c r="GZ386" s="1804"/>
      <c r="HA386" s="1804"/>
      <c r="HB386" s="1804"/>
      <c r="HC386" s="1804"/>
      <c r="HD386" s="1804"/>
      <c r="HE386" s="1804"/>
      <c r="HF386" s="1804"/>
      <c r="HG386" s="1804"/>
      <c r="HH386" s="1804"/>
      <c r="HI386" s="1804"/>
      <c r="HJ386" s="1804"/>
      <c r="HK386" s="1804"/>
      <c r="HL386" s="1804"/>
      <c r="HM386" s="1804"/>
      <c r="HN386" s="1804"/>
      <c r="HO386" s="1804"/>
      <c r="HP386" s="1804"/>
      <c r="HQ386" s="1804"/>
      <c r="HR386" s="1804"/>
      <c r="HS386" s="1804"/>
      <c r="HT386" s="1804"/>
      <c r="HU386" s="1804"/>
      <c r="HV386" s="1804"/>
      <c r="HW386" s="1804"/>
      <c r="HX386" s="1804"/>
      <c r="HY386" s="1804"/>
      <c r="HZ386" s="1804"/>
      <c r="IA386" s="1804"/>
      <c r="IB386" s="1804"/>
      <c r="IC386" s="1804"/>
      <c r="ID386" s="1804"/>
      <c r="IE386" s="1804"/>
      <c r="IF386" s="1804"/>
      <c r="IG386" s="1804"/>
      <c r="IH386" s="1804"/>
      <c r="II386" s="1804"/>
      <c r="IJ386" s="1804"/>
      <c r="IK386" s="1804"/>
      <c r="IL386" s="1804"/>
      <c r="IM386" s="1804"/>
      <c r="IN386" s="1804"/>
      <c r="IO386" s="1804"/>
      <c r="IP386" s="1804"/>
      <c r="IQ386" s="1804"/>
      <c r="IR386" s="1804"/>
      <c r="IS386" s="1804"/>
      <c r="IT386" s="1804"/>
      <c r="IU386" s="1804"/>
      <c r="IV386" s="1804"/>
      <c r="IW386" s="1804"/>
    </row>
    <row r="387" spans="3:257" s="888" customFormat="1" ht="14.65" thickBot="1" x14ac:dyDescent="0.5">
      <c r="C387" s="1804"/>
      <c r="D387" s="1804"/>
      <c r="E387" s="1804"/>
      <c r="F387" s="1804"/>
      <c r="G387" s="1804"/>
      <c r="H387" s="1804"/>
      <c r="I387" s="1804"/>
      <c r="J387" s="1804"/>
      <c r="K387" s="1804"/>
      <c r="L387" s="1804"/>
      <c r="M387" s="1804"/>
      <c r="N387" s="1804"/>
      <c r="O387" s="1804"/>
      <c r="P387" s="1804"/>
      <c r="Q387" s="1804"/>
      <c r="R387" s="1804"/>
      <c r="S387" s="1804"/>
      <c r="T387" s="1804"/>
      <c r="U387" s="1804"/>
      <c r="V387" s="1804"/>
      <c r="W387" s="1804"/>
      <c r="X387" s="1804"/>
      <c r="Y387" s="1804"/>
      <c r="Z387" s="1804"/>
      <c r="AA387" s="1804"/>
      <c r="AB387" s="1804"/>
      <c r="AC387" s="1804"/>
      <c r="AD387" s="1804"/>
      <c r="AE387" s="1804"/>
      <c r="AF387" s="1804"/>
      <c r="AG387" s="1804"/>
      <c r="AH387" s="1804"/>
      <c r="AI387" s="1804"/>
      <c r="AJ387" s="1804"/>
      <c r="AK387" s="1804"/>
      <c r="AL387" s="1804"/>
      <c r="AM387" s="1804"/>
      <c r="AN387" s="1804"/>
      <c r="AO387" s="1804"/>
      <c r="AP387" s="1804"/>
      <c r="AQ387" s="1804"/>
      <c r="AR387" s="1804"/>
      <c r="AS387" s="1804"/>
      <c r="AT387" s="1804"/>
      <c r="AU387" s="1804"/>
      <c r="AV387" s="1804"/>
      <c r="AW387" s="1804"/>
      <c r="AX387" s="1804"/>
      <c r="AY387" s="1804"/>
      <c r="AZ387" s="1804"/>
      <c r="BA387" s="1804"/>
      <c r="BB387" s="1804"/>
      <c r="BC387" s="1804"/>
      <c r="BD387" s="1804"/>
      <c r="BE387" s="1804"/>
      <c r="BF387" s="1804"/>
      <c r="BG387" s="1804"/>
      <c r="BH387" s="1804"/>
      <c r="BI387" s="1804"/>
      <c r="BJ387" s="1804"/>
      <c r="BK387" s="1804"/>
      <c r="BL387" s="1804"/>
      <c r="BM387" s="1804"/>
      <c r="BN387" s="1804"/>
      <c r="BO387" s="1804"/>
      <c r="BP387" s="1804"/>
      <c r="BQ387" s="1804"/>
      <c r="BR387" s="1804"/>
      <c r="BS387" s="1804"/>
      <c r="BT387" s="1804"/>
      <c r="BU387" s="1804"/>
      <c r="BV387" s="1804"/>
      <c r="BW387" s="1804"/>
      <c r="BX387" s="1804"/>
      <c r="BY387" s="1804"/>
      <c r="BZ387" s="1804"/>
      <c r="CA387" s="1804"/>
      <c r="CB387" s="1804"/>
      <c r="CC387" s="1804"/>
      <c r="CD387" s="1804"/>
      <c r="CE387" s="1804"/>
      <c r="CF387" s="1804"/>
      <c r="CG387" s="1804"/>
      <c r="CH387" s="1804"/>
      <c r="CI387" s="1804"/>
      <c r="CJ387" s="1804"/>
      <c r="CK387" s="1804"/>
      <c r="CL387" s="1804"/>
      <c r="CM387" s="1804"/>
      <c r="CN387" s="1804"/>
      <c r="CO387" s="1804"/>
      <c r="CP387" s="1804"/>
      <c r="CQ387" s="1804"/>
      <c r="CR387" s="1804"/>
      <c r="CS387" s="1804"/>
      <c r="CT387" s="1804"/>
      <c r="CU387" s="1804"/>
      <c r="CV387" s="1804"/>
      <c r="CW387" s="1804"/>
      <c r="CX387" s="1804"/>
      <c r="CY387" s="1804"/>
      <c r="CZ387" s="1804"/>
      <c r="DA387" s="1804"/>
      <c r="DB387" s="1804"/>
      <c r="DC387" s="1804"/>
      <c r="DD387" s="1804"/>
      <c r="DE387" s="1804"/>
      <c r="DF387" s="1804"/>
      <c r="DG387" s="1804"/>
      <c r="DH387" s="1804"/>
      <c r="DI387" s="1804"/>
      <c r="DJ387" s="1804"/>
      <c r="DK387" s="1804"/>
      <c r="DL387" s="1804"/>
      <c r="DM387" s="1804"/>
      <c r="DN387" s="1804"/>
      <c r="DO387" s="1804"/>
      <c r="DP387" s="1804"/>
      <c r="DQ387" s="1804"/>
      <c r="DR387" s="1804"/>
      <c r="DS387" s="1804"/>
      <c r="DT387" s="1804"/>
      <c r="DU387" s="1804"/>
      <c r="DV387" s="1804"/>
      <c r="DW387" s="1804"/>
      <c r="DX387" s="1804"/>
      <c r="DY387" s="1804"/>
      <c r="DZ387" s="1804"/>
      <c r="EA387" s="1804"/>
      <c r="EB387" s="1804"/>
      <c r="EC387" s="1804"/>
      <c r="ED387" s="1804"/>
      <c r="EE387" s="1804"/>
      <c r="EF387" s="1804"/>
      <c r="EG387" s="1804"/>
      <c r="EH387" s="1804"/>
      <c r="EI387" s="1804"/>
      <c r="EJ387" s="1804"/>
      <c r="EK387" s="1804"/>
      <c r="EL387" s="1804"/>
      <c r="EM387" s="1804"/>
      <c r="EN387" s="1804"/>
      <c r="EO387" s="1804"/>
      <c r="EP387" s="1804"/>
      <c r="EQ387" s="1804"/>
      <c r="ER387" s="1804"/>
      <c r="ES387" s="1804"/>
      <c r="ET387" s="1804"/>
      <c r="EU387" s="1804"/>
      <c r="EV387" s="1804"/>
      <c r="EW387" s="1804"/>
      <c r="EX387" s="1804"/>
      <c r="EY387" s="1804"/>
      <c r="EZ387" s="1804"/>
      <c r="FA387" s="1804"/>
      <c r="FB387" s="1804"/>
      <c r="FC387" s="1804"/>
      <c r="FD387" s="1804"/>
      <c r="FE387" s="1804"/>
      <c r="FF387" s="1804"/>
      <c r="FG387" s="1804"/>
      <c r="FH387" s="1804"/>
      <c r="FI387" s="1804"/>
      <c r="FJ387" s="1804"/>
      <c r="FK387" s="1804"/>
      <c r="FL387" s="1804"/>
      <c r="FM387" s="1804"/>
      <c r="FN387" s="1804"/>
      <c r="FO387" s="1804"/>
      <c r="FP387" s="1804"/>
      <c r="FQ387" s="1804"/>
      <c r="FR387" s="1804"/>
      <c r="FS387" s="1804"/>
      <c r="FT387" s="1804"/>
      <c r="FU387" s="1804"/>
      <c r="FV387" s="1804"/>
      <c r="FW387" s="1804"/>
      <c r="FX387" s="1804"/>
      <c r="FY387" s="1804"/>
      <c r="FZ387" s="1804"/>
      <c r="GA387" s="1804"/>
      <c r="GB387" s="1804"/>
      <c r="GC387" s="1804"/>
      <c r="GD387" s="1804"/>
      <c r="GE387" s="1804"/>
      <c r="GF387" s="1804"/>
      <c r="GG387" s="1804"/>
      <c r="GH387" s="1804"/>
      <c r="GI387" s="1804"/>
      <c r="GJ387" s="1804"/>
      <c r="GK387" s="1804"/>
      <c r="GL387" s="1804"/>
      <c r="GM387" s="1804"/>
      <c r="GN387" s="1804"/>
      <c r="GO387" s="1804"/>
      <c r="GP387" s="1804"/>
      <c r="GQ387" s="1804"/>
      <c r="GR387" s="1804"/>
      <c r="GS387" s="1804"/>
      <c r="GT387" s="1804"/>
      <c r="GU387" s="1804"/>
      <c r="GV387" s="1804"/>
      <c r="GW387" s="1804"/>
      <c r="GX387" s="1804"/>
      <c r="GY387" s="1804"/>
      <c r="GZ387" s="1804"/>
      <c r="HA387" s="1804"/>
      <c r="HB387" s="1804"/>
      <c r="HC387" s="1804"/>
      <c r="HD387" s="1804"/>
      <c r="HE387" s="1804"/>
      <c r="HF387" s="1804"/>
      <c r="HG387" s="1804"/>
      <c r="HH387" s="1804"/>
      <c r="HI387" s="1804"/>
      <c r="HJ387" s="1804"/>
      <c r="HK387" s="1804"/>
      <c r="HL387" s="1804"/>
      <c r="HM387" s="1804"/>
      <c r="HN387" s="1804"/>
      <c r="HO387" s="1804"/>
      <c r="HP387" s="1804"/>
      <c r="HQ387" s="1804"/>
      <c r="HR387" s="1804"/>
      <c r="HS387" s="1804"/>
      <c r="HT387" s="1804"/>
      <c r="HU387" s="1804"/>
      <c r="HV387" s="1804"/>
      <c r="HW387" s="1804"/>
      <c r="HX387" s="1804"/>
      <c r="HY387" s="1804"/>
      <c r="HZ387" s="1804"/>
      <c r="IA387" s="1804"/>
      <c r="IB387" s="1804"/>
      <c r="IC387" s="1804"/>
      <c r="ID387" s="1804"/>
      <c r="IE387" s="1804"/>
      <c r="IF387" s="1804"/>
      <c r="IG387" s="1804"/>
      <c r="IH387" s="1804"/>
      <c r="II387" s="1804"/>
      <c r="IJ387" s="1804"/>
      <c r="IK387" s="1804"/>
      <c r="IL387" s="1804"/>
      <c r="IM387" s="1804"/>
      <c r="IN387" s="1804"/>
      <c r="IO387" s="1804"/>
      <c r="IP387" s="1804"/>
      <c r="IQ387" s="1804"/>
      <c r="IR387" s="1804"/>
      <c r="IS387" s="1804"/>
      <c r="IT387" s="1804"/>
      <c r="IU387" s="1804"/>
      <c r="IV387" s="1804"/>
      <c r="IW387" s="1804"/>
    </row>
    <row r="388" spans="3:257" s="888" customFormat="1" ht="14.65" thickBot="1" x14ac:dyDescent="0.5">
      <c r="C388" s="2330" t="s">
        <v>618</v>
      </c>
      <c r="D388" s="2333" t="s">
        <v>619</v>
      </c>
      <c r="E388" s="2333" t="s">
        <v>620</v>
      </c>
      <c r="F388" s="2336" t="s">
        <v>728</v>
      </c>
      <c r="G388" s="2337"/>
      <c r="H388" s="2337"/>
      <c r="I388" s="2337"/>
      <c r="J388" s="2337"/>
      <c r="K388" s="2337"/>
      <c r="L388" s="2337"/>
      <c r="M388" s="2105" t="s">
        <v>667</v>
      </c>
      <c r="N388" s="150" t="s">
        <v>2375</v>
      </c>
      <c r="O388" s="2090" t="s">
        <v>2375</v>
      </c>
      <c r="P388" s="2105" t="s">
        <v>667</v>
      </c>
      <c r="Y388" s="1804"/>
      <c r="Z388" s="1804"/>
      <c r="AA388" s="1804"/>
      <c r="AB388" s="1804"/>
      <c r="AC388" s="1804"/>
      <c r="AD388" s="1804"/>
      <c r="AE388" s="1804"/>
      <c r="AF388" s="1804"/>
      <c r="AG388" s="1804"/>
      <c r="AH388" s="1804"/>
      <c r="AI388" s="1804"/>
      <c r="AJ388" s="1804"/>
      <c r="AK388" s="1804"/>
      <c r="AL388" s="1804"/>
      <c r="AM388" s="1804"/>
      <c r="AN388" s="1804"/>
      <c r="AO388" s="1804"/>
      <c r="AP388" s="1804"/>
      <c r="AQ388" s="1804"/>
      <c r="AR388" s="1804"/>
      <c r="AS388" s="1804"/>
      <c r="AT388" s="1804"/>
      <c r="AU388" s="1804"/>
      <c r="AV388" s="1804"/>
      <c r="AW388" s="1804"/>
      <c r="AX388" s="1804"/>
      <c r="AY388" s="1804"/>
      <c r="AZ388" s="1804"/>
      <c r="BA388" s="1804"/>
      <c r="BB388" s="1804"/>
      <c r="BC388" s="1804"/>
      <c r="BD388" s="1804"/>
      <c r="BE388" s="1804"/>
      <c r="BF388" s="1804"/>
      <c r="BG388" s="1804"/>
      <c r="BH388" s="1804"/>
      <c r="BI388" s="1804"/>
      <c r="BJ388" s="1804"/>
      <c r="BK388" s="1804"/>
      <c r="BL388" s="1804"/>
      <c r="BM388" s="1804"/>
      <c r="BN388" s="1804"/>
      <c r="BO388" s="1804"/>
      <c r="BP388" s="1804"/>
      <c r="BQ388" s="1804"/>
      <c r="BR388" s="1804"/>
      <c r="BS388" s="1804"/>
      <c r="BT388" s="1804"/>
      <c r="BU388" s="1804"/>
      <c r="BV388" s="1804"/>
      <c r="BW388" s="1804"/>
      <c r="BX388" s="1804"/>
      <c r="BY388" s="1804"/>
      <c r="BZ388" s="1804"/>
      <c r="CA388" s="1804"/>
      <c r="CB388" s="1804"/>
      <c r="CC388" s="1804"/>
      <c r="CD388" s="1804"/>
      <c r="CE388" s="1804"/>
      <c r="CF388" s="1804"/>
      <c r="CG388" s="1804"/>
      <c r="CH388" s="1804"/>
      <c r="CI388" s="1804"/>
      <c r="CJ388" s="1804"/>
      <c r="CK388" s="1804"/>
      <c r="CL388" s="1804"/>
      <c r="CM388" s="1804"/>
      <c r="CN388" s="1804"/>
      <c r="CO388" s="1804"/>
      <c r="CP388" s="1804"/>
      <c r="CQ388" s="1804"/>
      <c r="CR388" s="1804"/>
      <c r="CS388" s="1804"/>
      <c r="CT388" s="1804"/>
      <c r="CU388" s="1804"/>
      <c r="CV388" s="1804"/>
      <c r="CW388" s="1804"/>
      <c r="CX388" s="1804"/>
      <c r="CY388" s="1804"/>
      <c r="CZ388" s="1804"/>
      <c r="DA388" s="1804"/>
      <c r="DB388" s="1804"/>
      <c r="DC388" s="1804"/>
      <c r="DD388" s="1804"/>
      <c r="DE388" s="1804"/>
      <c r="DF388" s="1804"/>
      <c r="DG388" s="1804"/>
      <c r="DH388" s="1804"/>
      <c r="DI388" s="1804"/>
      <c r="DJ388" s="1804"/>
      <c r="DK388" s="1804"/>
      <c r="DL388" s="1804"/>
      <c r="DM388" s="1804"/>
      <c r="DN388" s="1804"/>
      <c r="DO388" s="1804"/>
      <c r="DP388" s="1804"/>
      <c r="DQ388" s="1804"/>
      <c r="DR388" s="1804"/>
      <c r="DS388" s="1804"/>
      <c r="DT388" s="1804"/>
      <c r="DU388" s="1804"/>
      <c r="DV388" s="1804"/>
      <c r="DW388" s="1804"/>
      <c r="DX388" s="1804"/>
      <c r="DY388" s="1804"/>
      <c r="DZ388" s="1804"/>
      <c r="EA388" s="1804"/>
      <c r="EB388" s="1804"/>
      <c r="EC388" s="1804"/>
      <c r="ED388" s="1804"/>
      <c r="EE388" s="1804"/>
      <c r="EF388" s="1804"/>
      <c r="EG388" s="1804"/>
      <c r="EH388" s="1804"/>
      <c r="EI388" s="1804"/>
      <c r="EJ388" s="1804"/>
      <c r="EK388" s="1804"/>
      <c r="EL388" s="1804"/>
      <c r="EM388" s="1804"/>
      <c r="EN388" s="1804"/>
      <c r="EO388" s="1804"/>
      <c r="EP388" s="1804"/>
      <c r="EQ388" s="1804"/>
      <c r="ER388" s="1804"/>
      <c r="ES388" s="1804"/>
      <c r="ET388" s="1804"/>
      <c r="EU388" s="1804"/>
      <c r="EV388" s="1804"/>
      <c r="EW388" s="1804"/>
      <c r="EX388" s="1804"/>
      <c r="EY388" s="1804"/>
      <c r="EZ388" s="1804"/>
      <c r="FA388" s="1804"/>
      <c r="FB388" s="1804"/>
      <c r="FC388" s="1804"/>
      <c r="FD388" s="1804"/>
      <c r="FE388" s="1804"/>
      <c r="FF388" s="1804"/>
      <c r="FG388" s="1804"/>
      <c r="FH388" s="1804"/>
      <c r="FI388" s="1804"/>
      <c r="FJ388" s="1804"/>
      <c r="FK388" s="1804"/>
      <c r="FL388" s="1804"/>
      <c r="FM388" s="1804"/>
      <c r="FN388" s="1804"/>
      <c r="FO388" s="1804"/>
      <c r="FP388" s="1804"/>
      <c r="FQ388" s="1804"/>
      <c r="FR388" s="1804"/>
      <c r="FS388" s="1804"/>
      <c r="FT388" s="1804"/>
      <c r="FU388" s="1804"/>
      <c r="FV388" s="1804"/>
      <c r="FW388" s="1804"/>
      <c r="FX388" s="1804"/>
      <c r="FY388" s="1804"/>
      <c r="FZ388" s="1804"/>
      <c r="GA388" s="1804"/>
      <c r="GB388" s="1804"/>
      <c r="GC388" s="1804"/>
      <c r="GD388" s="1804"/>
      <c r="GE388" s="1804"/>
      <c r="GF388" s="1804"/>
      <c r="GG388" s="1804"/>
      <c r="GH388" s="1804"/>
      <c r="GI388" s="1804"/>
      <c r="GJ388" s="1804"/>
      <c r="GK388" s="1804"/>
      <c r="GL388" s="1804"/>
      <c r="GM388" s="1804"/>
      <c r="GN388" s="1804"/>
      <c r="GO388" s="1804"/>
      <c r="GP388" s="1804"/>
      <c r="GQ388" s="1804"/>
      <c r="GR388" s="1804"/>
      <c r="GS388" s="1804"/>
      <c r="GT388" s="1804"/>
      <c r="GU388" s="1804"/>
      <c r="GV388" s="1804"/>
      <c r="GW388" s="1804"/>
      <c r="GX388" s="1804"/>
      <c r="GY388" s="1804"/>
      <c r="GZ388" s="1804"/>
      <c r="HA388" s="1804"/>
      <c r="HB388" s="1804"/>
      <c r="HC388" s="1804"/>
      <c r="HD388" s="1804"/>
      <c r="HE388" s="1804"/>
      <c r="HF388" s="1804"/>
      <c r="HG388" s="1804"/>
      <c r="HH388" s="1804"/>
      <c r="HI388" s="1804"/>
      <c r="HJ388" s="1804"/>
      <c r="HK388" s="1804"/>
      <c r="HL388" s="1804"/>
      <c r="HM388" s="1804"/>
      <c r="HN388" s="1804"/>
      <c r="HO388" s="1804"/>
      <c r="HP388" s="1804"/>
      <c r="HQ388" s="1804"/>
      <c r="HR388" s="1804"/>
      <c r="HS388" s="1804"/>
      <c r="HT388" s="1804"/>
      <c r="HU388" s="1804"/>
      <c r="HV388" s="1804"/>
      <c r="HW388" s="1804"/>
      <c r="HX388" s="1804"/>
      <c r="HY388" s="1804"/>
      <c r="HZ388" s="1804"/>
      <c r="IA388" s="1804"/>
      <c r="IB388" s="1804"/>
      <c r="IC388" s="1804"/>
      <c r="ID388" s="1804"/>
      <c r="IE388" s="1804"/>
      <c r="IF388" s="1804"/>
      <c r="IG388" s="1804"/>
      <c r="IH388" s="1804"/>
      <c r="II388" s="1804"/>
      <c r="IJ388" s="1804"/>
      <c r="IK388" s="1804"/>
      <c r="IL388" s="1804"/>
      <c r="IM388" s="1804"/>
      <c r="IN388" s="1804"/>
      <c r="IO388" s="1804"/>
      <c r="IP388" s="1804"/>
      <c r="IQ388" s="1804"/>
      <c r="IR388" s="1804"/>
      <c r="IS388" s="1804"/>
      <c r="IT388" s="1804"/>
      <c r="IU388" s="1804"/>
      <c r="IV388" s="1804"/>
      <c r="IW388" s="1804"/>
    </row>
    <row r="389" spans="3:257" s="888" customFormat="1" x14ac:dyDescent="0.45">
      <c r="C389" s="2331"/>
      <c r="D389" s="2334"/>
      <c r="E389" s="2334"/>
      <c r="F389" s="151" t="s">
        <v>729</v>
      </c>
      <c r="G389" s="151" t="s">
        <v>730</v>
      </c>
      <c r="H389" s="151" t="s">
        <v>731</v>
      </c>
      <c r="I389" s="151" t="s">
        <v>732</v>
      </c>
      <c r="J389" s="151" t="s">
        <v>733</v>
      </c>
      <c r="K389" s="151" t="s">
        <v>734</v>
      </c>
      <c r="L389" s="2091" t="s">
        <v>735</v>
      </c>
      <c r="M389" s="2106" t="s">
        <v>2374</v>
      </c>
      <c r="N389" s="152" t="s">
        <v>2374</v>
      </c>
      <c r="O389" s="2091" t="s">
        <v>2374</v>
      </c>
      <c r="P389" s="2106"/>
      <c r="Q389" s="1807"/>
      <c r="R389" s="1807"/>
      <c r="S389" s="1807"/>
      <c r="T389" s="1807"/>
      <c r="U389" s="1807"/>
      <c r="V389" s="1807"/>
      <c r="W389" s="1807"/>
      <c r="X389" s="1807"/>
      <c r="Y389" s="1810"/>
      <c r="Z389" s="1804"/>
      <c r="AA389" s="1804"/>
      <c r="AB389" s="1804"/>
      <c r="AC389" s="1804"/>
      <c r="AD389" s="1804"/>
      <c r="AE389" s="1804"/>
      <c r="AF389" s="1804"/>
      <c r="AG389" s="1804"/>
      <c r="AH389" s="1804"/>
      <c r="AI389" s="1804"/>
      <c r="AJ389" s="1804"/>
      <c r="AK389" s="1804"/>
      <c r="AL389" s="1804"/>
      <c r="AM389" s="1804"/>
      <c r="AN389" s="1804"/>
      <c r="AO389" s="1804"/>
      <c r="AP389" s="1804"/>
      <c r="AQ389" s="1804"/>
      <c r="AR389" s="1804"/>
      <c r="AS389" s="1804"/>
      <c r="AT389" s="1804"/>
      <c r="AU389" s="1804"/>
      <c r="AV389" s="1804"/>
      <c r="AW389" s="1804"/>
      <c r="AX389" s="1804"/>
      <c r="AY389" s="1804"/>
      <c r="AZ389" s="1804"/>
      <c r="BA389" s="1804"/>
      <c r="BB389" s="1804"/>
      <c r="BC389" s="1804"/>
      <c r="BD389" s="1804"/>
      <c r="BE389" s="1804"/>
      <c r="BF389" s="1804"/>
      <c r="BG389" s="1804"/>
      <c r="BH389" s="1804"/>
      <c r="BI389" s="1804"/>
      <c r="BJ389" s="1804"/>
      <c r="BK389" s="1804"/>
      <c r="BL389" s="1804"/>
      <c r="BM389" s="1804"/>
      <c r="BN389" s="1804"/>
      <c r="BO389" s="1804"/>
      <c r="BP389" s="1804"/>
      <c r="BQ389" s="1804"/>
      <c r="BR389" s="1804"/>
      <c r="BS389" s="1804"/>
      <c r="BT389" s="1804"/>
      <c r="BU389" s="1804"/>
      <c r="BV389" s="1804"/>
      <c r="BW389" s="1804"/>
      <c r="BX389" s="1804"/>
      <c r="BY389" s="1804"/>
      <c r="BZ389" s="1804"/>
      <c r="CA389" s="1804"/>
      <c r="CB389" s="1804"/>
      <c r="CC389" s="1804"/>
      <c r="CD389" s="1804"/>
      <c r="CE389" s="1804"/>
      <c r="CF389" s="1804"/>
      <c r="CG389" s="1804"/>
      <c r="CH389" s="1804"/>
      <c r="CI389" s="1804"/>
      <c r="CJ389" s="1804"/>
      <c r="CK389" s="1804"/>
      <c r="CL389" s="1804"/>
      <c r="CM389" s="1804"/>
      <c r="CN389" s="1804"/>
      <c r="CO389" s="1804"/>
      <c r="CP389" s="1804"/>
      <c r="CQ389" s="1804"/>
      <c r="CR389" s="1804"/>
      <c r="CS389" s="1804"/>
      <c r="CT389" s="1804"/>
      <c r="CU389" s="1804"/>
      <c r="CV389" s="1804"/>
      <c r="CW389" s="1804"/>
      <c r="CX389" s="1804"/>
      <c r="CY389" s="1804"/>
      <c r="CZ389" s="1804"/>
      <c r="DA389" s="1804"/>
      <c r="DB389" s="1804"/>
      <c r="DC389" s="1804"/>
      <c r="DD389" s="1804"/>
      <c r="DE389" s="1804"/>
      <c r="DF389" s="1804"/>
      <c r="DG389" s="1804"/>
      <c r="DH389" s="1804"/>
      <c r="DI389" s="1804"/>
      <c r="DJ389" s="1804"/>
      <c r="DK389" s="1804"/>
      <c r="DL389" s="1804"/>
      <c r="DM389" s="1804"/>
      <c r="DN389" s="1804"/>
      <c r="DO389" s="1804"/>
      <c r="DP389" s="1804"/>
      <c r="DQ389" s="1804"/>
      <c r="DR389" s="1804"/>
      <c r="DS389" s="1804"/>
      <c r="DT389" s="1804"/>
      <c r="DU389" s="1804"/>
      <c r="DV389" s="1804"/>
      <c r="DW389" s="1804"/>
      <c r="DX389" s="1804"/>
      <c r="DY389" s="1804"/>
      <c r="DZ389" s="1804"/>
      <c r="EA389" s="1804"/>
      <c r="EB389" s="1804"/>
      <c r="EC389" s="1804"/>
      <c r="ED389" s="1804"/>
      <c r="EE389" s="1804"/>
      <c r="EF389" s="1804"/>
      <c r="EG389" s="1804"/>
      <c r="EH389" s="1804"/>
      <c r="EI389" s="1804"/>
      <c r="EJ389" s="1804"/>
      <c r="EK389" s="1804"/>
      <c r="EL389" s="1804"/>
      <c r="EM389" s="1804"/>
      <c r="EN389" s="1804"/>
      <c r="EO389" s="1804"/>
      <c r="EP389" s="1804"/>
      <c r="EQ389" s="1804"/>
      <c r="ER389" s="1804"/>
      <c r="ES389" s="1804"/>
      <c r="ET389" s="1804"/>
      <c r="EU389" s="1804"/>
      <c r="EV389" s="1804"/>
      <c r="EW389" s="1804"/>
      <c r="EX389" s="1804"/>
      <c r="EY389" s="1804"/>
      <c r="EZ389" s="1804"/>
      <c r="FA389" s="1804"/>
      <c r="FB389" s="1804"/>
      <c r="FC389" s="1804"/>
      <c r="FD389" s="1804"/>
      <c r="FE389" s="1804"/>
      <c r="FF389" s="1804"/>
      <c r="FG389" s="1804"/>
      <c r="FH389" s="1804"/>
      <c r="FI389" s="1804"/>
      <c r="FJ389" s="1804"/>
      <c r="FK389" s="1804"/>
      <c r="FL389" s="1804"/>
      <c r="FM389" s="1804"/>
      <c r="FN389" s="1804"/>
      <c r="FO389" s="1804"/>
      <c r="FP389" s="1804"/>
      <c r="FQ389" s="1804"/>
      <c r="FR389" s="1804"/>
      <c r="FS389" s="1804"/>
      <c r="FT389" s="1804"/>
      <c r="FU389" s="1804"/>
      <c r="FV389" s="1804"/>
      <c r="FW389" s="1804"/>
      <c r="FX389" s="1804"/>
      <c r="FY389" s="1804"/>
      <c r="FZ389" s="1804"/>
      <c r="GA389" s="1804"/>
      <c r="GB389" s="1804"/>
      <c r="GC389" s="1804"/>
      <c r="GD389" s="1804"/>
      <c r="GE389" s="1804"/>
      <c r="GF389" s="1804"/>
      <c r="GG389" s="1804"/>
      <c r="GH389" s="1804"/>
      <c r="GI389" s="1804"/>
      <c r="GJ389" s="1804"/>
      <c r="GK389" s="1804"/>
      <c r="GL389" s="1804"/>
      <c r="GM389" s="1804"/>
      <c r="GN389" s="1804"/>
      <c r="GO389" s="1804"/>
      <c r="GP389" s="1804"/>
      <c r="GQ389" s="1804"/>
      <c r="GR389" s="1804"/>
      <c r="GS389" s="1804"/>
      <c r="GT389" s="1804"/>
      <c r="GU389" s="1804"/>
      <c r="GV389" s="1804"/>
      <c r="GW389" s="1804"/>
      <c r="GX389" s="1804"/>
      <c r="GY389" s="1804"/>
      <c r="GZ389" s="1804"/>
      <c r="HA389" s="1804"/>
      <c r="HB389" s="1804"/>
      <c r="HC389" s="1804"/>
      <c r="HD389" s="1804"/>
      <c r="HE389" s="1804"/>
      <c r="HF389" s="1804"/>
      <c r="HG389" s="1804"/>
      <c r="HH389" s="1804"/>
      <c r="HI389" s="1804"/>
      <c r="HJ389" s="1804"/>
      <c r="HK389" s="1804"/>
      <c r="HL389" s="1804"/>
      <c r="HM389" s="1804"/>
      <c r="HN389" s="1804"/>
      <c r="HO389" s="1804"/>
      <c r="HP389" s="1804"/>
      <c r="HQ389" s="1804"/>
      <c r="HR389" s="1804"/>
      <c r="HS389" s="1804"/>
      <c r="HT389" s="1804"/>
      <c r="HU389" s="1804"/>
      <c r="HV389" s="1804"/>
      <c r="HW389" s="1804"/>
      <c r="HX389" s="1804"/>
      <c r="HY389" s="1804"/>
      <c r="HZ389" s="1804"/>
      <c r="IA389" s="1804"/>
      <c r="IB389" s="1804"/>
      <c r="IC389" s="1804"/>
      <c r="ID389" s="1804"/>
      <c r="IE389" s="1804"/>
      <c r="IF389" s="1804"/>
      <c r="IG389" s="1804"/>
      <c r="IH389" s="1804"/>
      <c r="II389" s="1804"/>
      <c r="IJ389" s="1804"/>
      <c r="IK389" s="1804"/>
      <c r="IL389" s="1804"/>
      <c r="IM389" s="1804"/>
      <c r="IN389" s="1804"/>
      <c r="IO389" s="1804"/>
      <c r="IP389" s="1804"/>
      <c r="IQ389" s="1804"/>
      <c r="IR389" s="1804"/>
      <c r="IS389" s="1804"/>
      <c r="IT389" s="1804"/>
      <c r="IU389" s="1804"/>
      <c r="IV389" s="1804"/>
      <c r="IW389" s="1804"/>
    </row>
    <row r="390" spans="3:257" s="888" customFormat="1" ht="15.75" thickBot="1" x14ac:dyDescent="0.5">
      <c r="C390" s="2332"/>
      <c r="D390" s="2335"/>
      <c r="E390" s="2335"/>
      <c r="F390" s="124" t="s">
        <v>621</v>
      </c>
      <c r="G390" s="124" t="s">
        <v>621</v>
      </c>
      <c r="H390" s="124" t="s">
        <v>736</v>
      </c>
      <c r="I390" s="124" t="s">
        <v>736</v>
      </c>
      <c r="J390" s="124" t="s">
        <v>736</v>
      </c>
      <c r="K390" s="124" t="s">
        <v>736</v>
      </c>
      <c r="L390" s="2104" t="s">
        <v>736</v>
      </c>
      <c r="M390" s="2107" t="s">
        <v>736</v>
      </c>
      <c r="N390" s="2108" t="s">
        <v>2376</v>
      </c>
      <c r="O390" s="2104" t="s">
        <v>2377</v>
      </c>
      <c r="P390" s="2115" t="s">
        <v>590</v>
      </c>
      <c r="Q390" s="1807"/>
      <c r="R390" s="1807"/>
      <c r="S390" s="1807"/>
      <c r="T390" s="1807"/>
      <c r="U390" s="1807"/>
      <c r="V390" s="1807"/>
      <c r="W390" s="1807"/>
      <c r="X390" s="1807"/>
      <c r="Y390" s="1836"/>
      <c r="Z390" s="1804"/>
      <c r="AA390" s="1804"/>
      <c r="AB390" s="1804"/>
      <c r="AC390" s="1804"/>
      <c r="AD390" s="1804"/>
      <c r="AE390" s="1804"/>
      <c r="AF390" s="1804"/>
      <c r="AG390" s="1804"/>
      <c r="AH390" s="1804"/>
      <c r="AI390" s="1804"/>
      <c r="AJ390" s="1804"/>
      <c r="AK390" s="1804"/>
      <c r="AL390" s="1804"/>
      <c r="AM390" s="1804"/>
      <c r="AN390" s="1804"/>
      <c r="AO390" s="1804"/>
      <c r="AP390" s="1804"/>
      <c r="AQ390" s="1804"/>
      <c r="AR390" s="1804"/>
      <c r="AS390" s="1804"/>
      <c r="AT390" s="1804"/>
      <c r="AU390" s="1804"/>
      <c r="AV390" s="1804"/>
      <c r="AW390" s="1804"/>
      <c r="AX390" s="1804"/>
      <c r="AY390" s="1804"/>
      <c r="AZ390" s="1804"/>
      <c r="BA390" s="1804"/>
      <c r="BB390" s="1804"/>
      <c r="BC390" s="1804"/>
      <c r="BD390" s="1804"/>
      <c r="BE390" s="1804"/>
      <c r="BF390" s="1804"/>
      <c r="BG390" s="1804"/>
      <c r="BH390" s="1804"/>
      <c r="BI390" s="1804"/>
      <c r="BJ390" s="1804"/>
      <c r="BK390" s="1804"/>
      <c r="BL390" s="1804"/>
      <c r="BM390" s="1804"/>
      <c r="BN390" s="1804"/>
      <c r="BO390" s="1804"/>
      <c r="BP390" s="1804"/>
      <c r="BQ390" s="1804"/>
      <c r="BR390" s="1804"/>
      <c r="BS390" s="1804"/>
      <c r="BT390" s="1804"/>
      <c r="BU390" s="1804"/>
      <c r="BV390" s="1804"/>
      <c r="BW390" s="1804"/>
      <c r="BX390" s="1804"/>
      <c r="BY390" s="1804"/>
      <c r="BZ390" s="1804"/>
      <c r="CA390" s="1804"/>
      <c r="CB390" s="1804"/>
      <c r="CC390" s="1804"/>
      <c r="CD390" s="1804"/>
      <c r="CE390" s="1804"/>
      <c r="CF390" s="1804"/>
      <c r="CG390" s="1804"/>
      <c r="CH390" s="1804"/>
      <c r="CI390" s="1804"/>
      <c r="CJ390" s="1804"/>
      <c r="CK390" s="1804"/>
      <c r="CL390" s="1804"/>
      <c r="CM390" s="1804"/>
      <c r="CN390" s="1804"/>
      <c r="CO390" s="1804"/>
      <c r="CP390" s="1804"/>
      <c r="CQ390" s="1804"/>
      <c r="CR390" s="1804"/>
      <c r="CS390" s="1804"/>
      <c r="CT390" s="1804"/>
      <c r="CU390" s="1804"/>
      <c r="CV390" s="1804"/>
      <c r="CW390" s="1804"/>
      <c r="CX390" s="1804"/>
      <c r="CY390" s="1804"/>
      <c r="CZ390" s="1804"/>
      <c r="DA390" s="1804"/>
      <c r="DB390" s="1804"/>
      <c r="DC390" s="1804"/>
      <c r="DD390" s="1804"/>
      <c r="DE390" s="1804"/>
      <c r="DF390" s="1804"/>
      <c r="DG390" s="1804"/>
      <c r="DH390" s="1804"/>
      <c r="DI390" s="1804"/>
      <c r="DJ390" s="1804"/>
      <c r="DK390" s="1804"/>
      <c r="DL390" s="1804"/>
      <c r="DM390" s="1804"/>
      <c r="DN390" s="1804"/>
      <c r="DO390" s="1804"/>
      <c r="DP390" s="1804"/>
      <c r="DQ390" s="1804"/>
      <c r="DR390" s="1804"/>
      <c r="DS390" s="1804"/>
      <c r="DT390" s="1804"/>
      <c r="DU390" s="1804"/>
      <c r="DV390" s="1804"/>
      <c r="DW390" s="1804"/>
      <c r="DX390" s="1804"/>
      <c r="DY390" s="1804"/>
      <c r="DZ390" s="1804"/>
      <c r="EA390" s="1804"/>
      <c r="EB390" s="1804"/>
      <c r="EC390" s="1804"/>
      <c r="ED390" s="1804"/>
      <c r="EE390" s="1804"/>
      <c r="EF390" s="1804"/>
      <c r="EG390" s="1804"/>
      <c r="EH390" s="1804"/>
      <c r="EI390" s="1804"/>
      <c r="EJ390" s="1804"/>
      <c r="EK390" s="1804"/>
      <c r="EL390" s="1804"/>
      <c r="EM390" s="1804"/>
      <c r="EN390" s="1804"/>
      <c r="EO390" s="1804"/>
      <c r="EP390" s="1804"/>
      <c r="EQ390" s="1804"/>
      <c r="ER390" s="1804"/>
      <c r="ES390" s="1804"/>
      <c r="ET390" s="1804"/>
      <c r="EU390" s="1804"/>
      <c r="EV390" s="1804"/>
      <c r="EW390" s="1804"/>
      <c r="EX390" s="1804"/>
      <c r="EY390" s="1804"/>
      <c r="EZ390" s="1804"/>
      <c r="FA390" s="1804"/>
      <c r="FB390" s="1804"/>
      <c r="FC390" s="1804"/>
      <c r="FD390" s="1804"/>
      <c r="FE390" s="1804"/>
      <c r="FF390" s="1804"/>
      <c r="FG390" s="1804"/>
      <c r="FH390" s="1804"/>
      <c r="FI390" s="1804"/>
      <c r="FJ390" s="1804"/>
      <c r="FK390" s="1804"/>
      <c r="FL390" s="1804"/>
      <c r="FM390" s="1804"/>
      <c r="FN390" s="1804"/>
      <c r="FO390" s="1804"/>
      <c r="FP390" s="1804"/>
      <c r="FQ390" s="1804"/>
      <c r="FR390" s="1804"/>
      <c r="FS390" s="1804"/>
      <c r="FT390" s="1804"/>
      <c r="FU390" s="1804"/>
      <c r="FV390" s="1804"/>
      <c r="FW390" s="1804"/>
      <c r="FX390" s="1804"/>
      <c r="FY390" s="1804"/>
      <c r="FZ390" s="1804"/>
      <c r="GA390" s="1804"/>
      <c r="GB390" s="1804"/>
      <c r="GC390" s="1804"/>
      <c r="GD390" s="1804"/>
      <c r="GE390" s="1804"/>
      <c r="GF390" s="1804"/>
      <c r="GG390" s="1804"/>
      <c r="GH390" s="1804"/>
      <c r="GI390" s="1804"/>
      <c r="GJ390" s="1804"/>
      <c r="GK390" s="1804"/>
      <c r="GL390" s="1804"/>
      <c r="GM390" s="1804"/>
      <c r="GN390" s="1804"/>
      <c r="GO390" s="1804"/>
      <c r="GP390" s="1804"/>
      <c r="GQ390" s="1804"/>
      <c r="GR390" s="1804"/>
      <c r="GS390" s="1804"/>
      <c r="GT390" s="1804"/>
      <c r="GU390" s="1804"/>
      <c r="GV390" s="1804"/>
      <c r="GW390" s="1804"/>
      <c r="GX390" s="1804"/>
      <c r="GY390" s="1804"/>
      <c r="GZ390" s="1804"/>
      <c r="HA390" s="1804"/>
      <c r="HB390" s="1804"/>
      <c r="HC390" s="1804"/>
      <c r="HD390" s="1804"/>
      <c r="HE390" s="1804"/>
      <c r="HF390" s="1804"/>
      <c r="HG390" s="1804"/>
      <c r="HH390" s="1804"/>
      <c r="HI390" s="1804"/>
      <c r="HJ390" s="1804"/>
      <c r="HK390" s="1804"/>
      <c r="HL390" s="1804"/>
      <c r="HM390" s="1804"/>
      <c r="HN390" s="1804"/>
      <c r="HO390" s="1804"/>
      <c r="HP390" s="1804"/>
      <c r="HQ390" s="1804"/>
      <c r="HR390" s="1804"/>
      <c r="HS390" s="1804"/>
      <c r="HT390" s="1804"/>
      <c r="HU390" s="1804"/>
      <c r="HV390" s="1804"/>
      <c r="HW390" s="1804"/>
      <c r="HX390" s="1804"/>
      <c r="HY390" s="1804"/>
      <c r="HZ390" s="1804"/>
      <c r="IA390" s="1804"/>
      <c r="IB390" s="1804"/>
      <c r="IC390" s="1804"/>
      <c r="ID390" s="1804"/>
      <c r="IE390" s="1804"/>
      <c r="IF390" s="1804"/>
      <c r="IG390" s="1804"/>
      <c r="IH390" s="1804"/>
      <c r="II390" s="1804"/>
      <c r="IJ390" s="1804"/>
      <c r="IK390" s="1804"/>
      <c r="IL390" s="1804"/>
      <c r="IM390" s="1804"/>
      <c r="IN390" s="1804"/>
      <c r="IO390" s="1804"/>
      <c r="IP390" s="1804"/>
      <c r="IQ390" s="1804"/>
      <c r="IR390" s="1804"/>
      <c r="IS390" s="1804"/>
      <c r="IT390" s="1804"/>
      <c r="IU390" s="1804"/>
      <c r="IV390" s="1804"/>
      <c r="IW390" s="1804"/>
    </row>
    <row r="391" spans="3:257" s="888" customFormat="1" x14ac:dyDescent="0.45">
      <c r="C391" s="67" t="s">
        <v>528</v>
      </c>
      <c r="D391" s="68" t="s">
        <v>630</v>
      </c>
      <c r="E391" s="69"/>
      <c r="F391" s="153">
        <v>789.67910432899998</v>
      </c>
      <c r="G391" s="153">
        <v>1324.3523336573001</v>
      </c>
      <c r="H391" s="153">
        <v>75563.581191286998</v>
      </c>
      <c r="I391" s="153">
        <v>13687.350744686</v>
      </c>
      <c r="J391" s="153">
        <v>12342.722390477</v>
      </c>
      <c r="K391" s="154">
        <v>15385.388924176001</v>
      </c>
      <c r="L391" s="153">
        <v>8679.1711743379801</v>
      </c>
      <c r="M391" s="155">
        <f>SUM(F391:L391)</f>
        <v>127772.24586295028</v>
      </c>
      <c r="N391" s="2109">
        <v>139.11083499999995</v>
      </c>
      <c r="O391" s="2112">
        <v>1638.8046610000001</v>
      </c>
      <c r="P391" s="2116">
        <f>SUM(M391:O391)</f>
        <v>129550.16135895028</v>
      </c>
      <c r="Q391" s="1810"/>
      <c r="R391" s="1810"/>
      <c r="S391" s="1837"/>
      <c r="T391" s="1837"/>
      <c r="U391" s="1837"/>
      <c r="V391" s="1837"/>
      <c r="W391" s="1837"/>
      <c r="X391" s="1837"/>
      <c r="Y391" s="1836"/>
      <c r="Z391" s="1830"/>
      <c r="AA391" s="1830"/>
      <c r="AB391" s="1804"/>
      <c r="AC391" s="1804"/>
      <c r="AD391" s="1804"/>
      <c r="AE391" s="1804"/>
      <c r="AF391" s="1804"/>
      <c r="AG391" s="1804"/>
      <c r="AH391" s="1804"/>
      <c r="AI391" s="1804"/>
      <c r="AJ391" s="1804"/>
      <c r="AK391" s="1804"/>
      <c r="AL391" s="1804"/>
      <c r="AM391" s="1804"/>
      <c r="AN391" s="1804"/>
      <c r="AO391" s="1804"/>
      <c r="AP391" s="1804"/>
      <c r="AQ391" s="1804"/>
      <c r="AR391" s="1804"/>
      <c r="AS391" s="1804"/>
      <c r="AT391" s="1804"/>
      <c r="AU391" s="1804"/>
      <c r="AV391" s="1804"/>
      <c r="AW391" s="1804"/>
      <c r="AX391" s="1804"/>
      <c r="AY391" s="1804"/>
      <c r="AZ391" s="1804"/>
      <c r="BA391" s="1804"/>
      <c r="BB391" s="1804"/>
      <c r="BC391" s="1804"/>
      <c r="BD391" s="1804"/>
      <c r="BE391" s="1804"/>
      <c r="BF391" s="1804"/>
      <c r="BG391" s="1804"/>
      <c r="BH391" s="1804"/>
      <c r="BI391" s="1804"/>
      <c r="BJ391" s="1804"/>
      <c r="BK391" s="1804"/>
      <c r="BL391" s="1804"/>
      <c r="BM391" s="1804"/>
      <c r="BN391" s="1804"/>
      <c r="BO391" s="1804"/>
      <c r="BP391" s="1804"/>
      <c r="BQ391" s="1804"/>
      <c r="BR391" s="1804"/>
      <c r="BS391" s="1804"/>
      <c r="BT391" s="1804"/>
      <c r="BU391" s="1804"/>
      <c r="BV391" s="1804"/>
      <c r="BW391" s="1804"/>
      <c r="BX391" s="1804"/>
      <c r="BY391" s="1804"/>
      <c r="BZ391" s="1804"/>
      <c r="CA391" s="1804"/>
      <c r="CB391" s="1804"/>
      <c r="CC391" s="1804"/>
      <c r="CD391" s="1804"/>
      <c r="CE391" s="1804"/>
      <c r="CF391" s="1804"/>
      <c r="CG391" s="1804"/>
      <c r="CH391" s="1804"/>
      <c r="CI391" s="1804"/>
      <c r="CJ391" s="1804"/>
      <c r="CK391" s="1804"/>
      <c r="CL391" s="1804"/>
      <c r="CM391" s="1804"/>
      <c r="CN391" s="1804"/>
      <c r="CO391" s="1804"/>
      <c r="CP391" s="1804"/>
      <c r="CQ391" s="1804"/>
      <c r="CR391" s="1804"/>
      <c r="CS391" s="1804"/>
      <c r="CT391" s="1804"/>
      <c r="CU391" s="1804"/>
      <c r="CV391" s="1804"/>
      <c r="CW391" s="1804"/>
      <c r="CX391" s="1804"/>
      <c r="CY391" s="1804"/>
      <c r="CZ391" s="1804"/>
      <c r="DA391" s="1804"/>
      <c r="DB391" s="1804"/>
      <c r="DC391" s="1804"/>
      <c r="DD391" s="1804"/>
      <c r="DE391" s="1804"/>
      <c r="DF391" s="1804"/>
      <c r="DG391" s="1804"/>
      <c r="DH391" s="1804"/>
      <c r="DI391" s="1804"/>
      <c r="DJ391" s="1804"/>
      <c r="DK391" s="1804"/>
      <c r="DL391" s="1804"/>
      <c r="DM391" s="1804"/>
      <c r="DN391" s="1804"/>
      <c r="DO391" s="1804"/>
      <c r="DP391" s="1804"/>
      <c r="DQ391" s="1804"/>
      <c r="DR391" s="1804"/>
      <c r="DS391" s="1804"/>
      <c r="DT391" s="1804"/>
      <c r="DU391" s="1804"/>
      <c r="DV391" s="1804"/>
      <c r="DW391" s="1804"/>
      <c r="DX391" s="1804"/>
      <c r="DY391" s="1804"/>
      <c r="DZ391" s="1804"/>
      <c r="EA391" s="1804"/>
      <c r="EB391" s="1804"/>
      <c r="EC391" s="1804"/>
      <c r="ED391" s="1804"/>
      <c r="EE391" s="1804"/>
      <c r="EF391" s="1804"/>
      <c r="EG391" s="1804"/>
      <c r="EH391" s="1804"/>
      <c r="EI391" s="1804"/>
      <c r="EJ391" s="1804"/>
      <c r="EK391" s="1804"/>
      <c r="EL391" s="1804"/>
      <c r="EM391" s="1804"/>
      <c r="EN391" s="1804"/>
      <c r="EO391" s="1804"/>
      <c r="EP391" s="1804"/>
      <c r="EQ391" s="1804"/>
      <c r="ER391" s="1804"/>
      <c r="ES391" s="1804"/>
      <c r="ET391" s="1804"/>
      <c r="EU391" s="1804"/>
      <c r="EV391" s="1804"/>
      <c r="EW391" s="1804"/>
      <c r="EX391" s="1804"/>
      <c r="EY391" s="1804"/>
      <c r="EZ391" s="1804"/>
      <c r="FA391" s="1804"/>
      <c r="FB391" s="1804"/>
      <c r="FC391" s="1804"/>
      <c r="FD391" s="1804"/>
      <c r="FE391" s="1804"/>
      <c r="FF391" s="1804"/>
      <c r="FG391" s="1804"/>
      <c r="FH391" s="1804"/>
      <c r="FI391" s="1804"/>
      <c r="FJ391" s="1804"/>
      <c r="FK391" s="1804"/>
      <c r="FL391" s="1804"/>
      <c r="FM391" s="1804"/>
      <c r="FN391" s="1804"/>
      <c r="FO391" s="1804"/>
      <c r="FP391" s="1804"/>
      <c r="FQ391" s="1804"/>
      <c r="FR391" s="1804"/>
      <c r="FS391" s="1804"/>
      <c r="FT391" s="1804"/>
      <c r="FU391" s="1804"/>
      <c r="FV391" s="1804"/>
      <c r="FW391" s="1804"/>
      <c r="FX391" s="1804"/>
      <c r="FY391" s="1804"/>
      <c r="FZ391" s="1804"/>
      <c r="GA391" s="1804"/>
      <c r="GB391" s="1804"/>
      <c r="GC391" s="1804"/>
      <c r="GD391" s="1804"/>
      <c r="GE391" s="1804"/>
      <c r="GF391" s="1804"/>
      <c r="GG391" s="1804"/>
      <c r="GH391" s="1804"/>
      <c r="GI391" s="1804"/>
      <c r="GJ391" s="1804"/>
      <c r="GK391" s="1804"/>
      <c r="GL391" s="1804"/>
      <c r="GM391" s="1804"/>
      <c r="GN391" s="1804"/>
      <c r="GO391" s="1804"/>
      <c r="GP391" s="1804"/>
      <c r="GQ391" s="1804"/>
      <c r="GR391" s="1804"/>
      <c r="GS391" s="1804"/>
      <c r="GT391" s="1804"/>
      <c r="GU391" s="1804"/>
      <c r="GV391" s="1804"/>
      <c r="GW391" s="1804"/>
      <c r="GX391" s="1804"/>
      <c r="GY391" s="1804"/>
      <c r="GZ391" s="1804"/>
      <c r="HA391" s="1804"/>
      <c r="HB391" s="1804"/>
      <c r="HC391" s="1804"/>
      <c r="HD391" s="1804"/>
      <c r="HE391" s="1804"/>
      <c r="HF391" s="1804"/>
      <c r="HG391" s="1804"/>
      <c r="HH391" s="1804"/>
      <c r="HI391" s="1804"/>
      <c r="HJ391" s="1804"/>
      <c r="HK391" s="1804"/>
      <c r="HL391" s="1804"/>
      <c r="HM391" s="1804"/>
      <c r="HN391" s="1804"/>
      <c r="HO391" s="1804"/>
      <c r="HP391" s="1804"/>
      <c r="HQ391" s="1804"/>
      <c r="HR391" s="1804"/>
      <c r="HS391" s="1804"/>
      <c r="HT391" s="1804"/>
      <c r="HU391" s="1804"/>
      <c r="HV391" s="1804"/>
      <c r="HW391" s="1804"/>
      <c r="HX391" s="1804"/>
      <c r="HY391" s="1804"/>
      <c r="HZ391" s="1804"/>
      <c r="IA391" s="1804"/>
      <c r="IB391" s="1804"/>
      <c r="IC391" s="1804"/>
      <c r="ID391" s="1804"/>
      <c r="IE391" s="1804"/>
      <c r="IF391" s="1804"/>
      <c r="IG391" s="1804"/>
      <c r="IH391" s="1804"/>
      <c r="II391" s="1804"/>
      <c r="IJ391" s="1804"/>
      <c r="IK391" s="1804"/>
      <c r="IL391" s="1804"/>
      <c r="IM391" s="1804"/>
      <c r="IN391" s="1804"/>
      <c r="IO391" s="1804"/>
      <c r="IP391" s="1804"/>
      <c r="IQ391" s="1804"/>
      <c r="IR391" s="1804"/>
      <c r="IS391" s="1804"/>
      <c r="IT391" s="1804"/>
      <c r="IU391" s="1804"/>
      <c r="IV391" s="1804"/>
      <c r="IW391" s="1804"/>
    </row>
    <row r="392" spans="3:257" s="888" customFormat="1" x14ac:dyDescent="0.45">
      <c r="C392" s="67" t="s">
        <v>529</v>
      </c>
      <c r="D392" s="68" t="s">
        <v>631</v>
      </c>
      <c r="E392" s="69"/>
      <c r="F392" s="153">
        <v>2978.5651402789999</v>
      </c>
      <c r="G392" s="153">
        <v>9660.9856231005797</v>
      </c>
      <c r="H392" s="153">
        <v>234224.92658262601</v>
      </c>
      <c r="I392" s="153">
        <v>41030.8618195401</v>
      </c>
      <c r="J392" s="153">
        <v>35707.3309964972</v>
      </c>
      <c r="K392" s="154">
        <v>31471.156462264</v>
      </c>
      <c r="L392" s="153">
        <v>15246.343628704</v>
      </c>
      <c r="M392" s="155">
        <f t="shared" ref="M392:M423" si="72">SUM(F392:L392)</f>
        <v>370320.17025301093</v>
      </c>
      <c r="N392" s="2110">
        <v>310.63655999999986</v>
      </c>
      <c r="O392" s="2113">
        <v>3620.5067767999999</v>
      </c>
      <c r="P392" s="2116">
        <f t="shared" ref="P392:P423" si="73">SUM(M392:O392)</f>
        <v>374251.31358981092</v>
      </c>
      <c r="Q392" s="1810"/>
      <c r="R392" s="1810"/>
      <c r="S392" s="1837"/>
      <c r="T392" s="1837"/>
      <c r="U392" s="1837"/>
      <c r="V392" s="1837"/>
      <c r="W392" s="1837"/>
      <c r="X392" s="1837"/>
      <c r="Y392" s="1810"/>
      <c r="Z392" s="1804"/>
      <c r="AA392" s="1804"/>
      <c r="AB392" s="1804"/>
      <c r="AC392" s="1804"/>
      <c r="AD392" s="1804"/>
      <c r="AE392" s="1804"/>
      <c r="AF392" s="1804"/>
      <c r="AG392" s="1804"/>
      <c r="AH392" s="1804"/>
      <c r="AI392" s="1804"/>
      <c r="AJ392" s="1804"/>
      <c r="AK392" s="1804"/>
      <c r="AL392" s="1804"/>
      <c r="AM392" s="1804"/>
      <c r="AN392" s="1804"/>
      <c r="AO392" s="1804"/>
      <c r="AP392" s="1804"/>
      <c r="AQ392" s="1804"/>
      <c r="AR392" s="1804"/>
      <c r="AS392" s="1804"/>
      <c r="AT392" s="1804"/>
      <c r="AU392" s="1804"/>
      <c r="AV392" s="1804"/>
      <c r="AW392" s="1804"/>
      <c r="AX392" s="1804"/>
      <c r="AY392" s="1804"/>
      <c r="AZ392" s="1804"/>
      <c r="BA392" s="1804"/>
      <c r="BB392" s="1804"/>
      <c r="BC392" s="1804"/>
      <c r="BD392" s="1804"/>
      <c r="BE392" s="1804"/>
      <c r="BF392" s="1804"/>
      <c r="BG392" s="1804"/>
      <c r="BH392" s="1804"/>
      <c r="BI392" s="1804"/>
      <c r="BJ392" s="1804"/>
      <c r="BK392" s="1804"/>
      <c r="BL392" s="1804"/>
      <c r="BM392" s="1804"/>
      <c r="BN392" s="1804"/>
      <c r="BO392" s="1804"/>
      <c r="BP392" s="1804"/>
      <c r="BQ392" s="1804"/>
      <c r="BR392" s="1804"/>
      <c r="BS392" s="1804"/>
      <c r="BT392" s="1804"/>
      <c r="BU392" s="1804"/>
      <c r="BV392" s="1804"/>
      <c r="BW392" s="1804"/>
      <c r="BX392" s="1804"/>
      <c r="BY392" s="1804"/>
      <c r="BZ392" s="1804"/>
      <c r="CA392" s="1804"/>
      <c r="CB392" s="1804"/>
      <c r="CC392" s="1804"/>
      <c r="CD392" s="1804"/>
      <c r="CE392" s="1804"/>
      <c r="CF392" s="1804"/>
      <c r="CG392" s="1804"/>
      <c r="CH392" s="1804"/>
      <c r="CI392" s="1804"/>
      <c r="CJ392" s="1804"/>
      <c r="CK392" s="1804"/>
      <c r="CL392" s="1804"/>
      <c r="CM392" s="1804"/>
      <c r="CN392" s="1804"/>
      <c r="CO392" s="1804"/>
      <c r="CP392" s="1804"/>
      <c r="CQ392" s="1804"/>
      <c r="CR392" s="1804"/>
      <c r="CS392" s="1804"/>
      <c r="CT392" s="1804"/>
      <c r="CU392" s="1804"/>
      <c r="CV392" s="1804"/>
      <c r="CW392" s="1804"/>
      <c r="CX392" s="1804"/>
      <c r="CY392" s="1804"/>
      <c r="CZ392" s="1804"/>
      <c r="DA392" s="1804"/>
      <c r="DB392" s="1804"/>
      <c r="DC392" s="1804"/>
      <c r="DD392" s="1804"/>
      <c r="DE392" s="1804"/>
      <c r="DF392" s="1804"/>
      <c r="DG392" s="1804"/>
      <c r="DH392" s="1804"/>
      <c r="DI392" s="1804"/>
      <c r="DJ392" s="1804"/>
      <c r="DK392" s="1804"/>
      <c r="DL392" s="1804"/>
      <c r="DM392" s="1804"/>
      <c r="DN392" s="1804"/>
      <c r="DO392" s="1804"/>
      <c r="DP392" s="1804"/>
      <c r="DQ392" s="1804"/>
      <c r="DR392" s="1804"/>
      <c r="DS392" s="1804"/>
      <c r="DT392" s="1804"/>
      <c r="DU392" s="1804"/>
      <c r="DV392" s="1804"/>
      <c r="DW392" s="1804"/>
      <c r="DX392" s="1804"/>
      <c r="DY392" s="1804"/>
      <c r="DZ392" s="1804"/>
      <c r="EA392" s="1804"/>
      <c r="EB392" s="1804"/>
      <c r="EC392" s="1804"/>
      <c r="ED392" s="1804"/>
      <c r="EE392" s="1804"/>
      <c r="EF392" s="1804"/>
      <c r="EG392" s="1804"/>
      <c r="EH392" s="1804"/>
      <c r="EI392" s="1804"/>
      <c r="EJ392" s="1804"/>
      <c r="EK392" s="1804"/>
      <c r="EL392" s="1804"/>
      <c r="EM392" s="1804"/>
      <c r="EN392" s="1804"/>
      <c r="EO392" s="1804"/>
      <c r="EP392" s="1804"/>
      <c r="EQ392" s="1804"/>
      <c r="ER392" s="1804"/>
      <c r="ES392" s="1804"/>
      <c r="ET392" s="1804"/>
      <c r="EU392" s="1804"/>
      <c r="EV392" s="1804"/>
      <c r="EW392" s="1804"/>
      <c r="EX392" s="1804"/>
      <c r="EY392" s="1804"/>
      <c r="EZ392" s="1804"/>
      <c r="FA392" s="1804"/>
      <c r="FB392" s="1804"/>
      <c r="FC392" s="1804"/>
      <c r="FD392" s="1804"/>
      <c r="FE392" s="1804"/>
      <c r="FF392" s="1804"/>
      <c r="FG392" s="1804"/>
      <c r="FH392" s="1804"/>
      <c r="FI392" s="1804"/>
      <c r="FJ392" s="1804"/>
      <c r="FK392" s="1804"/>
      <c r="FL392" s="1804"/>
      <c r="FM392" s="1804"/>
      <c r="FN392" s="1804"/>
      <c r="FO392" s="1804"/>
      <c r="FP392" s="1804"/>
      <c r="FQ392" s="1804"/>
      <c r="FR392" s="1804"/>
      <c r="FS392" s="1804"/>
      <c r="FT392" s="1804"/>
      <c r="FU392" s="1804"/>
      <c r="FV392" s="1804"/>
      <c r="FW392" s="1804"/>
      <c r="FX392" s="1804"/>
      <c r="FY392" s="1804"/>
      <c r="FZ392" s="1804"/>
      <c r="GA392" s="1804"/>
      <c r="GB392" s="1804"/>
      <c r="GC392" s="1804"/>
      <c r="GD392" s="1804"/>
      <c r="GE392" s="1804"/>
      <c r="GF392" s="1804"/>
      <c r="GG392" s="1804"/>
      <c r="GH392" s="1804"/>
      <c r="GI392" s="1804"/>
      <c r="GJ392" s="1804"/>
      <c r="GK392" s="1804"/>
      <c r="GL392" s="1804"/>
      <c r="GM392" s="1804"/>
      <c r="GN392" s="1804"/>
      <c r="GO392" s="1804"/>
      <c r="GP392" s="1804"/>
      <c r="GQ392" s="1804"/>
      <c r="GR392" s="1804"/>
      <c r="GS392" s="1804"/>
      <c r="GT392" s="1804"/>
      <c r="GU392" s="1804"/>
      <c r="GV392" s="1804"/>
      <c r="GW392" s="1804"/>
      <c r="GX392" s="1804"/>
      <c r="GY392" s="1804"/>
      <c r="GZ392" s="1804"/>
      <c r="HA392" s="1804"/>
      <c r="HB392" s="1804"/>
      <c r="HC392" s="1804"/>
      <c r="HD392" s="1804"/>
      <c r="HE392" s="1804"/>
      <c r="HF392" s="1804"/>
      <c r="HG392" s="1804"/>
      <c r="HH392" s="1804"/>
      <c r="HI392" s="1804"/>
      <c r="HJ392" s="1804"/>
      <c r="HK392" s="1804"/>
      <c r="HL392" s="1804"/>
      <c r="HM392" s="1804"/>
      <c r="HN392" s="1804"/>
      <c r="HO392" s="1804"/>
      <c r="HP392" s="1804"/>
      <c r="HQ392" s="1804"/>
      <c r="HR392" s="1804"/>
      <c r="HS392" s="1804"/>
      <c r="HT392" s="1804"/>
      <c r="HU392" s="1804"/>
      <c r="HV392" s="1804"/>
      <c r="HW392" s="1804"/>
      <c r="HX392" s="1804"/>
      <c r="HY392" s="1804"/>
      <c r="HZ392" s="1804"/>
      <c r="IA392" s="1804"/>
      <c r="IB392" s="1804"/>
      <c r="IC392" s="1804"/>
      <c r="ID392" s="1804"/>
      <c r="IE392" s="1804"/>
      <c r="IF392" s="1804"/>
      <c r="IG392" s="1804"/>
      <c r="IH392" s="1804"/>
      <c r="II392" s="1804"/>
      <c r="IJ392" s="1804"/>
      <c r="IK392" s="1804"/>
      <c r="IL392" s="1804"/>
      <c r="IM392" s="1804"/>
      <c r="IN392" s="1804"/>
      <c r="IO392" s="1804"/>
      <c r="IP392" s="1804"/>
      <c r="IQ392" s="1804"/>
      <c r="IR392" s="1804"/>
      <c r="IS392" s="1804"/>
      <c r="IT392" s="1804"/>
      <c r="IU392" s="1804"/>
      <c r="IV392" s="1804"/>
      <c r="IW392" s="1804"/>
    </row>
    <row r="393" spans="3:257" s="888" customFormat="1" x14ac:dyDescent="0.45">
      <c r="C393" s="67" t="s">
        <v>530</v>
      </c>
      <c r="D393" s="68" t="s">
        <v>632</v>
      </c>
      <c r="E393" s="69"/>
      <c r="F393" s="153">
        <v>1413.842491398</v>
      </c>
      <c r="G393" s="153">
        <v>1909.0214716953101</v>
      </c>
      <c r="H393" s="153">
        <v>116059.61035046099</v>
      </c>
      <c r="I393" s="153">
        <v>20970.362348883002</v>
      </c>
      <c r="J393" s="153">
        <v>17877.874401893001</v>
      </c>
      <c r="K393" s="154">
        <v>14829.114672139</v>
      </c>
      <c r="L393" s="153">
        <v>8293.4056761019692</v>
      </c>
      <c r="M393" s="155">
        <f t="shared" si="72"/>
        <v>181353.23141257127</v>
      </c>
      <c r="N393" s="2110">
        <v>177.28931249999999</v>
      </c>
      <c r="O393" s="2113">
        <v>2021.6954740000008</v>
      </c>
      <c r="P393" s="2116">
        <f t="shared" si="73"/>
        <v>183552.21619907129</v>
      </c>
      <c r="Q393" s="1810"/>
      <c r="R393" s="1810"/>
      <c r="S393" s="1837"/>
      <c r="T393" s="1837"/>
      <c r="U393" s="1837"/>
      <c r="V393" s="1837"/>
      <c r="W393" s="1837"/>
      <c r="X393" s="1837"/>
      <c r="Y393" s="1810"/>
      <c r="Z393" s="1804"/>
      <c r="AA393" s="1804"/>
      <c r="AB393" s="1804"/>
      <c r="AC393" s="1804"/>
      <c r="AD393" s="1804"/>
      <c r="AE393" s="1804"/>
      <c r="AF393" s="1804"/>
      <c r="AG393" s="1804"/>
      <c r="AH393" s="1804"/>
      <c r="AI393" s="1804"/>
      <c r="AJ393" s="1804"/>
      <c r="AK393" s="1804"/>
      <c r="AL393" s="1804"/>
      <c r="AM393" s="1804"/>
      <c r="AN393" s="1804"/>
      <c r="AO393" s="1804"/>
      <c r="AP393" s="1804"/>
      <c r="AQ393" s="1804"/>
      <c r="AR393" s="1804"/>
      <c r="AS393" s="1804"/>
      <c r="AT393" s="1804"/>
      <c r="AU393" s="1804"/>
      <c r="AV393" s="1804"/>
      <c r="AW393" s="1804"/>
      <c r="AX393" s="1804"/>
      <c r="AY393" s="1804"/>
      <c r="AZ393" s="1804"/>
      <c r="BA393" s="1804"/>
      <c r="BB393" s="1804"/>
      <c r="BC393" s="1804"/>
      <c r="BD393" s="1804"/>
      <c r="BE393" s="1804"/>
      <c r="BF393" s="1804"/>
      <c r="BG393" s="1804"/>
      <c r="BH393" s="1804"/>
      <c r="BI393" s="1804"/>
      <c r="BJ393" s="1804"/>
      <c r="BK393" s="1804"/>
      <c r="BL393" s="1804"/>
      <c r="BM393" s="1804"/>
      <c r="BN393" s="1804"/>
      <c r="BO393" s="1804"/>
      <c r="BP393" s="1804"/>
      <c r="BQ393" s="1804"/>
      <c r="BR393" s="1804"/>
      <c r="BS393" s="1804"/>
      <c r="BT393" s="1804"/>
      <c r="BU393" s="1804"/>
      <c r="BV393" s="1804"/>
      <c r="BW393" s="1804"/>
      <c r="BX393" s="1804"/>
      <c r="BY393" s="1804"/>
      <c r="BZ393" s="1804"/>
      <c r="CA393" s="1804"/>
      <c r="CB393" s="1804"/>
      <c r="CC393" s="1804"/>
      <c r="CD393" s="1804"/>
      <c r="CE393" s="1804"/>
      <c r="CF393" s="1804"/>
      <c r="CG393" s="1804"/>
      <c r="CH393" s="1804"/>
      <c r="CI393" s="1804"/>
      <c r="CJ393" s="1804"/>
      <c r="CK393" s="1804"/>
      <c r="CL393" s="1804"/>
      <c r="CM393" s="1804"/>
      <c r="CN393" s="1804"/>
      <c r="CO393" s="1804"/>
      <c r="CP393" s="1804"/>
      <c r="CQ393" s="1804"/>
      <c r="CR393" s="1804"/>
      <c r="CS393" s="1804"/>
      <c r="CT393" s="1804"/>
      <c r="CU393" s="1804"/>
      <c r="CV393" s="1804"/>
      <c r="CW393" s="1804"/>
      <c r="CX393" s="1804"/>
      <c r="CY393" s="1804"/>
      <c r="CZ393" s="1804"/>
      <c r="DA393" s="1804"/>
      <c r="DB393" s="1804"/>
      <c r="DC393" s="1804"/>
      <c r="DD393" s="1804"/>
      <c r="DE393" s="1804"/>
      <c r="DF393" s="1804"/>
      <c r="DG393" s="1804"/>
      <c r="DH393" s="1804"/>
      <c r="DI393" s="1804"/>
      <c r="DJ393" s="1804"/>
      <c r="DK393" s="1804"/>
      <c r="DL393" s="1804"/>
      <c r="DM393" s="1804"/>
      <c r="DN393" s="1804"/>
      <c r="DO393" s="1804"/>
      <c r="DP393" s="1804"/>
      <c r="DQ393" s="1804"/>
      <c r="DR393" s="1804"/>
      <c r="DS393" s="1804"/>
      <c r="DT393" s="1804"/>
      <c r="DU393" s="1804"/>
      <c r="DV393" s="1804"/>
      <c r="DW393" s="1804"/>
      <c r="DX393" s="1804"/>
      <c r="DY393" s="1804"/>
      <c r="DZ393" s="1804"/>
      <c r="EA393" s="1804"/>
      <c r="EB393" s="1804"/>
      <c r="EC393" s="1804"/>
      <c r="ED393" s="1804"/>
      <c r="EE393" s="1804"/>
      <c r="EF393" s="1804"/>
      <c r="EG393" s="1804"/>
      <c r="EH393" s="1804"/>
      <c r="EI393" s="1804"/>
      <c r="EJ393" s="1804"/>
      <c r="EK393" s="1804"/>
      <c r="EL393" s="1804"/>
      <c r="EM393" s="1804"/>
      <c r="EN393" s="1804"/>
      <c r="EO393" s="1804"/>
      <c r="EP393" s="1804"/>
      <c r="EQ393" s="1804"/>
      <c r="ER393" s="1804"/>
      <c r="ES393" s="1804"/>
      <c r="ET393" s="1804"/>
      <c r="EU393" s="1804"/>
      <c r="EV393" s="1804"/>
      <c r="EW393" s="1804"/>
      <c r="EX393" s="1804"/>
      <c r="EY393" s="1804"/>
      <c r="EZ393" s="1804"/>
      <c r="FA393" s="1804"/>
      <c r="FB393" s="1804"/>
      <c r="FC393" s="1804"/>
      <c r="FD393" s="1804"/>
      <c r="FE393" s="1804"/>
      <c r="FF393" s="1804"/>
      <c r="FG393" s="1804"/>
      <c r="FH393" s="1804"/>
      <c r="FI393" s="1804"/>
      <c r="FJ393" s="1804"/>
      <c r="FK393" s="1804"/>
      <c r="FL393" s="1804"/>
      <c r="FM393" s="1804"/>
      <c r="FN393" s="1804"/>
      <c r="FO393" s="1804"/>
      <c r="FP393" s="1804"/>
      <c r="FQ393" s="1804"/>
      <c r="FR393" s="1804"/>
      <c r="FS393" s="1804"/>
      <c r="FT393" s="1804"/>
      <c r="FU393" s="1804"/>
      <c r="FV393" s="1804"/>
      <c r="FW393" s="1804"/>
      <c r="FX393" s="1804"/>
      <c r="FY393" s="1804"/>
      <c r="FZ393" s="1804"/>
      <c r="GA393" s="1804"/>
      <c r="GB393" s="1804"/>
      <c r="GC393" s="1804"/>
      <c r="GD393" s="1804"/>
      <c r="GE393" s="1804"/>
      <c r="GF393" s="1804"/>
      <c r="GG393" s="1804"/>
      <c r="GH393" s="1804"/>
      <c r="GI393" s="1804"/>
      <c r="GJ393" s="1804"/>
      <c r="GK393" s="1804"/>
      <c r="GL393" s="1804"/>
      <c r="GM393" s="1804"/>
      <c r="GN393" s="1804"/>
      <c r="GO393" s="1804"/>
      <c r="GP393" s="1804"/>
      <c r="GQ393" s="1804"/>
      <c r="GR393" s="1804"/>
      <c r="GS393" s="1804"/>
      <c r="GT393" s="1804"/>
      <c r="GU393" s="1804"/>
      <c r="GV393" s="1804"/>
      <c r="GW393" s="1804"/>
      <c r="GX393" s="1804"/>
      <c r="GY393" s="1804"/>
      <c r="GZ393" s="1804"/>
      <c r="HA393" s="1804"/>
      <c r="HB393" s="1804"/>
      <c r="HC393" s="1804"/>
      <c r="HD393" s="1804"/>
      <c r="HE393" s="1804"/>
      <c r="HF393" s="1804"/>
      <c r="HG393" s="1804"/>
      <c r="HH393" s="1804"/>
      <c r="HI393" s="1804"/>
      <c r="HJ393" s="1804"/>
      <c r="HK393" s="1804"/>
      <c r="HL393" s="1804"/>
      <c r="HM393" s="1804"/>
      <c r="HN393" s="1804"/>
      <c r="HO393" s="1804"/>
      <c r="HP393" s="1804"/>
      <c r="HQ393" s="1804"/>
      <c r="HR393" s="1804"/>
      <c r="HS393" s="1804"/>
      <c r="HT393" s="1804"/>
      <c r="HU393" s="1804"/>
      <c r="HV393" s="1804"/>
      <c r="HW393" s="1804"/>
      <c r="HX393" s="1804"/>
      <c r="HY393" s="1804"/>
      <c r="HZ393" s="1804"/>
      <c r="IA393" s="1804"/>
      <c r="IB393" s="1804"/>
      <c r="IC393" s="1804"/>
      <c r="ID393" s="1804"/>
      <c r="IE393" s="1804"/>
      <c r="IF393" s="1804"/>
      <c r="IG393" s="1804"/>
      <c r="IH393" s="1804"/>
      <c r="II393" s="1804"/>
      <c r="IJ393" s="1804"/>
      <c r="IK393" s="1804"/>
      <c r="IL393" s="1804"/>
      <c r="IM393" s="1804"/>
      <c r="IN393" s="1804"/>
      <c r="IO393" s="1804"/>
      <c r="IP393" s="1804"/>
      <c r="IQ393" s="1804"/>
      <c r="IR393" s="1804"/>
      <c r="IS393" s="1804"/>
      <c r="IT393" s="1804"/>
      <c r="IU393" s="1804"/>
      <c r="IV393" s="1804"/>
      <c r="IW393" s="1804"/>
    </row>
    <row r="394" spans="3:257" s="888" customFormat="1" x14ac:dyDescent="0.45">
      <c r="C394" s="67" t="s">
        <v>531</v>
      </c>
      <c r="D394" s="68" t="s">
        <v>633</v>
      </c>
      <c r="E394" s="69"/>
      <c r="F394" s="153">
        <v>1650.0083861799999</v>
      </c>
      <c r="G394" s="153">
        <v>7285.7570629706097</v>
      </c>
      <c r="H394" s="153">
        <v>118513.238934582</v>
      </c>
      <c r="I394" s="153">
        <v>20376.928267560001</v>
      </c>
      <c r="J394" s="153">
        <v>25402.916105116001</v>
      </c>
      <c r="K394" s="154">
        <v>19387.356045322002</v>
      </c>
      <c r="L394" s="153">
        <v>7610.6053768449901</v>
      </c>
      <c r="M394" s="155">
        <f t="shared" si="72"/>
        <v>200226.8101785756</v>
      </c>
      <c r="N394" s="2110">
        <v>166.94906499999996</v>
      </c>
      <c r="O394" s="2113">
        <v>1900.9378280000003</v>
      </c>
      <c r="P394" s="2116">
        <f t="shared" si="73"/>
        <v>202294.69707157559</v>
      </c>
      <c r="Q394" s="1810"/>
      <c r="R394" s="1810"/>
      <c r="S394" s="1837"/>
      <c r="T394" s="1837"/>
      <c r="U394" s="1837"/>
      <c r="V394" s="1837"/>
      <c r="W394" s="1837"/>
      <c r="X394" s="1837"/>
      <c r="Y394" s="1810"/>
      <c r="Z394" s="1804"/>
      <c r="AA394" s="1804"/>
      <c r="AB394" s="1804"/>
      <c r="AC394" s="1804"/>
      <c r="AD394" s="1804"/>
      <c r="AE394" s="1804"/>
      <c r="AF394" s="1804"/>
      <c r="AG394" s="1804"/>
      <c r="AH394" s="1804"/>
      <c r="AI394" s="1804"/>
      <c r="AJ394" s="1804"/>
      <c r="AK394" s="1804"/>
      <c r="AL394" s="1804"/>
      <c r="AM394" s="1804"/>
      <c r="AN394" s="1804"/>
      <c r="AO394" s="1804"/>
      <c r="AP394" s="1804"/>
      <c r="AQ394" s="1804"/>
      <c r="AR394" s="1804"/>
      <c r="AS394" s="1804"/>
      <c r="AT394" s="1804"/>
      <c r="AU394" s="1804"/>
      <c r="AV394" s="1804"/>
      <c r="AW394" s="1804"/>
      <c r="AX394" s="1804"/>
      <c r="AY394" s="1804"/>
      <c r="AZ394" s="1804"/>
      <c r="BA394" s="1804"/>
      <c r="BB394" s="1804"/>
      <c r="BC394" s="1804"/>
      <c r="BD394" s="1804"/>
      <c r="BE394" s="1804"/>
      <c r="BF394" s="1804"/>
      <c r="BG394" s="1804"/>
      <c r="BH394" s="1804"/>
      <c r="BI394" s="1804"/>
      <c r="BJ394" s="1804"/>
      <c r="BK394" s="1804"/>
      <c r="BL394" s="1804"/>
      <c r="BM394" s="1804"/>
      <c r="BN394" s="1804"/>
      <c r="BO394" s="1804"/>
      <c r="BP394" s="1804"/>
      <c r="BQ394" s="1804"/>
      <c r="BR394" s="1804"/>
      <c r="BS394" s="1804"/>
      <c r="BT394" s="1804"/>
      <c r="BU394" s="1804"/>
      <c r="BV394" s="1804"/>
      <c r="BW394" s="1804"/>
      <c r="BX394" s="1804"/>
      <c r="BY394" s="1804"/>
      <c r="BZ394" s="1804"/>
      <c r="CA394" s="1804"/>
      <c r="CB394" s="1804"/>
      <c r="CC394" s="1804"/>
      <c r="CD394" s="1804"/>
      <c r="CE394" s="1804"/>
      <c r="CF394" s="1804"/>
      <c r="CG394" s="1804"/>
      <c r="CH394" s="1804"/>
      <c r="CI394" s="1804"/>
      <c r="CJ394" s="1804"/>
      <c r="CK394" s="1804"/>
      <c r="CL394" s="1804"/>
      <c r="CM394" s="1804"/>
      <c r="CN394" s="1804"/>
      <c r="CO394" s="1804"/>
      <c r="CP394" s="1804"/>
      <c r="CQ394" s="1804"/>
      <c r="CR394" s="1804"/>
      <c r="CS394" s="1804"/>
      <c r="CT394" s="1804"/>
      <c r="CU394" s="1804"/>
      <c r="CV394" s="1804"/>
      <c r="CW394" s="1804"/>
      <c r="CX394" s="1804"/>
      <c r="CY394" s="1804"/>
      <c r="CZ394" s="1804"/>
      <c r="DA394" s="1804"/>
      <c r="DB394" s="1804"/>
      <c r="DC394" s="1804"/>
      <c r="DD394" s="1804"/>
      <c r="DE394" s="1804"/>
      <c r="DF394" s="1804"/>
      <c r="DG394" s="1804"/>
      <c r="DH394" s="1804"/>
      <c r="DI394" s="1804"/>
      <c r="DJ394" s="1804"/>
      <c r="DK394" s="1804"/>
      <c r="DL394" s="1804"/>
      <c r="DM394" s="1804"/>
      <c r="DN394" s="1804"/>
      <c r="DO394" s="1804"/>
      <c r="DP394" s="1804"/>
      <c r="DQ394" s="1804"/>
      <c r="DR394" s="1804"/>
      <c r="DS394" s="1804"/>
      <c r="DT394" s="1804"/>
      <c r="DU394" s="1804"/>
      <c r="DV394" s="1804"/>
      <c r="DW394" s="1804"/>
      <c r="DX394" s="1804"/>
      <c r="DY394" s="1804"/>
      <c r="DZ394" s="1804"/>
      <c r="EA394" s="1804"/>
      <c r="EB394" s="1804"/>
      <c r="EC394" s="1804"/>
      <c r="ED394" s="1804"/>
      <c r="EE394" s="1804"/>
      <c r="EF394" s="1804"/>
      <c r="EG394" s="1804"/>
      <c r="EH394" s="1804"/>
      <c r="EI394" s="1804"/>
      <c r="EJ394" s="1804"/>
      <c r="EK394" s="1804"/>
      <c r="EL394" s="1804"/>
      <c r="EM394" s="1804"/>
      <c r="EN394" s="1804"/>
      <c r="EO394" s="1804"/>
      <c r="EP394" s="1804"/>
      <c r="EQ394" s="1804"/>
      <c r="ER394" s="1804"/>
      <c r="ES394" s="1804"/>
      <c r="ET394" s="1804"/>
      <c r="EU394" s="1804"/>
      <c r="EV394" s="1804"/>
      <c r="EW394" s="1804"/>
      <c r="EX394" s="1804"/>
      <c r="EY394" s="1804"/>
      <c r="EZ394" s="1804"/>
      <c r="FA394" s="1804"/>
      <c r="FB394" s="1804"/>
      <c r="FC394" s="1804"/>
      <c r="FD394" s="1804"/>
      <c r="FE394" s="1804"/>
      <c r="FF394" s="1804"/>
      <c r="FG394" s="1804"/>
      <c r="FH394" s="1804"/>
      <c r="FI394" s="1804"/>
      <c r="FJ394" s="1804"/>
      <c r="FK394" s="1804"/>
      <c r="FL394" s="1804"/>
      <c r="FM394" s="1804"/>
      <c r="FN394" s="1804"/>
      <c r="FO394" s="1804"/>
      <c r="FP394" s="1804"/>
      <c r="FQ394" s="1804"/>
      <c r="FR394" s="1804"/>
      <c r="FS394" s="1804"/>
      <c r="FT394" s="1804"/>
      <c r="FU394" s="1804"/>
      <c r="FV394" s="1804"/>
      <c r="FW394" s="1804"/>
      <c r="FX394" s="1804"/>
      <c r="FY394" s="1804"/>
      <c r="FZ394" s="1804"/>
      <c r="GA394" s="1804"/>
      <c r="GB394" s="1804"/>
      <c r="GC394" s="1804"/>
      <c r="GD394" s="1804"/>
      <c r="GE394" s="1804"/>
      <c r="GF394" s="1804"/>
      <c r="GG394" s="1804"/>
      <c r="GH394" s="1804"/>
      <c r="GI394" s="1804"/>
      <c r="GJ394" s="1804"/>
      <c r="GK394" s="1804"/>
      <c r="GL394" s="1804"/>
      <c r="GM394" s="1804"/>
      <c r="GN394" s="1804"/>
      <c r="GO394" s="1804"/>
      <c r="GP394" s="1804"/>
      <c r="GQ394" s="1804"/>
      <c r="GR394" s="1804"/>
      <c r="GS394" s="1804"/>
      <c r="GT394" s="1804"/>
      <c r="GU394" s="1804"/>
      <c r="GV394" s="1804"/>
      <c r="GW394" s="1804"/>
      <c r="GX394" s="1804"/>
      <c r="GY394" s="1804"/>
      <c r="GZ394" s="1804"/>
      <c r="HA394" s="1804"/>
      <c r="HB394" s="1804"/>
      <c r="HC394" s="1804"/>
      <c r="HD394" s="1804"/>
      <c r="HE394" s="1804"/>
      <c r="HF394" s="1804"/>
      <c r="HG394" s="1804"/>
      <c r="HH394" s="1804"/>
      <c r="HI394" s="1804"/>
      <c r="HJ394" s="1804"/>
      <c r="HK394" s="1804"/>
      <c r="HL394" s="1804"/>
      <c r="HM394" s="1804"/>
      <c r="HN394" s="1804"/>
      <c r="HO394" s="1804"/>
      <c r="HP394" s="1804"/>
      <c r="HQ394" s="1804"/>
      <c r="HR394" s="1804"/>
      <c r="HS394" s="1804"/>
      <c r="HT394" s="1804"/>
      <c r="HU394" s="1804"/>
      <c r="HV394" s="1804"/>
      <c r="HW394" s="1804"/>
      <c r="HX394" s="1804"/>
      <c r="HY394" s="1804"/>
      <c r="HZ394" s="1804"/>
      <c r="IA394" s="1804"/>
      <c r="IB394" s="1804"/>
      <c r="IC394" s="1804"/>
      <c r="ID394" s="1804"/>
      <c r="IE394" s="1804"/>
      <c r="IF394" s="1804"/>
      <c r="IG394" s="1804"/>
      <c r="IH394" s="1804"/>
      <c r="II394" s="1804"/>
      <c r="IJ394" s="1804"/>
      <c r="IK394" s="1804"/>
      <c r="IL394" s="1804"/>
      <c r="IM394" s="1804"/>
      <c r="IN394" s="1804"/>
      <c r="IO394" s="1804"/>
      <c r="IP394" s="1804"/>
      <c r="IQ394" s="1804"/>
      <c r="IR394" s="1804"/>
      <c r="IS394" s="1804"/>
      <c r="IT394" s="1804"/>
      <c r="IU394" s="1804"/>
      <c r="IV394" s="1804"/>
      <c r="IW394" s="1804"/>
    </row>
    <row r="395" spans="3:257" s="888" customFormat="1" x14ac:dyDescent="0.45">
      <c r="C395" s="67" t="s">
        <v>532</v>
      </c>
      <c r="D395" s="68" t="s">
        <v>634</v>
      </c>
      <c r="E395" s="69"/>
      <c r="F395" s="153">
        <v>1978.844559937</v>
      </c>
      <c r="G395" s="153">
        <v>2683.1005879339</v>
      </c>
      <c r="H395" s="153">
        <v>163742.643780112</v>
      </c>
      <c r="I395" s="153">
        <v>26844.390893303</v>
      </c>
      <c r="J395" s="153">
        <v>24457.7307192476</v>
      </c>
      <c r="K395" s="154">
        <v>17507.412525026</v>
      </c>
      <c r="L395" s="153">
        <v>5794.5788261089801</v>
      </c>
      <c r="M395" s="155">
        <f t="shared" si="72"/>
        <v>243008.70189166849</v>
      </c>
      <c r="N395" s="2110">
        <v>232.16393250000004</v>
      </c>
      <c r="O395" s="2113">
        <v>2527.6821304000005</v>
      </c>
      <c r="P395" s="2116">
        <f t="shared" si="73"/>
        <v>245768.54795456849</v>
      </c>
      <c r="Q395" s="1810"/>
      <c r="R395" s="1810"/>
      <c r="S395" s="1837"/>
      <c r="T395" s="1837"/>
      <c r="U395" s="1837"/>
      <c r="V395" s="1837"/>
      <c r="W395" s="1837"/>
      <c r="X395" s="1837"/>
      <c r="Y395" s="1810"/>
      <c r="Z395" s="1804"/>
      <c r="AA395" s="1804"/>
      <c r="AB395" s="1804"/>
      <c r="AC395" s="1804"/>
      <c r="AD395" s="1804"/>
      <c r="AE395" s="1804"/>
      <c r="AF395" s="1804"/>
      <c r="AG395" s="1804"/>
      <c r="AH395" s="1804"/>
      <c r="AI395" s="1804"/>
      <c r="AJ395" s="1804"/>
      <c r="AK395" s="1804"/>
      <c r="AL395" s="1804"/>
      <c r="AM395" s="1804"/>
      <c r="AN395" s="1804"/>
      <c r="AO395" s="1804"/>
      <c r="AP395" s="1804"/>
      <c r="AQ395" s="1804"/>
      <c r="AR395" s="1804"/>
      <c r="AS395" s="1804"/>
      <c r="AT395" s="1804"/>
      <c r="AU395" s="1804"/>
      <c r="AV395" s="1804"/>
      <c r="AW395" s="1804"/>
      <c r="AX395" s="1804"/>
      <c r="AY395" s="1804"/>
      <c r="AZ395" s="1804"/>
      <c r="BA395" s="1804"/>
      <c r="BB395" s="1804"/>
      <c r="BC395" s="1804"/>
      <c r="BD395" s="1804"/>
      <c r="BE395" s="1804"/>
      <c r="BF395" s="1804"/>
      <c r="BG395" s="1804"/>
      <c r="BH395" s="1804"/>
      <c r="BI395" s="1804"/>
      <c r="BJ395" s="1804"/>
      <c r="BK395" s="1804"/>
      <c r="BL395" s="1804"/>
      <c r="BM395" s="1804"/>
      <c r="BN395" s="1804"/>
      <c r="BO395" s="1804"/>
      <c r="BP395" s="1804"/>
      <c r="BQ395" s="1804"/>
      <c r="BR395" s="1804"/>
      <c r="BS395" s="1804"/>
      <c r="BT395" s="1804"/>
      <c r="BU395" s="1804"/>
      <c r="BV395" s="1804"/>
      <c r="BW395" s="1804"/>
      <c r="BX395" s="1804"/>
      <c r="BY395" s="1804"/>
      <c r="BZ395" s="1804"/>
      <c r="CA395" s="1804"/>
      <c r="CB395" s="1804"/>
      <c r="CC395" s="1804"/>
      <c r="CD395" s="1804"/>
      <c r="CE395" s="1804"/>
      <c r="CF395" s="1804"/>
      <c r="CG395" s="1804"/>
      <c r="CH395" s="1804"/>
      <c r="CI395" s="1804"/>
      <c r="CJ395" s="1804"/>
      <c r="CK395" s="1804"/>
      <c r="CL395" s="1804"/>
      <c r="CM395" s="1804"/>
      <c r="CN395" s="1804"/>
      <c r="CO395" s="1804"/>
      <c r="CP395" s="1804"/>
      <c r="CQ395" s="1804"/>
      <c r="CR395" s="1804"/>
      <c r="CS395" s="1804"/>
      <c r="CT395" s="1804"/>
      <c r="CU395" s="1804"/>
      <c r="CV395" s="1804"/>
      <c r="CW395" s="1804"/>
      <c r="CX395" s="1804"/>
      <c r="CY395" s="1804"/>
      <c r="CZ395" s="1804"/>
      <c r="DA395" s="1804"/>
      <c r="DB395" s="1804"/>
      <c r="DC395" s="1804"/>
      <c r="DD395" s="1804"/>
      <c r="DE395" s="1804"/>
      <c r="DF395" s="1804"/>
      <c r="DG395" s="1804"/>
      <c r="DH395" s="1804"/>
      <c r="DI395" s="1804"/>
      <c r="DJ395" s="1804"/>
      <c r="DK395" s="1804"/>
      <c r="DL395" s="1804"/>
      <c r="DM395" s="1804"/>
      <c r="DN395" s="1804"/>
      <c r="DO395" s="1804"/>
      <c r="DP395" s="1804"/>
      <c r="DQ395" s="1804"/>
      <c r="DR395" s="1804"/>
      <c r="DS395" s="1804"/>
      <c r="DT395" s="1804"/>
      <c r="DU395" s="1804"/>
      <c r="DV395" s="1804"/>
      <c r="DW395" s="1804"/>
      <c r="DX395" s="1804"/>
      <c r="DY395" s="1804"/>
      <c r="DZ395" s="1804"/>
      <c r="EA395" s="1804"/>
      <c r="EB395" s="1804"/>
      <c r="EC395" s="1804"/>
      <c r="ED395" s="1804"/>
      <c r="EE395" s="1804"/>
      <c r="EF395" s="1804"/>
      <c r="EG395" s="1804"/>
      <c r="EH395" s="1804"/>
      <c r="EI395" s="1804"/>
      <c r="EJ395" s="1804"/>
      <c r="EK395" s="1804"/>
      <c r="EL395" s="1804"/>
      <c r="EM395" s="1804"/>
      <c r="EN395" s="1804"/>
      <c r="EO395" s="1804"/>
      <c r="EP395" s="1804"/>
      <c r="EQ395" s="1804"/>
      <c r="ER395" s="1804"/>
      <c r="ES395" s="1804"/>
      <c r="ET395" s="1804"/>
      <c r="EU395" s="1804"/>
      <c r="EV395" s="1804"/>
      <c r="EW395" s="1804"/>
      <c r="EX395" s="1804"/>
      <c r="EY395" s="1804"/>
      <c r="EZ395" s="1804"/>
      <c r="FA395" s="1804"/>
      <c r="FB395" s="1804"/>
      <c r="FC395" s="1804"/>
      <c r="FD395" s="1804"/>
      <c r="FE395" s="1804"/>
      <c r="FF395" s="1804"/>
      <c r="FG395" s="1804"/>
      <c r="FH395" s="1804"/>
      <c r="FI395" s="1804"/>
      <c r="FJ395" s="1804"/>
      <c r="FK395" s="1804"/>
      <c r="FL395" s="1804"/>
      <c r="FM395" s="1804"/>
      <c r="FN395" s="1804"/>
      <c r="FO395" s="1804"/>
      <c r="FP395" s="1804"/>
      <c r="FQ395" s="1804"/>
      <c r="FR395" s="1804"/>
      <c r="FS395" s="1804"/>
      <c r="FT395" s="1804"/>
      <c r="FU395" s="1804"/>
      <c r="FV395" s="1804"/>
      <c r="FW395" s="1804"/>
      <c r="FX395" s="1804"/>
      <c r="FY395" s="1804"/>
      <c r="FZ395" s="1804"/>
      <c r="GA395" s="1804"/>
      <c r="GB395" s="1804"/>
      <c r="GC395" s="1804"/>
      <c r="GD395" s="1804"/>
      <c r="GE395" s="1804"/>
      <c r="GF395" s="1804"/>
      <c r="GG395" s="1804"/>
      <c r="GH395" s="1804"/>
      <c r="GI395" s="1804"/>
      <c r="GJ395" s="1804"/>
      <c r="GK395" s="1804"/>
      <c r="GL395" s="1804"/>
      <c r="GM395" s="1804"/>
      <c r="GN395" s="1804"/>
      <c r="GO395" s="1804"/>
      <c r="GP395" s="1804"/>
      <c r="GQ395" s="1804"/>
      <c r="GR395" s="1804"/>
      <c r="GS395" s="1804"/>
      <c r="GT395" s="1804"/>
      <c r="GU395" s="1804"/>
      <c r="GV395" s="1804"/>
      <c r="GW395" s="1804"/>
      <c r="GX395" s="1804"/>
      <c r="GY395" s="1804"/>
      <c r="GZ395" s="1804"/>
      <c r="HA395" s="1804"/>
      <c r="HB395" s="1804"/>
      <c r="HC395" s="1804"/>
      <c r="HD395" s="1804"/>
      <c r="HE395" s="1804"/>
      <c r="HF395" s="1804"/>
      <c r="HG395" s="1804"/>
      <c r="HH395" s="1804"/>
      <c r="HI395" s="1804"/>
      <c r="HJ395" s="1804"/>
      <c r="HK395" s="1804"/>
      <c r="HL395" s="1804"/>
      <c r="HM395" s="1804"/>
      <c r="HN395" s="1804"/>
      <c r="HO395" s="1804"/>
      <c r="HP395" s="1804"/>
      <c r="HQ395" s="1804"/>
      <c r="HR395" s="1804"/>
      <c r="HS395" s="1804"/>
      <c r="HT395" s="1804"/>
      <c r="HU395" s="1804"/>
      <c r="HV395" s="1804"/>
      <c r="HW395" s="1804"/>
      <c r="HX395" s="1804"/>
      <c r="HY395" s="1804"/>
      <c r="HZ395" s="1804"/>
      <c r="IA395" s="1804"/>
      <c r="IB395" s="1804"/>
      <c r="IC395" s="1804"/>
      <c r="ID395" s="1804"/>
      <c r="IE395" s="1804"/>
      <c r="IF395" s="1804"/>
      <c r="IG395" s="1804"/>
      <c r="IH395" s="1804"/>
      <c r="II395" s="1804"/>
      <c r="IJ395" s="1804"/>
      <c r="IK395" s="1804"/>
      <c r="IL395" s="1804"/>
      <c r="IM395" s="1804"/>
      <c r="IN395" s="1804"/>
      <c r="IO395" s="1804"/>
      <c r="IP395" s="1804"/>
      <c r="IQ395" s="1804"/>
      <c r="IR395" s="1804"/>
      <c r="IS395" s="1804"/>
      <c r="IT395" s="1804"/>
      <c r="IU395" s="1804"/>
      <c r="IV395" s="1804"/>
      <c r="IW395" s="1804"/>
    </row>
    <row r="396" spans="3:257" s="888" customFormat="1" x14ac:dyDescent="0.45">
      <c r="C396" s="67" t="s">
        <v>533</v>
      </c>
      <c r="D396" s="68" t="s">
        <v>635</v>
      </c>
      <c r="E396" s="69"/>
      <c r="F396" s="153">
        <v>2829.2599136039998</v>
      </c>
      <c r="G396" s="153">
        <v>13176.602518875299</v>
      </c>
      <c r="H396" s="153">
        <v>67460.124859125004</v>
      </c>
      <c r="I396" s="153">
        <v>14853.44336768</v>
      </c>
      <c r="J396" s="153">
        <v>25469.513913654999</v>
      </c>
      <c r="K396" s="154">
        <v>14249.922644953</v>
      </c>
      <c r="L396" s="153">
        <v>3670.5942308620001</v>
      </c>
      <c r="M396" s="155">
        <f t="shared" si="72"/>
        <v>141709.46144875433</v>
      </c>
      <c r="N396" s="2110">
        <v>87.517927499999999</v>
      </c>
      <c r="O396" s="2113">
        <v>1170.7343922</v>
      </c>
      <c r="P396" s="2116">
        <f t="shared" si="73"/>
        <v>142967.71376845433</v>
      </c>
      <c r="Q396" s="1810"/>
      <c r="R396" s="1810"/>
      <c r="S396" s="1837"/>
      <c r="T396" s="1837"/>
      <c r="U396" s="1837"/>
      <c r="V396" s="1837"/>
      <c r="W396" s="1837"/>
      <c r="X396" s="1837"/>
      <c r="Y396" s="1810"/>
      <c r="Z396" s="1804"/>
      <c r="AA396" s="1804"/>
      <c r="AB396" s="1804"/>
      <c r="AC396" s="1804"/>
      <c r="AD396" s="1804"/>
      <c r="AE396" s="1804"/>
      <c r="AF396" s="1804"/>
      <c r="AG396" s="1804"/>
      <c r="AH396" s="1804"/>
      <c r="AI396" s="1804"/>
      <c r="AJ396" s="1804"/>
      <c r="AK396" s="1804"/>
      <c r="AL396" s="1804"/>
      <c r="AM396" s="1804"/>
      <c r="AN396" s="1804"/>
      <c r="AO396" s="1804"/>
      <c r="AP396" s="1804"/>
      <c r="AQ396" s="1804"/>
      <c r="AR396" s="1804"/>
      <c r="AS396" s="1804"/>
      <c r="AT396" s="1804"/>
      <c r="AU396" s="1804"/>
      <c r="AV396" s="1804"/>
      <c r="AW396" s="1804"/>
      <c r="AX396" s="1804"/>
      <c r="AY396" s="1804"/>
      <c r="AZ396" s="1804"/>
      <c r="BA396" s="1804"/>
      <c r="BB396" s="1804"/>
      <c r="BC396" s="1804"/>
      <c r="BD396" s="1804"/>
      <c r="BE396" s="1804"/>
      <c r="BF396" s="1804"/>
      <c r="BG396" s="1804"/>
      <c r="BH396" s="1804"/>
      <c r="BI396" s="1804"/>
      <c r="BJ396" s="1804"/>
      <c r="BK396" s="1804"/>
      <c r="BL396" s="1804"/>
      <c r="BM396" s="1804"/>
      <c r="BN396" s="1804"/>
      <c r="BO396" s="1804"/>
      <c r="BP396" s="1804"/>
      <c r="BQ396" s="1804"/>
      <c r="BR396" s="1804"/>
      <c r="BS396" s="1804"/>
      <c r="BT396" s="1804"/>
      <c r="BU396" s="1804"/>
      <c r="BV396" s="1804"/>
      <c r="BW396" s="1804"/>
      <c r="BX396" s="1804"/>
      <c r="BY396" s="1804"/>
      <c r="BZ396" s="1804"/>
      <c r="CA396" s="1804"/>
      <c r="CB396" s="1804"/>
      <c r="CC396" s="1804"/>
      <c r="CD396" s="1804"/>
      <c r="CE396" s="1804"/>
      <c r="CF396" s="1804"/>
      <c r="CG396" s="1804"/>
      <c r="CH396" s="1804"/>
      <c r="CI396" s="1804"/>
      <c r="CJ396" s="1804"/>
      <c r="CK396" s="1804"/>
      <c r="CL396" s="1804"/>
      <c r="CM396" s="1804"/>
      <c r="CN396" s="1804"/>
      <c r="CO396" s="1804"/>
      <c r="CP396" s="1804"/>
      <c r="CQ396" s="1804"/>
      <c r="CR396" s="1804"/>
      <c r="CS396" s="1804"/>
      <c r="CT396" s="1804"/>
      <c r="CU396" s="1804"/>
      <c r="CV396" s="1804"/>
      <c r="CW396" s="1804"/>
      <c r="CX396" s="1804"/>
      <c r="CY396" s="1804"/>
      <c r="CZ396" s="1804"/>
      <c r="DA396" s="1804"/>
      <c r="DB396" s="1804"/>
      <c r="DC396" s="1804"/>
      <c r="DD396" s="1804"/>
      <c r="DE396" s="1804"/>
      <c r="DF396" s="1804"/>
      <c r="DG396" s="1804"/>
      <c r="DH396" s="1804"/>
      <c r="DI396" s="1804"/>
      <c r="DJ396" s="1804"/>
      <c r="DK396" s="1804"/>
      <c r="DL396" s="1804"/>
      <c r="DM396" s="1804"/>
      <c r="DN396" s="1804"/>
      <c r="DO396" s="1804"/>
      <c r="DP396" s="1804"/>
      <c r="DQ396" s="1804"/>
      <c r="DR396" s="1804"/>
      <c r="DS396" s="1804"/>
      <c r="DT396" s="1804"/>
      <c r="DU396" s="1804"/>
      <c r="DV396" s="1804"/>
      <c r="DW396" s="1804"/>
      <c r="DX396" s="1804"/>
      <c r="DY396" s="1804"/>
      <c r="DZ396" s="1804"/>
      <c r="EA396" s="1804"/>
      <c r="EB396" s="1804"/>
      <c r="EC396" s="1804"/>
      <c r="ED396" s="1804"/>
      <c r="EE396" s="1804"/>
      <c r="EF396" s="1804"/>
      <c r="EG396" s="1804"/>
      <c r="EH396" s="1804"/>
      <c r="EI396" s="1804"/>
      <c r="EJ396" s="1804"/>
      <c r="EK396" s="1804"/>
      <c r="EL396" s="1804"/>
      <c r="EM396" s="1804"/>
      <c r="EN396" s="1804"/>
      <c r="EO396" s="1804"/>
      <c r="EP396" s="1804"/>
      <c r="EQ396" s="1804"/>
      <c r="ER396" s="1804"/>
      <c r="ES396" s="1804"/>
      <c r="ET396" s="1804"/>
      <c r="EU396" s="1804"/>
      <c r="EV396" s="1804"/>
      <c r="EW396" s="1804"/>
      <c r="EX396" s="1804"/>
      <c r="EY396" s="1804"/>
      <c r="EZ396" s="1804"/>
      <c r="FA396" s="1804"/>
      <c r="FB396" s="1804"/>
      <c r="FC396" s="1804"/>
      <c r="FD396" s="1804"/>
      <c r="FE396" s="1804"/>
      <c r="FF396" s="1804"/>
      <c r="FG396" s="1804"/>
      <c r="FH396" s="1804"/>
      <c r="FI396" s="1804"/>
      <c r="FJ396" s="1804"/>
      <c r="FK396" s="1804"/>
      <c r="FL396" s="1804"/>
      <c r="FM396" s="1804"/>
      <c r="FN396" s="1804"/>
      <c r="FO396" s="1804"/>
      <c r="FP396" s="1804"/>
      <c r="FQ396" s="1804"/>
      <c r="FR396" s="1804"/>
      <c r="FS396" s="1804"/>
      <c r="FT396" s="1804"/>
      <c r="FU396" s="1804"/>
      <c r="FV396" s="1804"/>
      <c r="FW396" s="1804"/>
      <c r="FX396" s="1804"/>
      <c r="FY396" s="1804"/>
      <c r="FZ396" s="1804"/>
      <c r="GA396" s="1804"/>
      <c r="GB396" s="1804"/>
      <c r="GC396" s="1804"/>
      <c r="GD396" s="1804"/>
      <c r="GE396" s="1804"/>
      <c r="GF396" s="1804"/>
      <c r="GG396" s="1804"/>
      <c r="GH396" s="1804"/>
      <c r="GI396" s="1804"/>
      <c r="GJ396" s="1804"/>
      <c r="GK396" s="1804"/>
      <c r="GL396" s="1804"/>
      <c r="GM396" s="1804"/>
      <c r="GN396" s="1804"/>
      <c r="GO396" s="1804"/>
      <c r="GP396" s="1804"/>
      <c r="GQ396" s="1804"/>
      <c r="GR396" s="1804"/>
      <c r="GS396" s="1804"/>
      <c r="GT396" s="1804"/>
      <c r="GU396" s="1804"/>
      <c r="GV396" s="1804"/>
      <c r="GW396" s="1804"/>
      <c r="GX396" s="1804"/>
      <c r="GY396" s="1804"/>
      <c r="GZ396" s="1804"/>
      <c r="HA396" s="1804"/>
      <c r="HB396" s="1804"/>
      <c r="HC396" s="1804"/>
      <c r="HD396" s="1804"/>
      <c r="HE396" s="1804"/>
      <c r="HF396" s="1804"/>
      <c r="HG396" s="1804"/>
      <c r="HH396" s="1804"/>
      <c r="HI396" s="1804"/>
      <c r="HJ396" s="1804"/>
      <c r="HK396" s="1804"/>
      <c r="HL396" s="1804"/>
      <c r="HM396" s="1804"/>
      <c r="HN396" s="1804"/>
      <c r="HO396" s="1804"/>
      <c r="HP396" s="1804"/>
      <c r="HQ396" s="1804"/>
      <c r="HR396" s="1804"/>
      <c r="HS396" s="1804"/>
      <c r="HT396" s="1804"/>
      <c r="HU396" s="1804"/>
      <c r="HV396" s="1804"/>
      <c r="HW396" s="1804"/>
      <c r="HX396" s="1804"/>
      <c r="HY396" s="1804"/>
      <c r="HZ396" s="1804"/>
      <c r="IA396" s="1804"/>
      <c r="IB396" s="1804"/>
      <c r="IC396" s="1804"/>
      <c r="ID396" s="1804"/>
      <c r="IE396" s="1804"/>
      <c r="IF396" s="1804"/>
      <c r="IG396" s="1804"/>
      <c r="IH396" s="1804"/>
      <c r="II396" s="1804"/>
      <c r="IJ396" s="1804"/>
      <c r="IK396" s="1804"/>
      <c r="IL396" s="1804"/>
      <c r="IM396" s="1804"/>
      <c r="IN396" s="1804"/>
      <c r="IO396" s="1804"/>
      <c r="IP396" s="1804"/>
      <c r="IQ396" s="1804"/>
      <c r="IR396" s="1804"/>
      <c r="IS396" s="1804"/>
      <c r="IT396" s="1804"/>
      <c r="IU396" s="1804"/>
      <c r="IV396" s="1804"/>
      <c r="IW396" s="1804"/>
    </row>
    <row r="397" spans="3:257" s="888" customFormat="1" x14ac:dyDescent="0.45">
      <c r="C397" s="67" t="s">
        <v>534</v>
      </c>
      <c r="D397" s="68" t="s">
        <v>636</v>
      </c>
      <c r="E397" s="69"/>
      <c r="F397" s="153">
        <v>1487.735679803</v>
      </c>
      <c r="G397" s="153">
        <v>9202.2784949810994</v>
      </c>
      <c r="H397" s="153">
        <v>12470.953405693001</v>
      </c>
      <c r="I397" s="153">
        <v>5504.3764624859996</v>
      </c>
      <c r="J397" s="153">
        <v>11890.522905726</v>
      </c>
      <c r="K397" s="154">
        <v>5541.7926340630002</v>
      </c>
      <c r="L397" s="153">
        <v>990.28238671899999</v>
      </c>
      <c r="M397" s="155">
        <f t="shared" si="72"/>
        <v>47087.941969471103</v>
      </c>
      <c r="N397" s="2110">
        <v>24.859439999999999</v>
      </c>
      <c r="O397" s="2113">
        <v>479.38821939999997</v>
      </c>
      <c r="P397" s="2116">
        <f t="shared" si="73"/>
        <v>47592.189628871107</v>
      </c>
      <c r="Q397" s="1810"/>
      <c r="R397" s="1810"/>
      <c r="S397" s="1837"/>
      <c r="T397" s="1837"/>
      <c r="U397" s="1837"/>
      <c r="V397" s="1837"/>
      <c r="W397" s="1837"/>
      <c r="X397" s="1837"/>
      <c r="Y397" s="1810"/>
      <c r="Z397" s="1804"/>
      <c r="AA397" s="1804"/>
      <c r="AB397" s="1804"/>
      <c r="AC397" s="1804"/>
      <c r="AD397" s="1804"/>
      <c r="AE397" s="1804"/>
      <c r="AF397" s="1804"/>
      <c r="AG397" s="1804"/>
      <c r="AH397" s="1804"/>
      <c r="AI397" s="1804"/>
      <c r="AJ397" s="1804"/>
      <c r="AK397" s="1804"/>
      <c r="AL397" s="1804"/>
      <c r="AM397" s="1804"/>
      <c r="AN397" s="1804"/>
      <c r="AO397" s="1804"/>
      <c r="AP397" s="1804"/>
      <c r="AQ397" s="1804"/>
      <c r="AR397" s="1804"/>
      <c r="AS397" s="1804"/>
      <c r="AT397" s="1804"/>
      <c r="AU397" s="1804"/>
      <c r="AV397" s="1804"/>
      <c r="AW397" s="1804"/>
      <c r="AX397" s="1804"/>
      <c r="AY397" s="1804"/>
      <c r="AZ397" s="1804"/>
      <c r="BA397" s="1804"/>
      <c r="BB397" s="1804"/>
      <c r="BC397" s="1804"/>
      <c r="BD397" s="1804"/>
      <c r="BE397" s="1804"/>
      <c r="BF397" s="1804"/>
      <c r="BG397" s="1804"/>
      <c r="BH397" s="1804"/>
      <c r="BI397" s="1804"/>
      <c r="BJ397" s="1804"/>
      <c r="BK397" s="1804"/>
      <c r="BL397" s="1804"/>
      <c r="BM397" s="1804"/>
      <c r="BN397" s="1804"/>
      <c r="BO397" s="1804"/>
      <c r="BP397" s="1804"/>
      <c r="BQ397" s="1804"/>
      <c r="BR397" s="1804"/>
      <c r="BS397" s="1804"/>
      <c r="BT397" s="1804"/>
      <c r="BU397" s="1804"/>
      <c r="BV397" s="1804"/>
      <c r="BW397" s="1804"/>
      <c r="BX397" s="1804"/>
      <c r="BY397" s="1804"/>
      <c r="BZ397" s="1804"/>
      <c r="CA397" s="1804"/>
      <c r="CB397" s="1804"/>
      <c r="CC397" s="1804"/>
      <c r="CD397" s="1804"/>
      <c r="CE397" s="1804"/>
      <c r="CF397" s="1804"/>
      <c r="CG397" s="1804"/>
      <c r="CH397" s="1804"/>
      <c r="CI397" s="1804"/>
      <c r="CJ397" s="1804"/>
      <c r="CK397" s="1804"/>
      <c r="CL397" s="1804"/>
      <c r="CM397" s="1804"/>
      <c r="CN397" s="1804"/>
      <c r="CO397" s="1804"/>
      <c r="CP397" s="1804"/>
      <c r="CQ397" s="1804"/>
      <c r="CR397" s="1804"/>
      <c r="CS397" s="1804"/>
      <c r="CT397" s="1804"/>
      <c r="CU397" s="1804"/>
      <c r="CV397" s="1804"/>
      <c r="CW397" s="1804"/>
      <c r="CX397" s="1804"/>
      <c r="CY397" s="1804"/>
      <c r="CZ397" s="1804"/>
      <c r="DA397" s="1804"/>
      <c r="DB397" s="1804"/>
      <c r="DC397" s="1804"/>
      <c r="DD397" s="1804"/>
      <c r="DE397" s="1804"/>
      <c r="DF397" s="1804"/>
      <c r="DG397" s="1804"/>
      <c r="DH397" s="1804"/>
      <c r="DI397" s="1804"/>
      <c r="DJ397" s="1804"/>
      <c r="DK397" s="1804"/>
      <c r="DL397" s="1804"/>
      <c r="DM397" s="1804"/>
      <c r="DN397" s="1804"/>
      <c r="DO397" s="1804"/>
      <c r="DP397" s="1804"/>
      <c r="DQ397" s="1804"/>
      <c r="DR397" s="1804"/>
      <c r="DS397" s="1804"/>
      <c r="DT397" s="1804"/>
      <c r="DU397" s="1804"/>
      <c r="DV397" s="1804"/>
      <c r="DW397" s="1804"/>
      <c r="DX397" s="1804"/>
      <c r="DY397" s="1804"/>
      <c r="DZ397" s="1804"/>
      <c r="EA397" s="1804"/>
      <c r="EB397" s="1804"/>
      <c r="EC397" s="1804"/>
      <c r="ED397" s="1804"/>
      <c r="EE397" s="1804"/>
      <c r="EF397" s="1804"/>
      <c r="EG397" s="1804"/>
      <c r="EH397" s="1804"/>
      <c r="EI397" s="1804"/>
      <c r="EJ397" s="1804"/>
      <c r="EK397" s="1804"/>
      <c r="EL397" s="1804"/>
      <c r="EM397" s="1804"/>
      <c r="EN397" s="1804"/>
      <c r="EO397" s="1804"/>
      <c r="EP397" s="1804"/>
      <c r="EQ397" s="1804"/>
      <c r="ER397" s="1804"/>
      <c r="ES397" s="1804"/>
      <c r="ET397" s="1804"/>
      <c r="EU397" s="1804"/>
      <c r="EV397" s="1804"/>
      <c r="EW397" s="1804"/>
      <c r="EX397" s="1804"/>
      <c r="EY397" s="1804"/>
      <c r="EZ397" s="1804"/>
      <c r="FA397" s="1804"/>
      <c r="FB397" s="1804"/>
      <c r="FC397" s="1804"/>
      <c r="FD397" s="1804"/>
      <c r="FE397" s="1804"/>
      <c r="FF397" s="1804"/>
      <c r="FG397" s="1804"/>
      <c r="FH397" s="1804"/>
      <c r="FI397" s="1804"/>
      <c r="FJ397" s="1804"/>
      <c r="FK397" s="1804"/>
      <c r="FL397" s="1804"/>
      <c r="FM397" s="1804"/>
      <c r="FN397" s="1804"/>
      <c r="FO397" s="1804"/>
      <c r="FP397" s="1804"/>
      <c r="FQ397" s="1804"/>
      <c r="FR397" s="1804"/>
      <c r="FS397" s="1804"/>
      <c r="FT397" s="1804"/>
      <c r="FU397" s="1804"/>
      <c r="FV397" s="1804"/>
      <c r="FW397" s="1804"/>
      <c r="FX397" s="1804"/>
      <c r="FY397" s="1804"/>
      <c r="FZ397" s="1804"/>
      <c r="GA397" s="1804"/>
      <c r="GB397" s="1804"/>
      <c r="GC397" s="1804"/>
      <c r="GD397" s="1804"/>
      <c r="GE397" s="1804"/>
      <c r="GF397" s="1804"/>
      <c r="GG397" s="1804"/>
      <c r="GH397" s="1804"/>
      <c r="GI397" s="1804"/>
      <c r="GJ397" s="1804"/>
      <c r="GK397" s="1804"/>
      <c r="GL397" s="1804"/>
      <c r="GM397" s="1804"/>
      <c r="GN397" s="1804"/>
      <c r="GO397" s="1804"/>
      <c r="GP397" s="1804"/>
      <c r="GQ397" s="1804"/>
      <c r="GR397" s="1804"/>
      <c r="GS397" s="1804"/>
      <c r="GT397" s="1804"/>
      <c r="GU397" s="1804"/>
      <c r="GV397" s="1804"/>
      <c r="GW397" s="1804"/>
      <c r="GX397" s="1804"/>
      <c r="GY397" s="1804"/>
      <c r="GZ397" s="1804"/>
      <c r="HA397" s="1804"/>
      <c r="HB397" s="1804"/>
      <c r="HC397" s="1804"/>
      <c r="HD397" s="1804"/>
      <c r="HE397" s="1804"/>
      <c r="HF397" s="1804"/>
      <c r="HG397" s="1804"/>
      <c r="HH397" s="1804"/>
      <c r="HI397" s="1804"/>
      <c r="HJ397" s="1804"/>
      <c r="HK397" s="1804"/>
      <c r="HL397" s="1804"/>
      <c r="HM397" s="1804"/>
      <c r="HN397" s="1804"/>
      <c r="HO397" s="1804"/>
      <c r="HP397" s="1804"/>
      <c r="HQ397" s="1804"/>
      <c r="HR397" s="1804"/>
      <c r="HS397" s="1804"/>
      <c r="HT397" s="1804"/>
      <c r="HU397" s="1804"/>
      <c r="HV397" s="1804"/>
      <c r="HW397" s="1804"/>
      <c r="HX397" s="1804"/>
      <c r="HY397" s="1804"/>
      <c r="HZ397" s="1804"/>
      <c r="IA397" s="1804"/>
      <c r="IB397" s="1804"/>
      <c r="IC397" s="1804"/>
      <c r="ID397" s="1804"/>
      <c r="IE397" s="1804"/>
      <c r="IF397" s="1804"/>
      <c r="IG397" s="1804"/>
      <c r="IH397" s="1804"/>
      <c r="II397" s="1804"/>
      <c r="IJ397" s="1804"/>
      <c r="IK397" s="1804"/>
      <c r="IL397" s="1804"/>
      <c r="IM397" s="1804"/>
      <c r="IN397" s="1804"/>
      <c r="IO397" s="1804"/>
      <c r="IP397" s="1804"/>
      <c r="IQ397" s="1804"/>
      <c r="IR397" s="1804"/>
      <c r="IS397" s="1804"/>
      <c r="IT397" s="1804"/>
      <c r="IU397" s="1804"/>
      <c r="IV397" s="1804"/>
      <c r="IW397" s="1804"/>
    </row>
    <row r="398" spans="3:257" s="888" customFormat="1" x14ac:dyDescent="0.45">
      <c r="C398" s="67" t="s">
        <v>535</v>
      </c>
      <c r="D398" s="68" t="s">
        <v>637</v>
      </c>
      <c r="E398" s="69"/>
      <c r="F398" s="153">
        <v>1785.1555904209999</v>
      </c>
      <c r="G398" s="153">
        <v>2514.7270129820899</v>
      </c>
      <c r="H398" s="153">
        <v>144116.13848507701</v>
      </c>
      <c r="I398" s="153">
        <v>22974.200417553999</v>
      </c>
      <c r="J398" s="153">
        <v>27632.457602226001</v>
      </c>
      <c r="K398" s="154">
        <v>19219.821459023002</v>
      </c>
      <c r="L398" s="153">
        <v>6695.3132327980002</v>
      </c>
      <c r="M398" s="155">
        <f t="shared" si="72"/>
        <v>224937.81380008112</v>
      </c>
      <c r="N398" s="2110">
        <v>241.05721</v>
      </c>
      <c r="O398" s="2113">
        <v>2543.0349413999998</v>
      </c>
      <c r="P398" s="2116">
        <f t="shared" si="73"/>
        <v>227721.90595148111</v>
      </c>
      <c r="Q398" s="1810"/>
      <c r="R398" s="1810"/>
      <c r="S398" s="1837"/>
      <c r="T398" s="1837"/>
      <c r="U398" s="1837"/>
      <c r="V398" s="1837"/>
      <c r="W398" s="1837"/>
      <c r="X398" s="1837"/>
      <c r="Y398" s="1810"/>
      <c r="Z398" s="1804"/>
      <c r="AA398" s="1804"/>
      <c r="AB398" s="1804"/>
      <c r="AC398" s="1804"/>
      <c r="AD398" s="1804"/>
      <c r="AE398" s="1804"/>
      <c r="AF398" s="1804"/>
      <c r="AG398" s="1804"/>
      <c r="AH398" s="1804"/>
      <c r="AI398" s="1804"/>
      <c r="AJ398" s="1804"/>
      <c r="AK398" s="1804"/>
      <c r="AL398" s="1804"/>
      <c r="AM398" s="1804"/>
      <c r="AN398" s="1804"/>
      <c r="AO398" s="1804"/>
      <c r="AP398" s="1804"/>
      <c r="AQ398" s="1804"/>
      <c r="AR398" s="1804"/>
      <c r="AS398" s="1804"/>
      <c r="AT398" s="1804"/>
      <c r="AU398" s="1804"/>
      <c r="AV398" s="1804"/>
      <c r="AW398" s="1804"/>
      <c r="AX398" s="1804"/>
      <c r="AY398" s="1804"/>
      <c r="AZ398" s="1804"/>
      <c r="BA398" s="1804"/>
      <c r="BB398" s="1804"/>
      <c r="BC398" s="1804"/>
      <c r="BD398" s="1804"/>
      <c r="BE398" s="1804"/>
      <c r="BF398" s="1804"/>
      <c r="BG398" s="1804"/>
      <c r="BH398" s="1804"/>
      <c r="BI398" s="1804"/>
      <c r="BJ398" s="1804"/>
      <c r="BK398" s="1804"/>
      <c r="BL398" s="1804"/>
      <c r="BM398" s="1804"/>
      <c r="BN398" s="1804"/>
      <c r="BO398" s="1804"/>
      <c r="BP398" s="1804"/>
      <c r="BQ398" s="1804"/>
      <c r="BR398" s="1804"/>
      <c r="BS398" s="1804"/>
      <c r="BT398" s="1804"/>
      <c r="BU398" s="1804"/>
      <c r="BV398" s="1804"/>
      <c r="BW398" s="1804"/>
      <c r="BX398" s="1804"/>
      <c r="BY398" s="1804"/>
      <c r="BZ398" s="1804"/>
      <c r="CA398" s="1804"/>
      <c r="CB398" s="1804"/>
      <c r="CC398" s="1804"/>
      <c r="CD398" s="1804"/>
      <c r="CE398" s="1804"/>
      <c r="CF398" s="1804"/>
      <c r="CG398" s="1804"/>
      <c r="CH398" s="1804"/>
      <c r="CI398" s="1804"/>
      <c r="CJ398" s="1804"/>
      <c r="CK398" s="1804"/>
      <c r="CL398" s="1804"/>
      <c r="CM398" s="1804"/>
      <c r="CN398" s="1804"/>
      <c r="CO398" s="1804"/>
      <c r="CP398" s="1804"/>
      <c r="CQ398" s="1804"/>
      <c r="CR398" s="1804"/>
      <c r="CS398" s="1804"/>
      <c r="CT398" s="1804"/>
      <c r="CU398" s="1804"/>
      <c r="CV398" s="1804"/>
      <c r="CW398" s="1804"/>
      <c r="CX398" s="1804"/>
      <c r="CY398" s="1804"/>
      <c r="CZ398" s="1804"/>
      <c r="DA398" s="1804"/>
      <c r="DB398" s="1804"/>
      <c r="DC398" s="1804"/>
      <c r="DD398" s="1804"/>
      <c r="DE398" s="1804"/>
      <c r="DF398" s="1804"/>
      <c r="DG398" s="1804"/>
      <c r="DH398" s="1804"/>
      <c r="DI398" s="1804"/>
      <c r="DJ398" s="1804"/>
      <c r="DK398" s="1804"/>
      <c r="DL398" s="1804"/>
      <c r="DM398" s="1804"/>
      <c r="DN398" s="1804"/>
      <c r="DO398" s="1804"/>
      <c r="DP398" s="1804"/>
      <c r="DQ398" s="1804"/>
      <c r="DR398" s="1804"/>
      <c r="DS398" s="1804"/>
      <c r="DT398" s="1804"/>
      <c r="DU398" s="1804"/>
      <c r="DV398" s="1804"/>
      <c r="DW398" s="1804"/>
      <c r="DX398" s="1804"/>
      <c r="DY398" s="1804"/>
      <c r="DZ398" s="1804"/>
      <c r="EA398" s="1804"/>
      <c r="EB398" s="1804"/>
      <c r="EC398" s="1804"/>
      <c r="ED398" s="1804"/>
      <c r="EE398" s="1804"/>
      <c r="EF398" s="1804"/>
      <c r="EG398" s="1804"/>
      <c r="EH398" s="1804"/>
      <c r="EI398" s="1804"/>
      <c r="EJ398" s="1804"/>
      <c r="EK398" s="1804"/>
      <c r="EL398" s="1804"/>
      <c r="EM398" s="1804"/>
      <c r="EN398" s="1804"/>
      <c r="EO398" s="1804"/>
      <c r="EP398" s="1804"/>
      <c r="EQ398" s="1804"/>
      <c r="ER398" s="1804"/>
      <c r="ES398" s="1804"/>
      <c r="ET398" s="1804"/>
      <c r="EU398" s="1804"/>
      <c r="EV398" s="1804"/>
      <c r="EW398" s="1804"/>
      <c r="EX398" s="1804"/>
      <c r="EY398" s="1804"/>
      <c r="EZ398" s="1804"/>
      <c r="FA398" s="1804"/>
      <c r="FB398" s="1804"/>
      <c r="FC398" s="1804"/>
      <c r="FD398" s="1804"/>
      <c r="FE398" s="1804"/>
      <c r="FF398" s="1804"/>
      <c r="FG398" s="1804"/>
      <c r="FH398" s="1804"/>
      <c r="FI398" s="1804"/>
      <c r="FJ398" s="1804"/>
      <c r="FK398" s="1804"/>
      <c r="FL398" s="1804"/>
      <c r="FM398" s="1804"/>
      <c r="FN398" s="1804"/>
      <c r="FO398" s="1804"/>
      <c r="FP398" s="1804"/>
      <c r="FQ398" s="1804"/>
      <c r="FR398" s="1804"/>
      <c r="FS398" s="1804"/>
      <c r="FT398" s="1804"/>
      <c r="FU398" s="1804"/>
      <c r="FV398" s="1804"/>
      <c r="FW398" s="1804"/>
      <c r="FX398" s="1804"/>
      <c r="FY398" s="1804"/>
      <c r="FZ398" s="1804"/>
      <c r="GA398" s="1804"/>
      <c r="GB398" s="1804"/>
      <c r="GC398" s="1804"/>
      <c r="GD398" s="1804"/>
      <c r="GE398" s="1804"/>
      <c r="GF398" s="1804"/>
      <c r="GG398" s="1804"/>
      <c r="GH398" s="1804"/>
      <c r="GI398" s="1804"/>
      <c r="GJ398" s="1804"/>
      <c r="GK398" s="1804"/>
      <c r="GL398" s="1804"/>
      <c r="GM398" s="1804"/>
      <c r="GN398" s="1804"/>
      <c r="GO398" s="1804"/>
      <c r="GP398" s="1804"/>
      <c r="GQ398" s="1804"/>
      <c r="GR398" s="1804"/>
      <c r="GS398" s="1804"/>
      <c r="GT398" s="1804"/>
      <c r="GU398" s="1804"/>
      <c r="GV398" s="1804"/>
      <c r="GW398" s="1804"/>
      <c r="GX398" s="1804"/>
      <c r="GY398" s="1804"/>
      <c r="GZ398" s="1804"/>
      <c r="HA398" s="1804"/>
      <c r="HB398" s="1804"/>
      <c r="HC398" s="1804"/>
      <c r="HD398" s="1804"/>
      <c r="HE398" s="1804"/>
      <c r="HF398" s="1804"/>
      <c r="HG398" s="1804"/>
      <c r="HH398" s="1804"/>
      <c r="HI398" s="1804"/>
      <c r="HJ398" s="1804"/>
      <c r="HK398" s="1804"/>
      <c r="HL398" s="1804"/>
      <c r="HM398" s="1804"/>
      <c r="HN398" s="1804"/>
      <c r="HO398" s="1804"/>
      <c r="HP398" s="1804"/>
      <c r="HQ398" s="1804"/>
      <c r="HR398" s="1804"/>
      <c r="HS398" s="1804"/>
      <c r="HT398" s="1804"/>
      <c r="HU398" s="1804"/>
      <c r="HV398" s="1804"/>
      <c r="HW398" s="1804"/>
      <c r="HX398" s="1804"/>
      <c r="HY398" s="1804"/>
      <c r="HZ398" s="1804"/>
      <c r="IA398" s="1804"/>
      <c r="IB398" s="1804"/>
      <c r="IC398" s="1804"/>
      <c r="ID398" s="1804"/>
      <c r="IE398" s="1804"/>
      <c r="IF398" s="1804"/>
      <c r="IG398" s="1804"/>
      <c r="IH398" s="1804"/>
      <c r="II398" s="1804"/>
      <c r="IJ398" s="1804"/>
      <c r="IK398" s="1804"/>
      <c r="IL398" s="1804"/>
      <c r="IM398" s="1804"/>
      <c r="IN398" s="1804"/>
      <c r="IO398" s="1804"/>
      <c r="IP398" s="1804"/>
      <c r="IQ398" s="1804"/>
      <c r="IR398" s="1804"/>
      <c r="IS398" s="1804"/>
      <c r="IT398" s="1804"/>
      <c r="IU398" s="1804"/>
      <c r="IV398" s="1804"/>
      <c r="IW398" s="1804"/>
    </row>
    <row r="399" spans="3:257" s="888" customFormat="1" x14ac:dyDescent="0.45">
      <c r="C399" s="67" t="s">
        <v>536</v>
      </c>
      <c r="D399" s="68" t="s">
        <v>638</v>
      </c>
      <c r="E399" s="69"/>
      <c r="F399" s="153">
        <v>2471.0324907210002</v>
      </c>
      <c r="G399" s="153">
        <v>6140.9301996013901</v>
      </c>
      <c r="H399" s="153">
        <v>162350.14773377401</v>
      </c>
      <c r="I399" s="153">
        <v>29230.776066859002</v>
      </c>
      <c r="J399" s="153">
        <v>29828.133419460901</v>
      </c>
      <c r="K399" s="154">
        <v>26484.780826074999</v>
      </c>
      <c r="L399" s="153">
        <v>11878.858388307999</v>
      </c>
      <c r="M399" s="155">
        <f t="shared" si="72"/>
        <v>268384.65912479931</v>
      </c>
      <c r="N399" s="2110">
        <v>242.05504250000001</v>
      </c>
      <c r="O399" s="2113">
        <v>2686.6516608000002</v>
      </c>
      <c r="P399" s="2116">
        <f t="shared" si="73"/>
        <v>271313.36582809931</v>
      </c>
      <c r="Q399" s="1810"/>
      <c r="R399" s="1810"/>
      <c r="S399" s="1837"/>
      <c r="T399" s="1837"/>
      <c r="U399" s="1837"/>
      <c r="V399" s="1837"/>
      <c r="W399" s="1837"/>
      <c r="X399" s="1837"/>
      <c r="Y399" s="1810"/>
      <c r="Z399" s="1804"/>
      <c r="AA399" s="1804"/>
      <c r="AB399" s="1804"/>
      <c r="AC399" s="1804"/>
      <c r="AD399" s="1804"/>
      <c r="AE399" s="1804"/>
      <c r="AF399" s="1804"/>
      <c r="AG399" s="1804"/>
      <c r="AH399" s="1804"/>
      <c r="AI399" s="1804"/>
      <c r="AJ399" s="1804"/>
      <c r="AK399" s="1804"/>
      <c r="AL399" s="1804"/>
      <c r="AM399" s="1804"/>
      <c r="AN399" s="1804"/>
      <c r="AO399" s="1804"/>
      <c r="AP399" s="1804"/>
      <c r="AQ399" s="1804"/>
      <c r="AR399" s="1804"/>
      <c r="AS399" s="1804"/>
      <c r="AT399" s="1804"/>
      <c r="AU399" s="1804"/>
      <c r="AV399" s="1804"/>
      <c r="AW399" s="1804"/>
      <c r="AX399" s="1804"/>
      <c r="AY399" s="1804"/>
      <c r="AZ399" s="1804"/>
      <c r="BA399" s="1804"/>
      <c r="BB399" s="1804"/>
      <c r="BC399" s="1804"/>
      <c r="BD399" s="1804"/>
      <c r="BE399" s="1804"/>
      <c r="BF399" s="1804"/>
      <c r="BG399" s="1804"/>
      <c r="BH399" s="1804"/>
      <c r="BI399" s="1804"/>
      <c r="BJ399" s="1804"/>
      <c r="BK399" s="1804"/>
      <c r="BL399" s="1804"/>
      <c r="BM399" s="1804"/>
      <c r="BN399" s="1804"/>
      <c r="BO399" s="1804"/>
      <c r="BP399" s="1804"/>
      <c r="BQ399" s="1804"/>
      <c r="BR399" s="1804"/>
      <c r="BS399" s="1804"/>
      <c r="BT399" s="1804"/>
      <c r="BU399" s="1804"/>
      <c r="BV399" s="1804"/>
      <c r="BW399" s="1804"/>
      <c r="BX399" s="1804"/>
      <c r="BY399" s="1804"/>
      <c r="BZ399" s="1804"/>
      <c r="CA399" s="1804"/>
      <c r="CB399" s="1804"/>
      <c r="CC399" s="1804"/>
      <c r="CD399" s="1804"/>
      <c r="CE399" s="1804"/>
      <c r="CF399" s="1804"/>
      <c r="CG399" s="1804"/>
      <c r="CH399" s="1804"/>
      <c r="CI399" s="1804"/>
      <c r="CJ399" s="1804"/>
      <c r="CK399" s="1804"/>
      <c r="CL399" s="1804"/>
      <c r="CM399" s="1804"/>
      <c r="CN399" s="1804"/>
      <c r="CO399" s="1804"/>
      <c r="CP399" s="1804"/>
      <c r="CQ399" s="1804"/>
      <c r="CR399" s="1804"/>
      <c r="CS399" s="1804"/>
      <c r="CT399" s="1804"/>
      <c r="CU399" s="1804"/>
      <c r="CV399" s="1804"/>
      <c r="CW399" s="1804"/>
      <c r="CX399" s="1804"/>
      <c r="CY399" s="1804"/>
      <c r="CZ399" s="1804"/>
      <c r="DA399" s="1804"/>
      <c r="DB399" s="1804"/>
      <c r="DC399" s="1804"/>
      <c r="DD399" s="1804"/>
      <c r="DE399" s="1804"/>
      <c r="DF399" s="1804"/>
      <c r="DG399" s="1804"/>
      <c r="DH399" s="1804"/>
      <c r="DI399" s="1804"/>
      <c r="DJ399" s="1804"/>
      <c r="DK399" s="1804"/>
      <c r="DL399" s="1804"/>
      <c r="DM399" s="1804"/>
      <c r="DN399" s="1804"/>
      <c r="DO399" s="1804"/>
      <c r="DP399" s="1804"/>
      <c r="DQ399" s="1804"/>
      <c r="DR399" s="1804"/>
      <c r="DS399" s="1804"/>
      <c r="DT399" s="1804"/>
      <c r="DU399" s="1804"/>
      <c r="DV399" s="1804"/>
      <c r="DW399" s="1804"/>
      <c r="DX399" s="1804"/>
      <c r="DY399" s="1804"/>
      <c r="DZ399" s="1804"/>
      <c r="EA399" s="1804"/>
      <c r="EB399" s="1804"/>
      <c r="EC399" s="1804"/>
      <c r="ED399" s="1804"/>
      <c r="EE399" s="1804"/>
      <c r="EF399" s="1804"/>
      <c r="EG399" s="1804"/>
      <c r="EH399" s="1804"/>
      <c r="EI399" s="1804"/>
      <c r="EJ399" s="1804"/>
      <c r="EK399" s="1804"/>
      <c r="EL399" s="1804"/>
      <c r="EM399" s="1804"/>
      <c r="EN399" s="1804"/>
      <c r="EO399" s="1804"/>
      <c r="EP399" s="1804"/>
      <c r="EQ399" s="1804"/>
      <c r="ER399" s="1804"/>
      <c r="ES399" s="1804"/>
      <c r="ET399" s="1804"/>
      <c r="EU399" s="1804"/>
      <c r="EV399" s="1804"/>
      <c r="EW399" s="1804"/>
      <c r="EX399" s="1804"/>
      <c r="EY399" s="1804"/>
      <c r="EZ399" s="1804"/>
      <c r="FA399" s="1804"/>
      <c r="FB399" s="1804"/>
      <c r="FC399" s="1804"/>
      <c r="FD399" s="1804"/>
      <c r="FE399" s="1804"/>
      <c r="FF399" s="1804"/>
      <c r="FG399" s="1804"/>
      <c r="FH399" s="1804"/>
      <c r="FI399" s="1804"/>
      <c r="FJ399" s="1804"/>
      <c r="FK399" s="1804"/>
      <c r="FL399" s="1804"/>
      <c r="FM399" s="1804"/>
      <c r="FN399" s="1804"/>
      <c r="FO399" s="1804"/>
      <c r="FP399" s="1804"/>
      <c r="FQ399" s="1804"/>
      <c r="FR399" s="1804"/>
      <c r="FS399" s="1804"/>
      <c r="FT399" s="1804"/>
      <c r="FU399" s="1804"/>
      <c r="FV399" s="1804"/>
      <c r="FW399" s="1804"/>
      <c r="FX399" s="1804"/>
      <c r="FY399" s="1804"/>
      <c r="FZ399" s="1804"/>
      <c r="GA399" s="1804"/>
      <c r="GB399" s="1804"/>
      <c r="GC399" s="1804"/>
      <c r="GD399" s="1804"/>
      <c r="GE399" s="1804"/>
      <c r="GF399" s="1804"/>
      <c r="GG399" s="1804"/>
      <c r="GH399" s="1804"/>
      <c r="GI399" s="1804"/>
      <c r="GJ399" s="1804"/>
      <c r="GK399" s="1804"/>
      <c r="GL399" s="1804"/>
      <c r="GM399" s="1804"/>
      <c r="GN399" s="1804"/>
      <c r="GO399" s="1804"/>
      <c r="GP399" s="1804"/>
      <c r="GQ399" s="1804"/>
      <c r="GR399" s="1804"/>
      <c r="GS399" s="1804"/>
      <c r="GT399" s="1804"/>
      <c r="GU399" s="1804"/>
      <c r="GV399" s="1804"/>
      <c r="GW399" s="1804"/>
      <c r="GX399" s="1804"/>
      <c r="GY399" s="1804"/>
      <c r="GZ399" s="1804"/>
      <c r="HA399" s="1804"/>
      <c r="HB399" s="1804"/>
      <c r="HC399" s="1804"/>
      <c r="HD399" s="1804"/>
      <c r="HE399" s="1804"/>
      <c r="HF399" s="1804"/>
      <c r="HG399" s="1804"/>
      <c r="HH399" s="1804"/>
      <c r="HI399" s="1804"/>
      <c r="HJ399" s="1804"/>
      <c r="HK399" s="1804"/>
      <c r="HL399" s="1804"/>
      <c r="HM399" s="1804"/>
      <c r="HN399" s="1804"/>
      <c r="HO399" s="1804"/>
      <c r="HP399" s="1804"/>
      <c r="HQ399" s="1804"/>
      <c r="HR399" s="1804"/>
      <c r="HS399" s="1804"/>
      <c r="HT399" s="1804"/>
      <c r="HU399" s="1804"/>
      <c r="HV399" s="1804"/>
      <c r="HW399" s="1804"/>
      <c r="HX399" s="1804"/>
      <c r="HY399" s="1804"/>
      <c r="HZ399" s="1804"/>
      <c r="IA399" s="1804"/>
      <c r="IB399" s="1804"/>
      <c r="IC399" s="1804"/>
      <c r="ID399" s="1804"/>
      <c r="IE399" s="1804"/>
      <c r="IF399" s="1804"/>
      <c r="IG399" s="1804"/>
      <c r="IH399" s="1804"/>
      <c r="II399" s="1804"/>
      <c r="IJ399" s="1804"/>
      <c r="IK399" s="1804"/>
      <c r="IL399" s="1804"/>
      <c r="IM399" s="1804"/>
      <c r="IN399" s="1804"/>
      <c r="IO399" s="1804"/>
      <c r="IP399" s="1804"/>
      <c r="IQ399" s="1804"/>
      <c r="IR399" s="1804"/>
      <c r="IS399" s="1804"/>
      <c r="IT399" s="1804"/>
      <c r="IU399" s="1804"/>
      <c r="IV399" s="1804"/>
      <c r="IW399" s="1804"/>
    </row>
    <row r="400" spans="3:257" s="888" customFormat="1" x14ac:dyDescent="0.45">
      <c r="C400" s="67" t="s">
        <v>537</v>
      </c>
      <c r="D400" s="68" t="s">
        <v>639</v>
      </c>
      <c r="E400" s="69"/>
      <c r="F400" s="153">
        <v>1723.0624479220101</v>
      </c>
      <c r="G400" s="153">
        <v>6685.4406902051296</v>
      </c>
      <c r="H400" s="153">
        <v>197379.02651010401</v>
      </c>
      <c r="I400" s="153">
        <v>33961.998253635</v>
      </c>
      <c r="J400" s="153">
        <v>24472.263945167</v>
      </c>
      <c r="K400" s="154">
        <v>32779.028545576897</v>
      </c>
      <c r="L400" s="153">
        <v>51127.8988350652</v>
      </c>
      <c r="M400" s="155">
        <f t="shared" si="72"/>
        <v>348128.71922767529</v>
      </c>
      <c r="N400" s="2110">
        <v>244.62997999999999</v>
      </c>
      <c r="O400" s="2113">
        <v>3303.9693887999988</v>
      </c>
      <c r="P400" s="2116">
        <f t="shared" si="73"/>
        <v>351677.31859647529</v>
      </c>
      <c r="Q400" s="1810"/>
      <c r="R400" s="1810"/>
      <c r="S400" s="1837"/>
      <c r="T400" s="1837"/>
      <c r="U400" s="1837"/>
      <c r="V400" s="1837"/>
      <c r="W400" s="1837"/>
      <c r="X400" s="1837"/>
      <c r="Y400" s="1810"/>
      <c r="Z400" s="1804"/>
      <c r="AA400" s="1804"/>
      <c r="AB400" s="1804"/>
      <c r="AC400" s="1804"/>
      <c r="AD400" s="1804"/>
      <c r="AE400" s="1804"/>
      <c r="AF400" s="1804"/>
      <c r="AG400" s="1804"/>
      <c r="AH400" s="1804"/>
      <c r="AI400" s="1804"/>
      <c r="AJ400" s="1804"/>
      <c r="AK400" s="1804"/>
      <c r="AL400" s="1804"/>
      <c r="AM400" s="1804"/>
      <c r="AN400" s="1804"/>
      <c r="AO400" s="1804"/>
      <c r="AP400" s="1804"/>
      <c r="AQ400" s="1804"/>
      <c r="AR400" s="1804"/>
      <c r="AS400" s="1804"/>
      <c r="AT400" s="1804"/>
      <c r="AU400" s="1804"/>
      <c r="AV400" s="1804"/>
      <c r="AW400" s="1804"/>
      <c r="AX400" s="1804"/>
      <c r="AY400" s="1804"/>
      <c r="AZ400" s="1804"/>
      <c r="BA400" s="1804"/>
      <c r="BB400" s="1804"/>
      <c r="BC400" s="1804"/>
      <c r="BD400" s="1804"/>
      <c r="BE400" s="1804"/>
      <c r="BF400" s="1804"/>
      <c r="BG400" s="1804"/>
      <c r="BH400" s="1804"/>
      <c r="BI400" s="1804"/>
      <c r="BJ400" s="1804"/>
      <c r="BK400" s="1804"/>
      <c r="BL400" s="1804"/>
      <c r="BM400" s="1804"/>
      <c r="BN400" s="1804"/>
      <c r="BO400" s="1804"/>
      <c r="BP400" s="1804"/>
      <c r="BQ400" s="1804"/>
      <c r="BR400" s="1804"/>
      <c r="BS400" s="1804"/>
      <c r="BT400" s="1804"/>
      <c r="BU400" s="1804"/>
      <c r="BV400" s="1804"/>
      <c r="BW400" s="1804"/>
      <c r="BX400" s="1804"/>
      <c r="BY400" s="1804"/>
      <c r="BZ400" s="1804"/>
      <c r="CA400" s="1804"/>
      <c r="CB400" s="1804"/>
      <c r="CC400" s="1804"/>
      <c r="CD400" s="1804"/>
      <c r="CE400" s="1804"/>
      <c r="CF400" s="1804"/>
      <c r="CG400" s="1804"/>
      <c r="CH400" s="1804"/>
      <c r="CI400" s="1804"/>
      <c r="CJ400" s="1804"/>
      <c r="CK400" s="1804"/>
      <c r="CL400" s="1804"/>
      <c r="CM400" s="1804"/>
      <c r="CN400" s="1804"/>
      <c r="CO400" s="1804"/>
      <c r="CP400" s="1804"/>
      <c r="CQ400" s="1804"/>
      <c r="CR400" s="1804"/>
      <c r="CS400" s="1804"/>
      <c r="CT400" s="1804"/>
      <c r="CU400" s="1804"/>
      <c r="CV400" s="1804"/>
      <c r="CW400" s="1804"/>
      <c r="CX400" s="1804"/>
      <c r="CY400" s="1804"/>
      <c r="CZ400" s="1804"/>
      <c r="DA400" s="1804"/>
      <c r="DB400" s="1804"/>
      <c r="DC400" s="1804"/>
      <c r="DD400" s="1804"/>
      <c r="DE400" s="1804"/>
      <c r="DF400" s="1804"/>
      <c r="DG400" s="1804"/>
      <c r="DH400" s="1804"/>
      <c r="DI400" s="1804"/>
      <c r="DJ400" s="1804"/>
      <c r="DK400" s="1804"/>
      <c r="DL400" s="1804"/>
      <c r="DM400" s="1804"/>
      <c r="DN400" s="1804"/>
      <c r="DO400" s="1804"/>
      <c r="DP400" s="1804"/>
      <c r="DQ400" s="1804"/>
      <c r="DR400" s="1804"/>
      <c r="DS400" s="1804"/>
      <c r="DT400" s="1804"/>
      <c r="DU400" s="1804"/>
      <c r="DV400" s="1804"/>
      <c r="DW400" s="1804"/>
      <c r="DX400" s="1804"/>
      <c r="DY400" s="1804"/>
      <c r="DZ400" s="1804"/>
      <c r="EA400" s="1804"/>
      <c r="EB400" s="1804"/>
      <c r="EC400" s="1804"/>
      <c r="ED400" s="1804"/>
      <c r="EE400" s="1804"/>
      <c r="EF400" s="1804"/>
      <c r="EG400" s="1804"/>
      <c r="EH400" s="1804"/>
      <c r="EI400" s="1804"/>
      <c r="EJ400" s="1804"/>
      <c r="EK400" s="1804"/>
      <c r="EL400" s="1804"/>
      <c r="EM400" s="1804"/>
      <c r="EN400" s="1804"/>
      <c r="EO400" s="1804"/>
      <c r="EP400" s="1804"/>
      <c r="EQ400" s="1804"/>
      <c r="ER400" s="1804"/>
      <c r="ES400" s="1804"/>
      <c r="ET400" s="1804"/>
      <c r="EU400" s="1804"/>
      <c r="EV400" s="1804"/>
      <c r="EW400" s="1804"/>
      <c r="EX400" s="1804"/>
      <c r="EY400" s="1804"/>
      <c r="EZ400" s="1804"/>
      <c r="FA400" s="1804"/>
      <c r="FB400" s="1804"/>
      <c r="FC400" s="1804"/>
      <c r="FD400" s="1804"/>
      <c r="FE400" s="1804"/>
      <c r="FF400" s="1804"/>
      <c r="FG400" s="1804"/>
      <c r="FH400" s="1804"/>
      <c r="FI400" s="1804"/>
      <c r="FJ400" s="1804"/>
      <c r="FK400" s="1804"/>
      <c r="FL400" s="1804"/>
      <c r="FM400" s="1804"/>
      <c r="FN400" s="1804"/>
      <c r="FO400" s="1804"/>
      <c r="FP400" s="1804"/>
      <c r="FQ400" s="1804"/>
      <c r="FR400" s="1804"/>
      <c r="FS400" s="1804"/>
      <c r="FT400" s="1804"/>
      <c r="FU400" s="1804"/>
      <c r="FV400" s="1804"/>
      <c r="FW400" s="1804"/>
      <c r="FX400" s="1804"/>
      <c r="FY400" s="1804"/>
      <c r="FZ400" s="1804"/>
      <c r="GA400" s="1804"/>
      <c r="GB400" s="1804"/>
      <c r="GC400" s="1804"/>
      <c r="GD400" s="1804"/>
      <c r="GE400" s="1804"/>
      <c r="GF400" s="1804"/>
      <c r="GG400" s="1804"/>
      <c r="GH400" s="1804"/>
      <c r="GI400" s="1804"/>
      <c r="GJ400" s="1804"/>
      <c r="GK400" s="1804"/>
      <c r="GL400" s="1804"/>
      <c r="GM400" s="1804"/>
      <c r="GN400" s="1804"/>
      <c r="GO400" s="1804"/>
      <c r="GP400" s="1804"/>
      <c r="GQ400" s="1804"/>
      <c r="GR400" s="1804"/>
      <c r="GS400" s="1804"/>
      <c r="GT400" s="1804"/>
      <c r="GU400" s="1804"/>
      <c r="GV400" s="1804"/>
      <c r="GW400" s="1804"/>
      <c r="GX400" s="1804"/>
      <c r="GY400" s="1804"/>
      <c r="GZ400" s="1804"/>
      <c r="HA400" s="1804"/>
      <c r="HB400" s="1804"/>
      <c r="HC400" s="1804"/>
      <c r="HD400" s="1804"/>
      <c r="HE400" s="1804"/>
      <c r="HF400" s="1804"/>
      <c r="HG400" s="1804"/>
      <c r="HH400" s="1804"/>
      <c r="HI400" s="1804"/>
      <c r="HJ400" s="1804"/>
      <c r="HK400" s="1804"/>
      <c r="HL400" s="1804"/>
      <c r="HM400" s="1804"/>
      <c r="HN400" s="1804"/>
      <c r="HO400" s="1804"/>
      <c r="HP400" s="1804"/>
      <c r="HQ400" s="1804"/>
      <c r="HR400" s="1804"/>
      <c r="HS400" s="1804"/>
      <c r="HT400" s="1804"/>
      <c r="HU400" s="1804"/>
      <c r="HV400" s="1804"/>
      <c r="HW400" s="1804"/>
      <c r="HX400" s="1804"/>
      <c r="HY400" s="1804"/>
      <c r="HZ400" s="1804"/>
      <c r="IA400" s="1804"/>
      <c r="IB400" s="1804"/>
      <c r="IC400" s="1804"/>
      <c r="ID400" s="1804"/>
      <c r="IE400" s="1804"/>
      <c r="IF400" s="1804"/>
      <c r="IG400" s="1804"/>
      <c r="IH400" s="1804"/>
      <c r="II400" s="1804"/>
      <c r="IJ400" s="1804"/>
      <c r="IK400" s="1804"/>
      <c r="IL400" s="1804"/>
      <c r="IM400" s="1804"/>
      <c r="IN400" s="1804"/>
      <c r="IO400" s="1804"/>
      <c r="IP400" s="1804"/>
      <c r="IQ400" s="1804"/>
      <c r="IR400" s="1804"/>
      <c r="IS400" s="1804"/>
      <c r="IT400" s="1804"/>
      <c r="IU400" s="1804"/>
      <c r="IV400" s="1804"/>
      <c r="IW400" s="1804"/>
    </row>
    <row r="401" spans="3:257" s="888" customFormat="1" x14ac:dyDescent="0.45">
      <c r="C401" s="67" t="s">
        <v>538</v>
      </c>
      <c r="D401" s="68" t="s">
        <v>640</v>
      </c>
      <c r="E401" s="69"/>
      <c r="F401" s="153">
        <v>2366.776292774</v>
      </c>
      <c r="G401" s="153">
        <v>8362.3694898265003</v>
      </c>
      <c r="H401" s="153">
        <v>117668.802715037</v>
      </c>
      <c r="I401" s="153">
        <v>23888.249732526001</v>
      </c>
      <c r="J401" s="153">
        <v>28067.802590638999</v>
      </c>
      <c r="K401" s="154">
        <v>19991.285136713999</v>
      </c>
      <c r="L401" s="153">
        <v>7621.0403327909999</v>
      </c>
      <c r="M401" s="155">
        <f t="shared" si="72"/>
        <v>207966.32629030751</v>
      </c>
      <c r="N401" s="2110">
        <v>192.29319000000004</v>
      </c>
      <c r="O401" s="2113">
        <v>2107.7180909999993</v>
      </c>
      <c r="P401" s="2116">
        <f t="shared" si="73"/>
        <v>210266.33757130749</v>
      </c>
      <c r="Q401" s="1810"/>
      <c r="R401" s="1810"/>
      <c r="S401" s="1837"/>
      <c r="T401" s="1837"/>
      <c r="U401" s="1837"/>
      <c r="V401" s="1837"/>
      <c r="W401" s="1837"/>
      <c r="X401" s="1837"/>
      <c r="Y401" s="1810"/>
      <c r="Z401" s="1804"/>
      <c r="AA401" s="1804"/>
      <c r="AB401" s="1804"/>
      <c r="AC401" s="1804"/>
      <c r="AD401" s="1804"/>
      <c r="AE401" s="1804"/>
      <c r="AF401" s="1804"/>
      <c r="AG401" s="1804"/>
      <c r="AH401" s="1804"/>
      <c r="AI401" s="1804"/>
      <c r="AJ401" s="1804"/>
      <c r="AK401" s="1804"/>
      <c r="AL401" s="1804"/>
      <c r="AM401" s="1804"/>
      <c r="AN401" s="1804"/>
      <c r="AO401" s="1804"/>
      <c r="AP401" s="1804"/>
      <c r="AQ401" s="1804"/>
      <c r="AR401" s="1804"/>
      <c r="AS401" s="1804"/>
      <c r="AT401" s="1804"/>
      <c r="AU401" s="1804"/>
      <c r="AV401" s="1804"/>
      <c r="AW401" s="1804"/>
      <c r="AX401" s="1804"/>
      <c r="AY401" s="1804"/>
      <c r="AZ401" s="1804"/>
      <c r="BA401" s="1804"/>
      <c r="BB401" s="1804"/>
      <c r="BC401" s="1804"/>
      <c r="BD401" s="1804"/>
      <c r="BE401" s="1804"/>
      <c r="BF401" s="1804"/>
      <c r="BG401" s="1804"/>
      <c r="BH401" s="1804"/>
      <c r="BI401" s="1804"/>
      <c r="BJ401" s="1804"/>
      <c r="BK401" s="1804"/>
      <c r="BL401" s="1804"/>
      <c r="BM401" s="1804"/>
      <c r="BN401" s="1804"/>
      <c r="BO401" s="1804"/>
      <c r="BP401" s="1804"/>
      <c r="BQ401" s="1804"/>
      <c r="BR401" s="1804"/>
      <c r="BS401" s="1804"/>
      <c r="BT401" s="1804"/>
      <c r="BU401" s="1804"/>
      <c r="BV401" s="1804"/>
      <c r="BW401" s="1804"/>
      <c r="BX401" s="1804"/>
      <c r="BY401" s="1804"/>
      <c r="BZ401" s="1804"/>
      <c r="CA401" s="1804"/>
      <c r="CB401" s="1804"/>
      <c r="CC401" s="1804"/>
      <c r="CD401" s="1804"/>
      <c r="CE401" s="1804"/>
      <c r="CF401" s="1804"/>
      <c r="CG401" s="1804"/>
      <c r="CH401" s="1804"/>
      <c r="CI401" s="1804"/>
      <c r="CJ401" s="1804"/>
      <c r="CK401" s="1804"/>
      <c r="CL401" s="1804"/>
      <c r="CM401" s="1804"/>
      <c r="CN401" s="1804"/>
      <c r="CO401" s="1804"/>
      <c r="CP401" s="1804"/>
      <c r="CQ401" s="1804"/>
      <c r="CR401" s="1804"/>
      <c r="CS401" s="1804"/>
      <c r="CT401" s="1804"/>
      <c r="CU401" s="1804"/>
      <c r="CV401" s="1804"/>
      <c r="CW401" s="1804"/>
      <c r="CX401" s="1804"/>
      <c r="CY401" s="1804"/>
      <c r="CZ401" s="1804"/>
      <c r="DA401" s="1804"/>
      <c r="DB401" s="1804"/>
      <c r="DC401" s="1804"/>
      <c r="DD401" s="1804"/>
      <c r="DE401" s="1804"/>
      <c r="DF401" s="1804"/>
      <c r="DG401" s="1804"/>
      <c r="DH401" s="1804"/>
      <c r="DI401" s="1804"/>
      <c r="DJ401" s="1804"/>
      <c r="DK401" s="1804"/>
      <c r="DL401" s="1804"/>
      <c r="DM401" s="1804"/>
      <c r="DN401" s="1804"/>
      <c r="DO401" s="1804"/>
      <c r="DP401" s="1804"/>
      <c r="DQ401" s="1804"/>
      <c r="DR401" s="1804"/>
      <c r="DS401" s="1804"/>
      <c r="DT401" s="1804"/>
      <c r="DU401" s="1804"/>
      <c r="DV401" s="1804"/>
      <c r="DW401" s="1804"/>
      <c r="DX401" s="1804"/>
      <c r="DY401" s="1804"/>
      <c r="DZ401" s="1804"/>
      <c r="EA401" s="1804"/>
      <c r="EB401" s="1804"/>
      <c r="EC401" s="1804"/>
      <c r="ED401" s="1804"/>
      <c r="EE401" s="1804"/>
      <c r="EF401" s="1804"/>
      <c r="EG401" s="1804"/>
      <c r="EH401" s="1804"/>
      <c r="EI401" s="1804"/>
      <c r="EJ401" s="1804"/>
      <c r="EK401" s="1804"/>
      <c r="EL401" s="1804"/>
      <c r="EM401" s="1804"/>
      <c r="EN401" s="1804"/>
      <c r="EO401" s="1804"/>
      <c r="EP401" s="1804"/>
      <c r="EQ401" s="1804"/>
      <c r="ER401" s="1804"/>
      <c r="ES401" s="1804"/>
      <c r="ET401" s="1804"/>
      <c r="EU401" s="1804"/>
      <c r="EV401" s="1804"/>
      <c r="EW401" s="1804"/>
      <c r="EX401" s="1804"/>
      <c r="EY401" s="1804"/>
      <c r="EZ401" s="1804"/>
      <c r="FA401" s="1804"/>
      <c r="FB401" s="1804"/>
      <c r="FC401" s="1804"/>
      <c r="FD401" s="1804"/>
      <c r="FE401" s="1804"/>
      <c r="FF401" s="1804"/>
      <c r="FG401" s="1804"/>
      <c r="FH401" s="1804"/>
      <c r="FI401" s="1804"/>
      <c r="FJ401" s="1804"/>
      <c r="FK401" s="1804"/>
      <c r="FL401" s="1804"/>
      <c r="FM401" s="1804"/>
      <c r="FN401" s="1804"/>
      <c r="FO401" s="1804"/>
      <c r="FP401" s="1804"/>
      <c r="FQ401" s="1804"/>
      <c r="FR401" s="1804"/>
      <c r="FS401" s="1804"/>
      <c r="FT401" s="1804"/>
      <c r="FU401" s="1804"/>
      <c r="FV401" s="1804"/>
      <c r="FW401" s="1804"/>
      <c r="FX401" s="1804"/>
      <c r="FY401" s="1804"/>
      <c r="FZ401" s="1804"/>
      <c r="GA401" s="1804"/>
      <c r="GB401" s="1804"/>
      <c r="GC401" s="1804"/>
      <c r="GD401" s="1804"/>
      <c r="GE401" s="1804"/>
      <c r="GF401" s="1804"/>
      <c r="GG401" s="1804"/>
      <c r="GH401" s="1804"/>
      <c r="GI401" s="1804"/>
      <c r="GJ401" s="1804"/>
      <c r="GK401" s="1804"/>
      <c r="GL401" s="1804"/>
      <c r="GM401" s="1804"/>
      <c r="GN401" s="1804"/>
      <c r="GO401" s="1804"/>
      <c r="GP401" s="1804"/>
      <c r="GQ401" s="1804"/>
      <c r="GR401" s="1804"/>
      <c r="GS401" s="1804"/>
      <c r="GT401" s="1804"/>
      <c r="GU401" s="1804"/>
      <c r="GV401" s="1804"/>
      <c r="GW401" s="1804"/>
      <c r="GX401" s="1804"/>
      <c r="GY401" s="1804"/>
      <c r="GZ401" s="1804"/>
      <c r="HA401" s="1804"/>
      <c r="HB401" s="1804"/>
      <c r="HC401" s="1804"/>
      <c r="HD401" s="1804"/>
      <c r="HE401" s="1804"/>
      <c r="HF401" s="1804"/>
      <c r="HG401" s="1804"/>
      <c r="HH401" s="1804"/>
      <c r="HI401" s="1804"/>
      <c r="HJ401" s="1804"/>
      <c r="HK401" s="1804"/>
      <c r="HL401" s="1804"/>
      <c r="HM401" s="1804"/>
      <c r="HN401" s="1804"/>
      <c r="HO401" s="1804"/>
      <c r="HP401" s="1804"/>
      <c r="HQ401" s="1804"/>
      <c r="HR401" s="1804"/>
      <c r="HS401" s="1804"/>
      <c r="HT401" s="1804"/>
      <c r="HU401" s="1804"/>
      <c r="HV401" s="1804"/>
      <c r="HW401" s="1804"/>
      <c r="HX401" s="1804"/>
      <c r="HY401" s="1804"/>
      <c r="HZ401" s="1804"/>
      <c r="IA401" s="1804"/>
      <c r="IB401" s="1804"/>
      <c r="IC401" s="1804"/>
      <c r="ID401" s="1804"/>
      <c r="IE401" s="1804"/>
      <c r="IF401" s="1804"/>
      <c r="IG401" s="1804"/>
      <c r="IH401" s="1804"/>
      <c r="II401" s="1804"/>
      <c r="IJ401" s="1804"/>
      <c r="IK401" s="1804"/>
      <c r="IL401" s="1804"/>
      <c r="IM401" s="1804"/>
      <c r="IN401" s="1804"/>
      <c r="IO401" s="1804"/>
      <c r="IP401" s="1804"/>
      <c r="IQ401" s="1804"/>
      <c r="IR401" s="1804"/>
      <c r="IS401" s="1804"/>
      <c r="IT401" s="1804"/>
      <c r="IU401" s="1804"/>
      <c r="IV401" s="1804"/>
      <c r="IW401" s="1804"/>
    </row>
    <row r="402" spans="3:257" s="888" customFormat="1" x14ac:dyDescent="0.45">
      <c r="C402" s="67" t="s">
        <v>539</v>
      </c>
      <c r="D402" s="68" t="s">
        <v>641</v>
      </c>
      <c r="E402" s="69"/>
      <c r="F402" s="153">
        <v>1746.3333980699999</v>
      </c>
      <c r="G402" s="153">
        <v>6268.1740278402103</v>
      </c>
      <c r="H402" s="153">
        <v>55223.769153502901</v>
      </c>
      <c r="I402" s="153">
        <v>12599.693143656999</v>
      </c>
      <c r="J402" s="153">
        <v>22681.378272333</v>
      </c>
      <c r="K402" s="154">
        <v>12418.53825843</v>
      </c>
      <c r="L402" s="153">
        <v>3148.4235147859999</v>
      </c>
      <c r="M402" s="155">
        <f t="shared" si="72"/>
        <v>114086.3097686191</v>
      </c>
      <c r="N402" s="2110">
        <v>92.154344999999992</v>
      </c>
      <c r="O402" s="2113">
        <v>1108.4076623999999</v>
      </c>
      <c r="P402" s="2116">
        <f t="shared" si="73"/>
        <v>115286.87177601911</v>
      </c>
      <c r="Q402" s="1810"/>
      <c r="R402" s="1810"/>
      <c r="S402" s="1837"/>
      <c r="T402" s="1837"/>
      <c r="U402" s="1837"/>
      <c r="V402" s="1837"/>
      <c r="W402" s="1837"/>
      <c r="X402" s="1837"/>
      <c r="Y402" s="1810"/>
      <c r="Z402" s="1804"/>
      <c r="AA402" s="1804"/>
      <c r="AB402" s="1804"/>
      <c r="AC402" s="1804"/>
      <c r="AD402" s="1804"/>
      <c r="AE402" s="1804"/>
      <c r="AF402" s="1804"/>
      <c r="AG402" s="1804"/>
      <c r="AH402" s="1804"/>
      <c r="AI402" s="1804"/>
      <c r="AJ402" s="1804"/>
      <c r="AK402" s="1804"/>
      <c r="AL402" s="1804"/>
      <c r="AM402" s="1804"/>
      <c r="AN402" s="1804"/>
      <c r="AO402" s="1804"/>
      <c r="AP402" s="1804"/>
      <c r="AQ402" s="1804"/>
      <c r="AR402" s="1804"/>
      <c r="AS402" s="1804"/>
      <c r="AT402" s="1804"/>
      <c r="AU402" s="1804"/>
      <c r="AV402" s="1804"/>
      <c r="AW402" s="1804"/>
      <c r="AX402" s="1804"/>
      <c r="AY402" s="1804"/>
      <c r="AZ402" s="1804"/>
      <c r="BA402" s="1804"/>
      <c r="BB402" s="1804"/>
      <c r="BC402" s="1804"/>
      <c r="BD402" s="1804"/>
      <c r="BE402" s="1804"/>
      <c r="BF402" s="1804"/>
      <c r="BG402" s="1804"/>
      <c r="BH402" s="1804"/>
      <c r="BI402" s="1804"/>
      <c r="BJ402" s="1804"/>
      <c r="BK402" s="1804"/>
      <c r="BL402" s="1804"/>
      <c r="BM402" s="1804"/>
      <c r="BN402" s="1804"/>
      <c r="BO402" s="1804"/>
      <c r="BP402" s="1804"/>
      <c r="BQ402" s="1804"/>
      <c r="BR402" s="1804"/>
      <c r="BS402" s="1804"/>
      <c r="BT402" s="1804"/>
      <c r="BU402" s="1804"/>
      <c r="BV402" s="1804"/>
      <c r="BW402" s="1804"/>
      <c r="BX402" s="1804"/>
      <c r="BY402" s="1804"/>
      <c r="BZ402" s="1804"/>
      <c r="CA402" s="1804"/>
      <c r="CB402" s="1804"/>
      <c r="CC402" s="1804"/>
      <c r="CD402" s="1804"/>
      <c r="CE402" s="1804"/>
      <c r="CF402" s="1804"/>
      <c r="CG402" s="1804"/>
      <c r="CH402" s="1804"/>
      <c r="CI402" s="1804"/>
      <c r="CJ402" s="1804"/>
      <c r="CK402" s="1804"/>
      <c r="CL402" s="1804"/>
      <c r="CM402" s="1804"/>
      <c r="CN402" s="1804"/>
      <c r="CO402" s="1804"/>
      <c r="CP402" s="1804"/>
      <c r="CQ402" s="1804"/>
      <c r="CR402" s="1804"/>
      <c r="CS402" s="1804"/>
      <c r="CT402" s="1804"/>
      <c r="CU402" s="1804"/>
      <c r="CV402" s="1804"/>
      <c r="CW402" s="1804"/>
      <c r="CX402" s="1804"/>
      <c r="CY402" s="1804"/>
      <c r="CZ402" s="1804"/>
      <c r="DA402" s="1804"/>
      <c r="DB402" s="1804"/>
      <c r="DC402" s="1804"/>
      <c r="DD402" s="1804"/>
      <c r="DE402" s="1804"/>
      <c r="DF402" s="1804"/>
      <c r="DG402" s="1804"/>
      <c r="DH402" s="1804"/>
      <c r="DI402" s="1804"/>
      <c r="DJ402" s="1804"/>
      <c r="DK402" s="1804"/>
      <c r="DL402" s="1804"/>
      <c r="DM402" s="1804"/>
      <c r="DN402" s="1804"/>
      <c r="DO402" s="1804"/>
      <c r="DP402" s="1804"/>
      <c r="DQ402" s="1804"/>
      <c r="DR402" s="1804"/>
      <c r="DS402" s="1804"/>
      <c r="DT402" s="1804"/>
      <c r="DU402" s="1804"/>
      <c r="DV402" s="1804"/>
      <c r="DW402" s="1804"/>
      <c r="DX402" s="1804"/>
      <c r="DY402" s="1804"/>
      <c r="DZ402" s="1804"/>
      <c r="EA402" s="1804"/>
      <c r="EB402" s="1804"/>
      <c r="EC402" s="1804"/>
      <c r="ED402" s="1804"/>
      <c r="EE402" s="1804"/>
      <c r="EF402" s="1804"/>
      <c r="EG402" s="1804"/>
      <c r="EH402" s="1804"/>
      <c r="EI402" s="1804"/>
      <c r="EJ402" s="1804"/>
      <c r="EK402" s="1804"/>
      <c r="EL402" s="1804"/>
      <c r="EM402" s="1804"/>
      <c r="EN402" s="1804"/>
      <c r="EO402" s="1804"/>
      <c r="EP402" s="1804"/>
      <c r="EQ402" s="1804"/>
      <c r="ER402" s="1804"/>
      <c r="ES402" s="1804"/>
      <c r="ET402" s="1804"/>
      <c r="EU402" s="1804"/>
      <c r="EV402" s="1804"/>
      <c r="EW402" s="1804"/>
      <c r="EX402" s="1804"/>
      <c r="EY402" s="1804"/>
      <c r="EZ402" s="1804"/>
      <c r="FA402" s="1804"/>
      <c r="FB402" s="1804"/>
      <c r="FC402" s="1804"/>
      <c r="FD402" s="1804"/>
      <c r="FE402" s="1804"/>
      <c r="FF402" s="1804"/>
      <c r="FG402" s="1804"/>
      <c r="FH402" s="1804"/>
      <c r="FI402" s="1804"/>
      <c r="FJ402" s="1804"/>
      <c r="FK402" s="1804"/>
      <c r="FL402" s="1804"/>
      <c r="FM402" s="1804"/>
      <c r="FN402" s="1804"/>
      <c r="FO402" s="1804"/>
      <c r="FP402" s="1804"/>
      <c r="FQ402" s="1804"/>
      <c r="FR402" s="1804"/>
      <c r="FS402" s="1804"/>
      <c r="FT402" s="1804"/>
      <c r="FU402" s="1804"/>
      <c r="FV402" s="1804"/>
      <c r="FW402" s="1804"/>
      <c r="FX402" s="1804"/>
      <c r="FY402" s="1804"/>
      <c r="FZ402" s="1804"/>
      <c r="GA402" s="1804"/>
      <c r="GB402" s="1804"/>
      <c r="GC402" s="1804"/>
      <c r="GD402" s="1804"/>
      <c r="GE402" s="1804"/>
      <c r="GF402" s="1804"/>
      <c r="GG402" s="1804"/>
      <c r="GH402" s="1804"/>
      <c r="GI402" s="1804"/>
      <c r="GJ402" s="1804"/>
      <c r="GK402" s="1804"/>
      <c r="GL402" s="1804"/>
      <c r="GM402" s="1804"/>
      <c r="GN402" s="1804"/>
      <c r="GO402" s="1804"/>
      <c r="GP402" s="1804"/>
      <c r="GQ402" s="1804"/>
      <c r="GR402" s="1804"/>
      <c r="GS402" s="1804"/>
      <c r="GT402" s="1804"/>
      <c r="GU402" s="1804"/>
      <c r="GV402" s="1804"/>
      <c r="GW402" s="1804"/>
      <c r="GX402" s="1804"/>
      <c r="GY402" s="1804"/>
      <c r="GZ402" s="1804"/>
      <c r="HA402" s="1804"/>
      <c r="HB402" s="1804"/>
      <c r="HC402" s="1804"/>
      <c r="HD402" s="1804"/>
      <c r="HE402" s="1804"/>
      <c r="HF402" s="1804"/>
      <c r="HG402" s="1804"/>
      <c r="HH402" s="1804"/>
      <c r="HI402" s="1804"/>
      <c r="HJ402" s="1804"/>
      <c r="HK402" s="1804"/>
      <c r="HL402" s="1804"/>
      <c r="HM402" s="1804"/>
      <c r="HN402" s="1804"/>
      <c r="HO402" s="1804"/>
      <c r="HP402" s="1804"/>
      <c r="HQ402" s="1804"/>
      <c r="HR402" s="1804"/>
      <c r="HS402" s="1804"/>
      <c r="HT402" s="1804"/>
      <c r="HU402" s="1804"/>
      <c r="HV402" s="1804"/>
      <c r="HW402" s="1804"/>
      <c r="HX402" s="1804"/>
      <c r="HY402" s="1804"/>
      <c r="HZ402" s="1804"/>
      <c r="IA402" s="1804"/>
      <c r="IB402" s="1804"/>
      <c r="IC402" s="1804"/>
      <c r="ID402" s="1804"/>
      <c r="IE402" s="1804"/>
      <c r="IF402" s="1804"/>
      <c r="IG402" s="1804"/>
      <c r="IH402" s="1804"/>
      <c r="II402" s="1804"/>
      <c r="IJ402" s="1804"/>
      <c r="IK402" s="1804"/>
      <c r="IL402" s="1804"/>
      <c r="IM402" s="1804"/>
      <c r="IN402" s="1804"/>
      <c r="IO402" s="1804"/>
      <c r="IP402" s="1804"/>
      <c r="IQ402" s="1804"/>
      <c r="IR402" s="1804"/>
      <c r="IS402" s="1804"/>
      <c r="IT402" s="1804"/>
      <c r="IU402" s="1804"/>
      <c r="IV402" s="1804"/>
      <c r="IW402" s="1804"/>
    </row>
    <row r="403" spans="3:257" s="888" customFormat="1" x14ac:dyDescent="0.45">
      <c r="C403" s="67" t="s">
        <v>540</v>
      </c>
      <c r="D403" s="68" t="s">
        <v>642</v>
      </c>
      <c r="E403" s="69"/>
      <c r="F403" s="153">
        <v>2138.4360782180001</v>
      </c>
      <c r="G403" s="153">
        <v>7099.7914070848001</v>
      </c>
      <c r="H403" s="153">
        <v>53129.261941365898</v>
      </c>
      <c r="I403" s="153">
        <v>11889.022916510001</v>
      </c>
      <c r="J403" s="153">
        <v>17102.209670564</v>
      </c>
      <c r="K403" s="154">
        <v>9660.9638790480203</v>
      </c>
      <c r="L403" s="153">
        <v>2036.0554061820001</v>
      </c>
      <c r="M403" s="155">
        <f t="shared" si="72"/>
        <v>103055.74129897272</v>
      </c>
      <c r="N403" s="2110">
        <v>119.04941250000003</v>
      </c>
      <c r="O403" s="2113">
        <v>1477.4012156000003</v>
      </c>
      <c r="P403" s="2116">
        <f t="shared" si="73"/>
        <v>104652.19192707271</v>
      </c>
      <c r="Q403" s="1810"/>
      <c r="R403" s="1810"/>
      <c r="S403" s="1837"/>
      <c r="T403" s="1837"/>
      <c r="U403" s="1837"/>
      <c r="V403" s="1837"/>
      <c r="W403" s="1837"/>
      <c r="X403" s="1837"/>
      <c r="Y403" s="1810"/>
      <c r="Z403" s="1804"/>
      <c r="AA403" s="1804"/>
      <c r="AB403" s="1804"/>
      <c r="AC403" s="1804"/>
      <c r="AD403" s="1804"/>
      <c r="AE403" s="1804"/>
      <c r="AF403" s="1804"/>
      <c r="AG403" s="1804"/>
      <c r="AH403" s="1804"/>
      <c r="AI403" s="1804"/>
      <c r="AJ403" s="1804"/>
      <c r="AK403" s="1804"/>
      <c r="AL403" s="1804"/>
      <c r="AM403" s="1804"/>
      <c r="AN403" s="1804"/>
      <c r="AO403" s="1804"/>
      <c r="AP403" s="1804"/>
      <c r="AQ403" s="1804"/>
      <c r="AR403" s="1804"/>
      <c r="AS403" s="1804"/>
      <c r="AT403" s="1804"/>
      <c r="AU403" s="1804"/>
      <c r="AV403" s="1804"/>
      <c r="AW403" s="1804"/>
      <c r="AX403" s="1804"/>
      <c r="AY403" s="1804"/>
      <c r="AZ403" s="1804"/>
      <c r="BA403" s="1804"/>
      <c r="BB403" s="1804"/>
      <c r="BC403" s="1804"/>
      <c r="BD403" s="1804"/>
      <c r="BE403" s="1804"/>
      <c r="BF403" s="1804"/>
      <c r="BG403" s="1804"/>
      <c r="BH403" s="1804"/>
      <c r="BI403" s="1804"/>
      <c r="BJ403" s="1804"/>
      <c r="BK403" s="1804"/>
      <c r="BL403" s="1804"/>
      <c r="BM403" s="1804"/>
      <c r="BN403" s="1804"/>
      <c r="BO403" s="1804"/>
      <c r="BP403" s="1804"/>
      <c r="BQ403" s="1804"/>
      <c r="BR403" s="1804"/>
      <c r="BS403" s="1804"/>
      <c r="BT403" s="1804"/>
      <c r="BU403" s="1804"/>
      <c r="BV403" s="1804"/>
      <c r="BW403" s="1804"/>
      <c r="BX403" s="1804"/>
      <c r="BY403" s="1804"/>
      <c r="BZ403" s="1804"/>
      <c r="CA403" s="1804"/>
      <c r="CB403" s="1804"/>
      <c r="CC403" s="1804"/>
      <c r="CD403" s="1804"/>
      <c r="CE403" s="1804"/>
      <c r="CF403" s="1804"/>
      <c r="CG403" s="1804"/>
      <c r="CH403" s="1804"/>
      <c r="CI403" s="1804"/>
      <c r="CJ403" s="1804"/>
      <c r="CK403" s="1804"/>
      <c r="CL403" s="1804"/>
      <c r="CM403" s="1804"/>
      <c r="CN403" s="1804"/>
      <c r="CO403" s="1804"/>
      <c r="CP403" s="1804"/>
      <c r="CQ403" s="1804"/>
      <c r="CR403" s="1804"/>
      <c r="CS403" s="1804"/>
      <c r="CT403" s="1804"/>
      <c r="CU403" s="1804"/>
      <c r="CV403" s="1804"/>
      <c r="CW403" s="1804"/>
      <c r="CX403" s="1804"/>
      <c r="CY403" s="1804"/>
      <c r="CZ403" s="1804"/>
      <c r="DA403" s="1804"/>
      <c r="DB403" s="1804"/>
      <c r="DC403" s="1804"/>
      <c r="DD403" s="1804"/>
      <c r="DE403" s="1804"/>
      <c r="DF403" s="1804"/>
      <c r="DG403" s="1804"/>
      <c r="DH403" s="1804"/>
      <c r="DI403" s="1804"/>
      <c r="DJ403" s="1804"/>
      <c r="DK403" s="1804"/>
      <c r="DL403" s="1804"/>
      <c r="DM403" s="1804"/>
      <c r="DN403" s="1804"/>
      <c r="DO403" s="1804"/>
      <c r="DP403" s="1804"/>
      <c r="DQ403" s="1804"/>
      <c r="DR403" s="1804"/>
      <c r="DS403" s="1804"/>
      <c r="DT403" s="1804"/>
      <c r="DU403" s="1804"/>
      <c r="DV403" s="1804"/>
      <c r="DW403" s="1804"/>
      <c r="DX403" s="1804"/>
      <c r="DY403" s="1804"/>
      <c r="DZ403" s="1804"/>
      <c r="EA403" s="1804"/>
      <c r="EB403" s="1804"/>
      <c r="EC403" s="1804"/>
      <c r="ED403" s="1804"/>
      <c r="EE403" s="1804"/>
      <c r="EF403" s="1804"/>
      <c r="EG403" s="1804"/>
      <c r="EH403" s="1804"/>
      <c r="EI403" s="1804"/>
      <c r="EJ403" s="1804"/>
      <c r="EK403" s="1804"/>
      <c r="EL403" s="1804"/>
      <c r="EM403" s="1804"/>
      <c r="EN403" s="1804"/>
      <c r="EO403" s="1804"/>
      <c r="EP403" s="1804"/>
      <c r="EQ403" s="1804"/>
      <c r="ER403" s="1804"/>
      <c r="ES403" s="1804"/>
      <c r="ET403" s="1804"/>
      <c r="EU403" s="1804"/>
      <c r="EV403" s="1804"/>
      <c r="EW403" s="1804"/>
      <c r="EX403" s="1804"/>
      <c r="EY403" s="1804"/>
      <c r="EZ403" s="1804"/>
      <c r="FA403" s="1804"/>
      <c r="FB403" s="1804"/>
      <c r="FC403" s="1804"/>
      <c r="FD403" s="1804"/>
      <c r="FE403" s="1804"/>
      <c r="FF403" s="1804"/>
      <c r="FG403" s="1804"/>
      <c r="FH403" s="1804"/>
      <c r="FI403" s="1804"/>
      <c r="FJ403" s="1804"/>
      <c r="FK403" s="1804"/>
      <c r="FL403" s="1804"/>
      <c r="FM403" s="1804"/>
      <c r="FN403" s="1804"/>
      <c r="FO403" s="1804"/>
      <c r="FP403" s="1804"/>
      <c r="FQ403" s="1804"/>
      <c r="FR403" s="1804"/>
      <c r="FS403" s="1804"/>
      <c r="FT403" s="1804"/>
      <c r="FU403" s="1804"/>
      <c r="FV403" s="1804"/>
      <c r="FW403" s="1804"/>
      <c r="FX403" s="1804"/>
      <c r="FY403" s="1804"/>
      <c r="FZ403" s="1804"/>
      <c r="GA403" s="1804"/>
      <c r="GB403" s="1804"/>
      <c r="GC403" s="1804"/>
      <c r="GD403" s="1804"/>
      <c r="GE403" s="1804"/>
      <c r="GF403" s="1804"/>
      <c r="GG403" s="1804"/>
      <c r="GH403" s="1804"/>
      <c r="GI403" s="1804"/>
      <c r="GJ403" s="1804"/>
      <c r="GK403" s="1804"/>
      <c r="GL403" s="1804"/>
      <c r="GM403" s="1804"/>
      <c r="GN403" s="1804"/>
      <c r="GO403" s="1804"/>
      <c r="GP403" s="1804"/>
      <c r="GQ403" s="1804"/>
      <c r="GR403" s="1804"/>
      <c r="GS403" s="1804"/>
      <c r="GT403" s="1804"/>
      <c r="GU403" s="1804"/>
      <c r="GV403" s="1804"/>
      <c r="GW403" s="1804"/>
      <c r="GX403" s="1804"/>
      <c r="GY403" s="1804"/>
      <c r="GZ403" s="1804"/>
      <c r="HA403" s="1804"/>
      <c r="HB403" s="1804"/>
      <c r="HC403" s="1804"/>
      <c r="HD403" s="1804"/>
      <c r="HE403" s="1804"/>
      <c r="HF403" s="1804"/>
      <c r="HG403" s="1804"/>
      <c r="HH403" s="1804"/>
      <c r="HI403" s="1804"/>
      <c r="HJ403" s="1804"/>
      <c r="HK403" s="1804"/>
      <c r="HL403" s="1804"/>
      <c r="HM403" s="1804"/>
      <c r="HN403" s="1804"/>
      <c r="HO403" s="1804"/>
      <c r="HP403" s="1804"/>
      <c r="HQ403" s="1804"/>
      <c r="HR403" s="1804"/>
      <c r="HS403" s="1804"/>
      <c r="HT403" s="1804"/>
      <c r="HU403" s="1804"/>
      <c r="HV403" s="1804"/>
      <c r="HW403" s="1804"/>
      <c r="HX403" s="1804"/>
      <c r="HY403" s="1804"/>
      <c r="HZ403" s="1804"/>
      <c r="IA403" s="1804"/>
      <c r="IB403" s="1804"/>
      <c r="IC403" s="1804"/>
      <c r="ID403" s="1804"/>
      <c r="IE403" s="1804"/>
      <c r="IF403" s="1804"/>
      <c r="IG403" s="1804"/>
      <c r="IH403" s="1804"/>
      <c r="II403" s="1804"/>
      <c r="IJ403" s="1804"/>
      <c r="IK403" s="1804"/>
      <c r="IL403" s="1804"/>
      <c r="IM403" s="1804"/>
      <c r="IN403" s="1804"/>
      <c r="IO403" s="1804"/>
      <c r="IP403" s="1804"/>
      <c r="IQ403" s="1804"/>
      <c r="IR403" s="1804"/>
      <c r="IS403" s="1804"/>
      <c r="IT403" s="1804"/>
      <c r="IU403" s="1804"/>
      <c r="IV403" s="1804"/>
      <c r="IW403" s="1804"/>
    </row>
    <row r="404" spans="3:257" s="888" customFormat="1" x14ac:dyDescent="0.45">
      <c r="C404" s="67" t="s">
        <v>541</v>
      </c>
      <c r="D404" s="68" t="s">
        <v>643</v>
      </c>
      <c r="E404" s="69"/>
      <c r="F404" s="153">
        <v>1341.4140431169999</v>
      </c>
      <c r="G404" s="153">
        <v>6515.9416655635096</v>
      </c>
      <c r="H404" s="153">
        <v>69383.509697646106</v>
      </c>
      <c r="I404" s="153">
        <v>13100.623307854999</v>
      </c>
      <c r="J404" s="153">
        <v>19775.760907151001</v>
      </c>
      <c r="K404" s="154">
        <v>11383.809847445</v>
      </c>
      <c r="L404" s="153">
        <v>3390.982487669</v>
      </c>
      <c r="M404" s="155">
        <f t="shared" si="72"/>
        <v>124892.04195644661</v>
      </c>
      <c r="N404" s="2110">
        <v>124.26096749999998</v>
      </c>
      <c r="O404" s="2113">
        <v>1491.5860454000001</v>
      </c>
      <c r="P404" s="2116">
        <f t="shared" si="73"/>
        <v>126507.88896934662</v>
      </c>
      <c r="Q404" s="1810"/>
      <c r="R404" s="1810"/>
      <c r="S404" s="1837"/>
      <c r="T404" s="1837"/>
      <c r="U404" s="1837"/>
      <c r="V404" s="1837"/>
      <c r="W404" s="1837"/>
      <c r="X404" s="1837"/>
      <c r="Y404" s="1810"/>
      <c r="Z404" s="1804"/>
      <c r="AA404" s="1804"/>
      <c r="AB404" s="1804"/>
      <c r="AC404" s="1804"/>
      <c r="AD404" s="1804"/>
      <c r="AE404" s="1804"/>
      <c r="AF404" s="1804"/>
      <c r="AG404" s="1804"/>
      <c r="AH404" s="1804"/>
      <c r="AI404" s="1804"/>
      <c r="AJ404" s="1804"/>
      <c r="AK404" s="1804"/>
      <c r="AL404" s="1804"/>
      <c r="AM404" s="1804"/>
      <c r="AN404" s="1804"/>
      <c r="AO404" s="1804"/>
      <c r="AP404" s="1804"/>
      <c r="AQ404" s="1804"/>
      <c r="AR404" s="1804"/>
      <c r="AS404" s="1804"/>
      <c r="AT404" s="1804"/>
      <c r="AU404" s="1804"/>
      <c r="AV404" s="1804"/>
      <c r="AW404" s="1804"/>
      <c r="AX404" s="1804"/>
      <c r="AY404" s="1804"/>
      <c r="AZ404" s="1804"/>
      <c r="BA404" s="1804"/>
      <c r="BB404" s="1804"/>
      <c r="BC404" s="1804"/>
      <c r="BD404" s="1804"/>
      <c r="BE404" s="1804"/>
      <c r="BF404" s="1804"/>
      <c r="BG404" s="1804"/>
      <c r="BH404" s="1804"/>
      <c r="BI404" s="1804"/>
      <c r="BJ404" s="1804"/>
      <c r="BK404" s="1804"/>
      <c r="BL404" s="1804"/>
      <c r="BM404" s="1804"/>
      <c r="BN404" s="1804"/>
      <c r="BO404" s="1804"/>
      <c r="BP404" s="1804"/>
      <c r="BQ404" s="1804"/>
      <c r="BR404" s="1804"/>
      <c r="BS404" s="1804"/>
      <c r="BT404" s="1804"/>
      <c r="BU404" s="1804"/>
      <c r="BV404" s="1804"/>
      <c r="BW404" s="1804"/>
      <c r="BX404" s="1804"/>
      <c r="BY404" s="1804"/>
      <c r="BZ404" s="1804"/>
      <c r="CA404" s="1804"/>
      <c r="CB404" s="1804"/>
      <c r="CC404" s="1804"/>
      <c r="CD404" s="1804"/>
      <c r="CE404" s="1804"/>
      <c r="CF404" s="1804"/>
      <c r="CG404" s="1804"/>
      <c r="CH404" s="1804"/>
      <c r="CI404" s="1804"/>
      <c r="CJ404" s="1804"/>
      <c r="CK404" s="1804"/>
      <c r="CL404" s="1804"/>
      <c r="CM404" s="1804"/>
      <c r="CN404" s="1804"/>
      <c r="CO404" s="1804"/>
      <c r="CP404" s="1804"/>
      <c r="CQ404" s="1804"/>
      <c r="CR404" s="1804"/>
      <c r="CS404" s="1804"/>
      <c r="CT404" s="1804"/>
      <c r="CU404" s="1804"/>
      <c r="CV404" s="1804"/>
      <c r="CW404" s="1804"/>
      <c r="CX404" s="1804"/>
      <c r="CY404" s="1804"/>
      <c r="CZ404" s="1804"/>
      <c r="DA404" s="1804"/>
      <c r="DB404" s="1804"/>
      <c r="DC404" s="1804"/>
      <c r="DD404" s="1804"/>
      <c r="DE404" s="1804"/>
      <c r="DF404" s="1804"/>
      <c r="DG404" s="1804"/>
      <c r="DH404" s="1804"/>
      <c r="DI404" s="1804"/>
      <c r="DJ404" s="1804"/>
      <c r="DK404" s="1804"/>
      <c r="DL404" s="1804"/>
      <c r="DM404" s="1804"/>
      <c r="DN404" s="1804"/>
      <c r="DO404" s="1804"/>
      <c r="DP404" s="1804"/>
      <c r="DQ404" s="1804"/>
      <c r="DR404" s="1804"/>
      <c r="DS404" s="1804"/>
      <c r="DT404" s="1804"/>
      <c r="DU404" s="1804"/>
      <c r="DV404" s="1804"/>
      <c r="DW404" s="1804"/>
      <c r="DX404" s="1804"/>
      <c r="DY404" s="1804"/>
      <c r="DZ404" s="1804"/>
      <c r="EA404" s="1804"/>
      <c r="EB404" s="1804"/>
      <c r="EC404" s="1804"/>
      <c r="ED404" s="1804"/>
      <c r="EE404" s="1804"/>
      <c r="EF404" s="1804"/>
      <c r="EG404" s="1804"/>
      <c r="EH404" s="1804"/>
      <c r="EI404" s="1804"/>
      <c r="EJ404" s="1804"/>
      <c r="EK404" s="1804"/>
      <c r="EL404" s="1804"/>
      <c r="EM404" s="1804"/>
      <c r="EN404" s="1804"/>
      <c r="EO404" s="1804"/>
      <c r="EP404" s="1804"/>
      <c r="EQ404" s="1804"/>
      <c r="ER404" s="1804"/>
      <c r="ES404" s="1804"/>
      <c r="ET404" s="1804"/>
      <c r="EU404" s="1804"/>
      <c r="EV404" s="1804"/>
      <c r="EW404" s="1804"/>
      <c r="EX404" s="1804"/>
      <c r="EY404" s="1804"/>
      <c r="EZ404" s="1804"/>
      <c r="FA404" s="1804"/>
      <c r="FB404" s="1804"/>
      <c r="FC404" s="1804"/>
      <c r="FD404" s="1804"/>
      <c r="FE404" s="1804"/>
      <c r="FF404" s="1804"/>
      <c r="FG404" s="1804"/>
      <c r="FH404" s="1804"/>
      <c r="FI404" s="1804"/>
      <c r="FJ404" s="1804"/>
      <c r="FK404" s="1804"/>
      <c r="FL404" s="1804"/>
      <c r="FM404" s="1804"/>
      <c r="FN404" s="1804"/>
      <c r="FO404" s="1804"/>
      <c r="FP404" s="1804"/>
      <c r="FQ404" s="1804"/>
      <c r="FR404" s="1804"/>
      <c r="FS404" s="1804"/>
      <c r="FT404" s="1804"/>
      <c r="FU404" s="1804"/>
      <c r="FV404" s="1804"/>
      <c r="FW404" s="1804"/>
      <c r="FX404" s="1804"/>
      <c r="FY404" s="1804"/>
      <c r="FZ404" s="1804"/>
      <c r="GA404" s="1804"/>
      <c r="GB404" s="1804"/>
      <c r="GC404" s="1804"/>
      <c r="GD404" s="1804"/>
      <c r="GE404" s="1804"/>
      <c r="GF404" s="1804"/>
      <c r="GG404" s="1804"/>
      <c r="GH404" s="1804"/>
      <c r="GI404" s="1804"/>
      <c r="GJ404" s="1804"/>
      <c r="GK404" s="1804"/>
      <c r="GL404" s="1804"/>
      <c r="GM404" s="1804"/>
      <c r="GN404" s="1804"/>
      <c r="GO404" s="1804"/>
      <c r="GP404" s="1804"/>
      <c r="GQ404" s="1804"/>
      <c r="GR404" s="1804"/>
      <c r="GS404" s="1804"/>
      <c r="GT404" s="1804"/>
      <c r="GU404" s="1804"/>
      <c r="GV404" s="1804"/>
      <c r="GW404" s="1804"/>
      <c r="GX404" s="1804"/>
      <c r="GY404" s="1804"/>
      <c r="GZ404" s="1804"/>
      <c r="HA404" s="1804"/>
      <c r="HB404" s="1804"/>
      <c r="HC404" s="1804"/>
      <c r="HD404" s="1804"/>
      <c r="HE404" s="1804"/>
      <c r="HF404" s="1804"/>
      <c r="HG404" s="1804"/>
      <c r="HH404" s="1804"/>
      <c r="HI404" s="1804"/>
      <c r="HJ404" s="1804"/>
      <c r="HK404" s="1804"/>
      <c r="HL404" s="1804"/>
      <c r="HM404" s="1804"/>
      <c r="HN404" s="1804"/>
      <c r="HO404" s="1804"/>
      <c r="HP404" s="1804"/>
      <c r="HQ404" s="1804"/>
      <c r="HR404" s="1804"/>
      <c r="HS404" s="1804"/>
      <c r="HT404" s="1804"/>
      <c r="HU404" s="1804"/>
      <c r="HV404" s="1804"/>
      <c r="HW404" s="1804"/>
      <c r="HX404" s="1804"/>
      <c r="HY404" s="1804"/>
      <c r="HZ404" s="1804"/>
      <c r="IA404" s="1804"/>
      <c r="IB404" s="1804"/>
      <c r="IC404" s="1804"/>
      <c r="ID404" s="1804"/>
      <c r="IE404" s="1804"/>
      <c r="IF404" s="1804"/>
      <c r="IG404" s="1804"/>
      <c r="IH404" s="1804"/>
      <c r="II404" s="1804"/>
      <c r="IJ404" s="1804"/>
      <c r="IK404" s="1804"/>
      <c r="IL404" s="1804"/>
      <c r="IM404" s="1804"/>
      <c r="IN404" s="1804"/>
      <c r="IO404" s="1804"/>
      <c r="IP404" s="1804"/>
      <c r="IQ404" s="1804"/>
      <c r="IR404" s="1804"/>
      <c r="IS404" s="1804"/>
      <c r="IT404" s="1804"/>
      <c r="IU404" s="1804"/>
      <c r="IV404" s="1804"/>
      <c r="IW404" s="1804"/>
    </row>
    <row r="405" spans="3:257" s="888" customFormat="1" x14ac:dyDescent="0.45">
      <c r="C405" s="67" t="s">
        <v>542</v>
      </c>
      <c r="D405" s="68" t="s">
        <v>644</v>
      </c>
      <c r="E405" s="69"/>
      <c r="F405" s="153">
        <v>852.79678818199898</v>
      </c>
      <c r="G405" s="153">
        <v>1498.491380858</v>
      </c>
      <c r="H405" s="153">
        <v>94189.537739852007</v>
      </c>
      <c r="I405" s="153">
        <v>12628.785554478</v>
      </c>
      <c r="J405" s="153">
        <v>13755.666078824001</v>
      </c>
      <c r="K405" s="154">
        <v>8863.9223102399992</v>
      </c>
      <c r="L405" s="153">
        <v>3357.351134732</v>
      </c>
      <c r="M405" s="155">
        <f t="shared" si="72"/>
        <v>135146.55098716597</v>
      </c>
      <c r="N405" s="2110">
        <v>119.78499500000004</v>
      </c>
      <c r="O405" s="2113">
        <v>1358.8863175999998</v>
      </c>
      <c r="P405" s="2116">
        <f t="shared" si="73"/>
        <v>136625.22229976597</v>
      </c>
      <c r="Q405" s="1810"/>
      <c r="R405" s="1810"/>
      <c r="S405" s="1837"/>
      <c r="T405" s="1837"/>
      <c r="U405" s="1837"/>
      <c r="V405" s="1837"/>
      <c r="W405" s="1837"/>
      <c r="X405" s="1837"/>
      <c r="Y405" s="1810"/>
      <c r="Z405" s="1804"/>
      <c r="AA405" s="1804"/>
      <c r="AB405" s="1804"/>
      <c r="AC405" s="1804"/>
      <c r="AD405" s="1804"/>
      <c r="AE405" s="1804"/>
      <c r="AF405" s="1804"/>
      <c r="AG405" s="1804"/>
      <c r="AH405" s="1804"/>
      <c r="AI405" s="1804"/>
      <c r="AJ405" s="1804"/>
      <c r="AK405" s="1804"/>
      <c r="AL405" s="1804"/>
      <c r="AM405" s="1804"/>
      <c r="AN405" s="1804"/>
      <c r="AO405" s="1804"/>
      <c r="AP405" s="1804"/>
      <c r="AQ405" s="1804"/>
      <c r="AR405" s="1804"/>
      <c r="AS405" s="1804"/>
      <c r="AT405" s="1804"/>
      <c r="AU405" s="1804"/>
      <c r="AV405" s="1804"/>
      <c r="AW405" s="1804"/>
      <c r="AX405" s="1804"/>
      <c r="AY405" s="1804"/>
      <c r="AZ405" s="1804"/>
      <c r="BA405" s="1804"/>
      <c r="BB405" s="1804"/>
      <c r="BC405" s="1804"/>
      <c r="BD405" s="1804"/>
      <c r="BE405" s="1804"/>
      <c r="BF405" s="1804"/>
      <c r="BG405" s="1804"/>
      <c r="BH405" s="1804"/>
      <c r="BI405" s="1804"/>
      <c r="BJ405" s="1804"/>
      <c r="BK405" s="1804"/>
      <c r="BL405" s="1804"/>
      <c r="BM405" s="1804"/>
      <c r="BN405" s="1804"/>
      <c r="BO405" s="1804"/>
      <c r="BP405" s="1804"/>
      <c r="BQ405" s="1804"/>
      <c r="BR405" s="1804"/>
      <c r="BS405" s="1804"/>
      <c r="BT405" s="1804"/>
      <c r="BU405" s="1804"/>
      <c r="BV405" s="1804"/>
      <c r="BW405" s="1804"/>
      <c r="BX405" s="1804"/>
      <c r="BY405" s="1804"/>
      <c r="BZ405" s="1804"/>
      <c r="CA405" s="1804"/>
      <c r="CB405" s="1804"/>
      <c r="CC405" s="1804"/>
      <c r="CD405" s="1804"/>
      <c r="CE405" s="1804"/>
      <c r="CF405" s="1804"/>
      <c r="CG405" s="1804"/>
      <c r="CH405" s="1804"/>
      <c r="CI405" s="1804"/>
      <c r="CJ405" s="1804"/>
      <c r="CK405" s="1804"/>
      <c r="CL405" s="1804"/>
      <c r="CM405" s="1804"/>
      <c r="CN405" s="1804"/>
      <c r="CO405" s="1804"/>
      <c r="CP405" s="1804"/>
      <c r="CQ405" s="1804"/>
      <c r="CR405" s="1804"/>
      <c r="CS405" s="1804"/>
      <c r="CT405" s="1804"/>
      <c r="CU405" s="1804"/>
      <c r="CV405" s="1804"/>
      <c r="CW405" s="1804"/>
      <c r="CX405" s="1804"/>
      <c r="CY405" s="1804"/>
      <c r="CZ405" s="1804"/>
      <c r="DA405" s="1804"/>
      <c r="DB405" s="1804"/>
      <c r="DC405" s="1804"/>
      <c r="DD405" s="1804"/>
      <c r="DE405" s="1804"/>
      <c r="DF405" s="1804"/>
      <c r="DG405" s="1804"/>
      <c r="DH405" s="1804"/>
      <c r="DI405" s="1804"/>
      <c r="DJ405" s="1804"/>
      <c r="DK405" s="1804"/>
      <c r="DL405" s="1804"/>
      <c r="DM405" s="1804"/>
      <c r="DN405" s="1804"/>
      <c r="DO405" s="1804"/>
      <c r="DP405" s="1804"/>
      <c r="DQ405" s="1804"/>
      <c r="DR405" s="1804"/>
      <c r="DS405" s="1804"/>
      <c r="DT405" s="1804"/>
      <c r="DU405" s="1804"/>
      <c r="DV405" s="1804"/>
      <c r="DW405" s="1804"/>
      <c r="DX405" s="1804"/>
      <c r="DY405" s="1804"/>
      <c r="DZ405" s="1804"/>
      <c r="EA405" s="1804"/>
      <c r="EB405" s="1804"/>
      <c r="EC405" s="1804"/>
      <c r="ED405" s="1804"/>
      <c r="EE405" s="1804"/>
      <c r="EF405" s="1804"/>
      <c r="EG405" s="1804"/>
      <c r="EH405" s="1804"/>
      <c r="EI405" s="1804"/>
      <c r="EJ405" s="1804"/>
      <c r="EK405" s="1804"/>
      <c r="EL405" s="1804"/>
      <c r="EM405" s="1804"/>
      <c r="EN405" s="1804"/>
      <c r="EO405" s="1804"/>
      <c r="EP405" s="1804"/>
      <c r="EQ405" s="1804"/>
      <c r="ER405" s="1804"/>
      <c r="ES405" s="1804"/>
      <c r="ET405" s="1804"/>
      <c r="EU405" s="1804"/>
      <c r="EV405" s="1804"/>
      <c r="EW405" s="1804"/>
      <c r="EX405" s="1804"/>
      <c r="EY405" s="1804"/>
      <c r="EZ405" s="1804"/>
      <c r="FA405" s="1804"/>
      <c r="FB405" s="1804"/>
      <c r="FC405" s="1804"/>
      <c r="FD405" s="1804"/>
      <c r="FE405" s="1804"/>
      <c r="FF405" s="1804"/>
      <c r="FG405" s="1804"/>
      <c r="FH405" s="1804"/>
      <c r="FI405" s="1804"/>
      <c r="FJ405" s="1804"/>
      <c r="FK405" s="1804"/>
      <c r="FL405" s="1804"/>
      <c r="FM405" s="1804"/>
      <c r="FN405" s="1804"/>
      <c r="FO405" s="1804"/>
      <c r="FP405" s="1804"/>
      <c r="FQ405" s="1804"/>
      <c r="FR405" s="1804"/>
      <c r="FS405" s="1804"/>
      <c r="FT405" s="1804"/>
      <c r="FU405" s="1804"/>
      <c r="FV405" s="1804"/>
      <c r="FW405" s="1804"/>
      <c r="FX405" s="1804"/>
      <c r="FY405" s="1804"/>
      <c r="FZ405" s="1804"/>
      <c r="GA405" s="1804"/>
      <c r="GB405" s="1804"/>
      <c r="GC405" s="1804"/>
      <c r="GD405" s="1804"/>
      <c r="GE405" s="1804"/>
      <c r="GF405" s="1804"/>
      <c r="GG405" s="1804"/>
      <c r="GH405" s="1804"/>
      <c r="GI405" s="1804"/>
      <c r="GJ405" s="1804"/>
      <c r="GK405" s="1804"/>
      <c r="GL405" s="1804"/>
      <c r="GM405" s="1804"/>
      <c r="GN405" s="1804"/>
      <c r="GO405" s="1804"/>
      <c r="GP405" s="1804"/>
      <c r="GQ405" s="1804"/>
      <c r="GR405" s="1804"/>
      <c r="GS405" s="1804"/>
      <c r="GT405" s="1804"/>
      <c r="GU405" s="1804"/>
      <c r="GV405" s="1804"/>
      <c r="GW405" s="1804"/>
      <c r="GX405" s="1804"/>
      <c r="GY405" s="1804"/>
      <c r="GZ405" s="1804"/>
      <c r="HA405" s="1804"/>
      <c r="HB405" s="1804"/>
      <c r="HC405" s="1804"/>
      <c r="HD405" s="1804"/>
      <c r="HE405" s="1804"/>
      <c r="HF405" s="1804"/>
      <c r="HG405" s="1804"/>
      <c r="HH405" s="1804"/>
      <c r="HI405" s="1804"/>
      <c r="HJ405" s="1804"/>
      <c r="HK405" s="1804"/>
      <c r="HL405" s="1804"/>
      <c r="HM405" s="1804"/>
      <c r="HN405" s="1804"/>
      <c r="HO405" s="1804"/>
      <c r="HP405" s="1804"/>
      <c r="HQ405" s="1804"/>
      <c r="HR405" s="1804"/>
      <c r="HS405" s="1804"/>
      <c r="HT405" s="1804"/>
      <c r="HU405" s="1804"/>
      <c r="HV405" s="1804"/>
      <c r="HW405" s="1804"/>
      <c r="HX405" s="1804"/>
      <c r="HY405" s="1804"/>
      <c r="HZ405" s="1804"/>
      <c r="IA405" s="1804"/>
      <c r="IB405" s="1804"/>
      <c r="IC405" s="1804"/>
      <c r="ID405" s="1804"/>
      <c r="IE405" s="1804"/>
      <c r="IF405" s="1804"/>
      <c r="IG405" s="1804"/>
      <c r="IH405" s="1804"/>
      <c r="II405" s="1804"/>
      <c r="IJ405" s="1804"/>
      <c r="IK405" s="1804"/>
      <c r="IL405" s="1804"/>
      <c r="IM405" s="1804"/>
      <c r="IN405" s="1804"/>
      <c r="IO405" s="1804"/>
      <c r="IP405" s="1804"/>
      <c r="IQ405" s="1804"/>
      <c r="IR405" s="1804"/>
      <c r="IS405" s="1804"/>
      <c r="IT405" s="1804"/>
      <c r="IU405" s="1804"/>
      <c r="IV405" s="1804"/>
      <c r="IW405" s="1804"/>
    </row>
    <row r="406" spans="3:257" s="888" customFormat="1" x14ac:dyDescent="0.45">
      <c r="C406" s="67" t="s">
        <v>543</v>
      </c>
      <c r="D406" s="68" t="s">
        <v>645</v>
      </c>
      <c r="E406" s="69"/>
      <c r="F406" s="153">
        <v>1641.8523609599999</v>
      </c>
      <c r="G406" s="153">
        <v>3360.23686010866</v>
      </c>
      <c r="H406" s="153">
        <v>185659.57758269599</v>
      </c>
      <c r="I406" s="153">
        <v>34517.782294992001</v>
      </c>
      <c r="J406" s="153">
        <v>22850.933486911199</v>
      </c>
      <c r="K406" s="154">
        <v>31183.453282437</v>
      </c>
      <c r="L406" s="153">
        <v>60418.989847878998</v>
      </c>
      <c r="M406" s="155">
        <f t="shared" si="72"/>
        <v>339632.82571598387</v>
      </c>
      <c r="N406" s="2110">
        <v>244.92427000000006</v>
      </c>
      <c r="O406" s="2113">
        <v>3513.8564806000009</v>
      </c>
      <c r="P406" s="2116">
        <f t="shared" si="73"/>
        <v>343391.60646658391</v>
      </c>
      <c r="Q406" s="1810"/>
      <c r="R406" s="1810"/>
      <c r="S406" s="1837"/>
      <c r="T406" s="1837"/>
      <c r="U406" s="1837"/>
      <c r="V406" s="1837"/>
      <c r="W406" s="1837"/>
      <c r="X406" s="1837"/>
      <c r="Y406" s="1810"/>
      <c r="Z406" s="1804"/>
      <c r="AA406" s="1804"/>
      <c r="AB406" s="1804"/>
      <c r="AC406" s="1804"/>
      <c r="AD406" s="1804"/>
      <c r="AE406" s="1804"/>
      <c r="AF406" s="1804"/>
      <c r="AG406" s="1804"/>
      <c r="AH406" s="1804"/>
      <c r="AI406" s="1804"/>
      <c r="AJ406" s="1804"/>
      <c r="AK406" s="1804"/>
      <c r="AL406" s="1804"/>
      <c r="AM406" s="1804"/>
      <c r="AN406" s="1804"/>
      <c r="AO406" s="1804"/>
      <c r="AP406" s="1804"/>
      <c r="AQ406" s="1804"/>
      <c r="AR406" s="1804"/>
      <c r="AS406" s="1804"/>
      <c r="AT406" s="1804"/>
      <c r="AU406" s="1804"/>
      <c r="AV406" s="1804"/>
      <c r="AW406" s="1804"/>
      <c r="AX406" s="1804"/>
      <c r="AY406" s="1804"/>
      <c r="AZ406" s="1804"/>
      <c r="BA406" s="1804"/>
      <c r="BB406" s="1804"/>
      <c r="BC406" s="1804"/>
      <c r="BD406" s="1804"/>
      <c r="BE406" s="1804"/>
      <c r="BF406" s="1804"/>
      <c r="BG406" s="1804"/>
      <c r="BH406" s="1804"/>
      <c r="BI406" s="1804"/>
      <c r="BJ406" s="1804"/>
      <c r="BK406" s="1804"/>
      <c r="BL406" s="1804"/>
      <c r="BM406" s="1804"/>
      <c r="BN406" s="1804"/>
      <c r="BO406" s="1804"/>
      <c r="BP406" s="1804"/>
      <c r="BQ406" s="1804"/>
      <c r="BR406" s="1804"/>
      <c r="BS406" s="1804"/>
      <c r="BT406" s="1804"/>
      <c r="BU406" s="1804"/>
      <c r="BV406" s="1804"/>
      <c r="BW406" s="1804"/>
      <c r="BX406" s="1804"/>
      <c r="BY406" s="1804"/>
      <c r="BZ406" s="1804"/>
      <c r="CA406" s="1804"/>
      <c r="CB406" s="1804"/>
      <c r="CC406" s="1804"/>
      <c r="CD406" s="1804"/>
      <c r="CE406" s="1804"/>
      <c r="CF406" s="1804"/>
      <c r="CG406" s="1804"/>
      <c r="CH406" s="1804"/>
      <c r="CI406" s="1804"/>
      <c r="CJ406" s="1804"/>
      <c r="CK406" s="1804"/>
      <c r="CL406" s="1804"/>
      <c r="CM406" s="1804"/>
      <c r="CN406" s="1804"/>
      <c r="CO406" s="1804"/>
      <c r="CP406" s="1804"/>
      <c r="CQ406" s="1804"/>
      <c r="CR406" s="1804"/>
      <c r="CS406" s="1804"/>
      <c r="CT406" s="1804"/>
      <c r="CU406" s="1804"/>
      <c r="CV406" s="1804"/>
      <c r="CW406" s="1804"/>
      <c r="CX406" s="1804"/>
      <c r="CY406" s="1804"/>
      <c r="CZ406" s="1804"/>
      <c r="DA406" s="1804"/>
      <c r="DB406" s="1804"/>
      <c r="DC406" s="1804"/>
      <c r="DD406" s="1804"/>
      <c r="DE406" s="1804"/>
      <c r="DF406" s="1804"/>
      <c r="DG406" s="1804"/>
      <c r="DH406" s="1804"/>
      <c r="DI406" s="1804"/>
      <c r="DJ406" s="1804"/>
      <c r="DK406" s="1804"/>
      <c r="DL406" s="1804"/>
      <c r="DM406" s="1804"/>
      <c r="DN406" s="1804"/>
      <c r="DO406" s="1804"/>
      <c r="DP406" s="1804"/>
      <c r="DQ406" s="1804"/>
      <c r="DR406" s="1804"/>
      <c r="DS406" s="1804"/>
      <c r="DT406" s="1804"/>
      <c r="DU406" s="1804"/>
      <c r="DV406" s="1804"/>
      <c r="DW406" s="1804"/>
      <c r="DX406" s="1804"/>
      <c r="DY406" s="1804"/>
      <c r="DZ406" s="1804"/>
      <c r="EA406" s="1804"/>
      <c r="EB406" s="1804"/>
      <c r="EC406" s="1804"/>
      <c r="ED406" s="1804"/>
      <c r="EE406" s="1804"/>
      <c r="EF406" s="1804"/>
      <c r="EG406" s="1804"/>
      <c r="EH406" s="1804"/>
      <c r="EI406" s="1804"/>
      <c r="EJ406" s="1804"/>
      <c r="EK406" s="1804"/>
      <c r="EL406" s="1804"/>
      <c r="EM406" s="1804"/>
      <c r="EN406" s="1804"/>
      <c r="EO406" s="1804"/>
      <c r="EP406" s="1804"/>
      <c r="EQ406" s="1804"/>
      <c r="ER406" s="1804"/>
      <c r="ES406" s="1804"/>
      <c r="ET406" s="1804"/>
      <c r="EU406" s="1804"/>
      <c r="EV406" s="1804"/>
      <c r="EW406" s="1804"/>
      <c r="EX406" s="1804"/>
      <c r="EY406" s="1804"/>
      <c r="EZ406" s="1804"/>
      <c r="FA406" s="1804"/>
      <c r="FB406" s="1804"/>
      <c r="FC406" s="1804"/>
      <c r="FD406" s="1804"/>
      <c r="FE406" s="1804"/>
      <c r="FF406" s="1804"/>
      <c r="FG406" s="1804"/>
      <c r="FH406" s="1804"/>
      <c r="FI406" s="1804"/>
      <c r="FJ406" s="1804"/>
      <c r="FK406" s="1804"/>
      <c r="FL406" s="1804"/>
      <c r="FM406" s="1804"/>
      <c r="FN406" s="1804"/>
      <c r="FO406" s="1804"/>
      <c r="FP406" s="1804"/>
      <c r="FQ406" s="1804"/>
      <c r="FR406" s="1804"/>
      <c r="FS406" s="1804"/>
      <c r="FT406" s="1804"/>
      <c r="FU406" s="1804"/>
      <c r="FV406" s="1804"/>
      <c r="FW406" s="1804"/>
      <c r="FX406" s="1804"/>
      <c r="FY406" s="1804"/>
      <c r="FZ406" s="1804"/>
      <c r="GA406" s="1804"/>
      <c r="GB406" s="1804"/>
      <c r="GC406" s="1804"/>
      <c r="GD406" s="1804"/>
      <c r="GE406" s="1804"/>
      <c r="GF406" s="1804"/>
      <c r="GG406" s="1804"/>
      <c r="GH406" s="1804"/>
      <c r="GI406" s="1804"/>
      <c r="GJ406" s="1804"/>
      <c r="GK406" s="1804"/>
      <c r="GL406" s="1804"/>
      <c r="GM406" s="1804"/>
      <c r="GN406" s="1804"/>
      <c r="GO406" s="1804"/>
      <c r="GP406" s="1804"/>
      <c r="GQ406" s="1804"/>
      <c r="GR406" s="1804"/>
      <c r="GS406" s="1804"/>
      <c r="GT406" s="1804"/>
      <c r="GU406" s="1804"/>
      <c r="GV406" s="1804"/>
      <c r="GW406" s="1804"/>
      <c r="GX406" s="1804"/>
      <c r="GY406" s="1804"/>
      <c r="GZ406" s="1804"/>
      <c r="HA406" s="1804"/>
      <c r="HB406" s="1804"/>
      <c r="HC406" s="1804"/>
      <c r="HD406" s="1804"/>
      <c r="HE406" s="1804"/>
      <c r="HF406" s="1804"/>
      <c r="HG406" s="1804"/>
      <c r="HH406" s="1804"/>
      <c r="HI406" s="1804"/>
      <c r="HJ406" s="1804"/>
      <c r="HK406" s="1804"/>
      <c r="HL406" s="1804"/>
      <c r="HM406" s="1804"/>
      <c r="HN406" s="1804"/>
      <c r="HO406" s="1804"/>
      <c r="HP406" s="1804"/>
      <c r="HQ406" s="1804"/>
      <c r="HR406" s="1804"/>
      <c r="HS406" s="1804"/>
      <c r="HT406" s="1804"/>
      <c r="HU406" s="1804"/>
      <c r="HV406" s="1804"/>
      <c r="HW406" s="1804"/>
      <c r="HX406" s="1804"/>
      <c r="HY406" s="1804"/>
      <c r="HZ406" s="1804"/>
      <c r="IA406" s="1804"/>
      <c r="IB406" s="1804"/>
      <c r="IC406" s="1804"/>
      <c r="ID406" s="1804"/>
      <c r="IE406" s="1804"/>
      <c r="IF406" s="1804"/>
      <c r="IG406" s="1804"/>
      <c r="IH406" s="1804"/>
      <c r="II406" s="1804"/>
      <c r="IJ406" s="1804"/>
      <c r="IK406" s="1804"/>
      <c r="IL406" s="1804"/>
      <c r="IM406" s="1804"/>
      <c r="IN406" s="1804"/>
      <c r="IO406" s="1804"/>
      <c r="IP406" s="1804"/>
      <c r="IQ406" s="1804"/>
      <c r="IR406" s="1804"/>
      <c r="IS406" s="1804"/>
      <c r="IT406" s="1804"/>
      <c r="IU406" s="1804"/>
      <c r="IV406" s="1804"/>
      <c r="IW406" s="1804"/>
    </row>
    <row r="407" spans="3:257" s="888" customFormat="1" x14ac:dyDescent="0.45">
      <c r="C407" s="67" t="s">
        <v>544</v>
      </c>
      <c r="D407" s="68" t="s">
        <v>646</v>
      </c>
      <c r="E407" s="69"/>
      <c r="F407" s="153">
        <v>2340.3417708749998</v>
      </c>
      <c r="G407" s="153">
        <v>7719.6951484683004</v>
      </c>
      <c r="H407" s="153">
        <v>256290.22621575301</v>
      </c>
      <c r="I407" s="153">
        <v>37509.645898823001</v>
      </c>
      <c r="J407" s="153">
        <v>37891.6369782287</v>
      </c>
      <c r="K407" s="154">
        <v>34547.501928270001</v>
      </c>
      <c r="L407" s="153">
        <v>19762.157853657998</v>
      </c>
      <c r="M407" s="155">
        <f t="shared" si="72"/>
        <v>396061.20579407597</v>
      </c>
      <c r="N407" s="2110">
        <v>374.13211000000001</v>
      </c>
      <c r="O407" s="2113">
        <v>4207.7439974000008</v>
      </c>
      <c r="P407" s="2116">
        <f t="shared" si="73"/>
        <v>400643.08190147596</v>
      </c>
      <c r="Q407" s="1810"/>
      <c r="R407" s="1810"/>
      <c r="S407" s="1837"/>
      <c r="T407" s="1837"/>
      <c r="U407" s="1837"/>
      <c r="V407" s="1837"/>
      <c r="W407" s="1837"/>
      <c r="X407" s="1837"/>
      <c r="Y407" s="1810"/>
      <c r="Z407" s="1804"/>
      <c r="AA407" s="1804"/>
      <c r="AB407" s="1804"/>
      <c r="AC407" s="1804"/>
      <c r="AD407" s="1804"/>
      <c r="AE407" s="1804"/>
      <c r="AF407" s="1804"/>
      <c r="AG407" s="1804"/>
      <c r="AH407" s="1804"/>
      <c r="AI407" s="1804"/>
      <c r="AJ407" s="1804"/>
      <c r="AK407" s="1804"/>
      <c r="AL407" s="1804"/>
      <c r="AM407" s="1804"/>
      <c r="AN407" s="1804"/>
      <c r="AO407" s="1804"/>
      <c r="AP407" s="1804"/>
      <c r="AQ407" s="1804"/>
      <c r="AR407" s="1804"/>
      <c r="AS407" s="1804"/>
      <c r="AT407" s="1804"/>
      <c r="AU407" s="1804"/>
      <c r="AV407" s="1804"/>
      <c r="AW407" s="1804"/>
      <c r="AX407" s="1804"/>
      <c r="AY407" s="1804"/>
      <c r="AZ407" s="1804"/>
      <c r="BA407" s="1804"/>
      <c r="BB407" s="1804"/>
      <c r="BC407" s="1804"/>
      <c r="BD407" s="1804"/>
      <c r="BE407" s="1804"/>
      <c r="BF407" s="1804"/>
      <c r="BG407" s="1804"/>
      <c r="BH407" s="1804"/>
      <c r="BI407" s="1804"/>
      <c r="BJ407" s="1804"/>
      <c r="BK407" s="1804"/>
      <c r="BL407" s="1804"/>
      <c r="BM407" s="1804"/>
      <c r="BN407" s="1804"/>
      <c r="BO407" s="1804"/>
      <c r="BP407" s="1804"/>
      <c r="BQ407" s="1804"/>
      <c r="BR407" s="1804"/>
      <c r="BS407" s="1804"/>
      <c r="BT407" s="1804"/>
      <c r="BU407" s="1804"/>
      <c r="BV407" s="1804"/>
      <c r="BW407" s="1804"/>
      <c r="BX407" s="1804"/>
      <c r="BY407" s="1804"/>
      <c r="BZ407" s="1804"/>
      <c r="CA407" s="1804"/>
      <c r="CB407" s="1804"/>
      <c r="CC407" s="1804"/>
      <c r="CD407" s="1804"/>
      <c r="CE407" s="1804"/>
      <c r="CF407" s="1804"/>
      <c r="CG407" s="1804"/>
      <c r="CH407" s="1804"/>
      <c r="CI407" s="1804"/>
      <c r="CJ407" s="1804"/>
      <c r="CK407" s="1804"/>
      <c r="CL407" s="1804"/>
      <c r="CM407" s="1804"/>
      <c r="CN407" s="1804"/>
      <c r="CO407" s="1804"/>
      <c r="CP407" s="1804"/>
      <c r="CQ407" s="1804"/>
      <c r="CR407" s="1804"/>
      <c r="CS407" s="1804"/>
      <c r="CT407" s="1804"/>
      <c r="CU407" s="1804"/>
      <c r="CV407" s="1804"/>
      <c r="CW407" s="1804"/>
      <c r="CX407" s="1804"/>
      <c r="CY407" s="1804"/>
      <c r="CZ407" s="1804"/>
      <c r="DA407" s="1804"/>
      <c r="DB407" s="1804"/>
      <c r="DC407" s="1804"/>
      <c r="DD407" s="1804"/>
      <c r="DE407" s="1804"/>
      <c r="DF407" s="1804"/>
      <c r="DG407" s="1804"/>
      <c r="DH407" s="1804"/>
      <c r="DI407" s="1804"/>
      <c r="DJ407" s="1804"/>
      <c r="DK407" s="1804"/>
      <c r="DL407" s="1804"/>
      <c r="DM407" s="1804"/>
      <c r="DN407" s="1804"/>
      <c r="DO407" s="1804"/>
      <c r="DP407" s="1804"/>
      <c r="DQ407" s="1804"/>
      <c r="DR407" s="1804"/>
      <c r="DS407" s="1804"/>
      <c r="DT407" s="1804"/>
      <c r="DU407" s="1804"/>
      <c r="DV407" s="1804"/>
      <c r="DW407" s="1804"/>
      <c r="DX407" s="1804"/>
      <c r="DY407" s="1804"/>
      <c r="DZ407" s="1804"/>
      <c r="EA407" s="1804"/>
      <c r="EB407" s="1804"/>
      <c r="EC407" s="1804"/>
      <c r="ED407" s="1804"/>
      <c r="EE407" s="1804"/>
      <c r="EF407" s="1804"/>
      <c r="EG407" s="1804"/>
      <c r="EH407" s="1804"/>
      <c r="EI407" s="1804"/>
      <c r="EJ407" s="1804"/>
      <c r="EK407" s="1804"/>
      <c r="EL407" s="1804"/>
      <c r="EM407" s="1804"/>
      <c r="EN407" s="1804"/>
      <c r="EO407" s="1804"/>
      <c r="EP407" s="1804"/>
      <c r="EQ407" s="1804"/>
      <c r="ER407" s="1804"/>
      <c r="ES407" s="1804"/>
      <c r="ET407" s="1804"/>
      <c r="EU407" s="1804"/>
      <c r="EV407" s="1804"/>
      <c r="EW407" s="1804"/>
      <c r="EX407" s="1804"/>
      <c r="EY407" s="1804"/>
      <c r="EZ407" s="1804"/>
      <c r="FA407" s="1804"/>
      <c r="FB407" s="1804"/>
      <c r="FC407" s="1804"/>
      <c r="FD407" s="1804"/>
      <c r="FE407" s="1804"/>
      <c r="FF407" s="1804"/>
      <c r="FG407" s="1804"/>
      <c r="FH407" s="1804"/>
      <c r="FI407" s="1804"/>
      <c r="FJ407" s="1804"/>
      <c r="FK407" s="1804"/>
      <c r="FL407" s="1804"/>
      <c r="FM407" s="1804"/>
      <c r="FN407" s="1804"/>
      <c r="FO407" s="1804"/>
      <c r="FP407" s="1804"/>
      <c r="FQ407" s="1804"/>
      <c r="FR407" s="1804"/>
      <c r="FS407" s="1804"/>
      <c r="FT407" s="1804"/>
      <c r="FU407" s="1804"/>
      <c r="FV407" s="1804"/>
      <c r="FW407" s="1804"/>
      <c r="FX407" s="1804"/>
      <c r="FY407" s="1804"/>
      <c r="FZ407" s="1804"/>
      <c r="GA407" s="1804"/>
      <c r="GB407" s="1804"/>
      <c r="GC407" s="1804"/>
      <c r="GD407" s="1804"/>
      <c r="GE407" s="1804"/>
      <c r="GF407" s="1804"/>
      <c r="GG407" s="1804"/>
      <c r="GH407" s="1804"/>
      <c r="GI407" s="1804"/>
      <c r="GJ407" s="1804"/>
      <c r="GK407" s="1804"/>
      <c r="GL407" s="1804"/>
      <c r="GM407" s="1804"/>
      <c r="GN407" s="1804"/>
      <c r="GO407" s="1804"/>
      <c r="GP407" s="1804"/>
      <c r="GQ407" s="1804"/>
      <c r="GR407" s="1804"/>
      <c r="GS407" s="1804"/>
      <c r="GT407" s="1804"/>
      <c r="GU407" s="1804"/>
      <c r="GV407" s="1804"/>
      <c r="GW407" s="1804"/>
      <c r="GX407" s="1804"/>
      <c r="GY407" s="1804"/>
      <c r="GZ407" s="1804"/>
      <c r="HA407" s="1804"/>
      <c r="HB407" s="1804"/>
      <c r="HC407" s="1804"/>
      <c r="HD407" s="1804"/>
      <c r="HE407" s="1804"/>
      <c r="HF407" s="1804"/>
      <c r="HG407" s="1804"/>
      <c r="HH407" s="1804"/>
      <c r="HI407" s="1804"/>
      <c r="HJ407" s="1804"/>
      <c r="HK407" s="1804"/>
      <c r="HL407" s="1804"/>
      <c r="HM407" s="1804"/>
      <c r="HN407" s="1804"/>
      <c r="HO407" s="1804"/>
      <c r="HP407" s="1804"/>
      <c r="HQ407" s="1804"/>
      <c r="HR407" s="1804"/>
      <c r="HS407" s="1804"/>
      <c r="HT407" s="1804"/>
      <c r="HU407" s="1804"/>
      <c r="HV407" s="1804"/>
      <c r="HW407" s="1804"/>
      <c r="HX407" s="1804"/>
      <c r="HY407" s="1804"/>
      <c r="HZ407" s="1804"/>
      <c r="IA407" s="1804"/>
      <c r="IB407" s="1804"/>
      <c r="IC407" s="1804"/>
      <c r="ID407" s="1804"/>
      <c r="IE407" s="1804"/>
      <c r="IF407" s="1804"/>
      <c r="IG407" s="1804"/>
      <c r="IH407" s="1804"/>
      <c r="II407" s="1804"/>
      <c r="IJ407" s="1804"/>
      <c r="IK407" s="1804"/>
      <c r="IL407" s="1804"/>
      <c r="IM407" s="1804"/>
      <c r="IN407" s="1804"/>
      <c r="IO407" s="1804"/>
      <c r="IP407" s="1804"/>
      <c r="IQ407" s="1804"/>
      <c r="IR407" s="1804"/>
      <c r="IS407" s="1804"/>
      <c r="IT407" s="1804"/>
      <c r="IU407" s="1804"/>
      <c r="IV407" s="1804"/>
      <c r="IW407" s="1804"/>
    </row>
    <row r="408" spans="3:257" s="888" customFormat="1" x14ac:dyDescent="0.45">
      <c r="C408" s="67" t="s">
        <v>545</v>
      </c>
      <c r="D408" s="68" t="s">
        <v>647</v>
      </c>
      <c r="E408" s="69"/>
      <c r="F408" s="153">
        <v>2640.7566002050098</v>
      </c>
      <c r="G408" s="153">
        <v>10067.5393280306</v>
      </c>
      <c r="H408" s="153">
        <v>174765.75502023101</v>
      </c>
      <c r="I408" s="153">
        <v>29192.682925958001</v>
      </c>
      <c r="J408" s="153">
        <v>25809.065086893999</v>
      </c>
      <c r="K408" s="154">
        <v>22971.483402812999</v>
      </c>
      <c r="L408" s="153">
        <v>8178.6873439369901</v>
      </c>
      <c r="M408" s="155">
        <f t="shared" si="72"/>
        <v>273625.96970806865</v>
      </c>
      <c r="N408" s="2110">
        <v>280.89746000000002</v>
      </c>
      <c r="O408" s="2113">
        <v>3009.9988256000001</v>
      </c>
      <c r="P408" s="2116">
        <f t="shared" si="73"/>
        <v>276916.86599366867</v>
      </c>
      <c r="Q408" s="1810"/>
      <c r="R408" s="1810"/>
      <c r="S408" s="1837"/>
      <c r="T408" s="1837"/>
      <c r="U408" s="1837"/>
      <c r="V408" s="1837"/>
      <c r="W408" s="1837"/>
      <c r="X408" s="1837"/>
      <c r="Y408" s="1810"/>
      <c r="Z408" s="1804"/>
      <c r="AA408" s="1804"/>
      <c r="AB408" s="1804"/>
      <c r="AC408" s="1804"/>
      <c r="AD408" s="1804"/>
      <c r="AE408" s="1804"/>
      <c r="AF408" s="1804"/>
      <c r="AG408" s="1804"/>
      <c r="AH408" s="1804"/>
      <c r="AI408" s="1804"/>
      <c r="AJ408" s="1804"/>
      <c r="AK408" s="1804"/>
      <c r="AL408" s="1804"/>
      <c r="AM408" s="1804"/>
      <c r="AN408" s="1804"/>
      <c r="AO408" s="1804"/>
      <c r="AP408" s="1804"/>
      <c r="AQ408" s="1804"/>
      <c r="AR408" s="1804"/>
      <c r="AS408" s="1804"/>
      <c r="AT408" s="1804"/>
      <c r="AU408" s="1804"/>
      <c r="AV408" s="1804"/>
      <c r="AW408" s="1804"/>
      <c r="AX408" s="1804"/>
      <c r="AY408" s="1804"/>
      <c r="AZ408" s="1804"/>
      <c r="BA408" s="1804"/>
      <c r="BB408" s="1804"/>
      <c r="BC408" s="1804"/>
      <c r="BD408" s="1804"/>
      <c r="BE408" s="1804"/>
      <c r="BF408" s="1804"/>
      <c r="BG408" s="1804"/>
      <c r="BH408" s="1804"/>
      <c r="BI408" s="1804"/>
      <c r="BJ408" s="1804"/>
      <c r="BK408" s="1804"/>
      <c r="BL408" s="1804"/>
      <c r="BM408" s="1804"/>
      <c r="BN408" s="1804"/>
      <c r="BO408" s="1804"/>
      <c r="BP408" s="1804"/>
      <c r="BQ408" s="1804"/>
      <c r="BR408" s="1804"/>
      <c r="BS408" s="1804"/>
      <c r="BT408" s="1804"/>
      <c r="BU408" s="1804"/>
      <c r="BV408" s="1804"/>
      <c r="BW408" s="1804"/>
      <c r="BX408" s="1804"/>
      <c r="BY408" s="1804"/>
      <c r="BZ408" s="1804"/>
      <c r="CA408" s="1804"/>
      <c r="CB408" s="1804"/>
      <c r="CC408" s="1804"/>
      <c r="CD408" s="1804"/>
      <c r="CE408" s="1804"/>
      <c r="CF408" s="1804"/>
      <c r="CG408" s="1804"/>
      <c r="CH408" s="1804"/>
      <c r="CI408" s="1804"/>
      <c r="CJ408" s="1804"/>
      <c r="CK408" s="1804"/>
      <c r="CL408" s="1804"/>
      <c r="CM408" s="1804"/>
      <c r="CN408" s="1804"/>
      <c r="CO408" s="1804"/>
      <c r="CP408" s="1804"/>
      <c r="CQ408" s="1804"/>
      <c r="CR408" s="1804"/>
      <c r="CS408" s="1804"/>
      <c r="CT408" s="1804"/>
      <c r="CU408" s="1804"/>
      <c r="CV408" s="1804"/>
      <c r="CW408" s="1804"/>
      <c r="CX408" s="1804"/>
      <c r="CY408" s="1804"/>
      <c r="CZ408" s="1804"/>
      <c r="DA408" s="1804"/>
      <c r="DB408" s="1804"/>
      <c r="DC408" s="1804"/>
      <c r="DD408" s="1804"/>
      <c r="DE408" s="1804"/>
      <c r="DF408" s="1804"/>
      <c r="DG408" s="1804"/>
      <c r="DH408" s="1804"/>
      <c r="DI408" s="1804"/>
      <c r="DJ408" s="1804"/>
      <c r="DK408" s="1804"/>
      <c r="DL408" s="1804"/>
      <c r="DM408" s="1804"/>
      <c r="DN408" s="1804"/>
      <c r="DO408" s="1804"/>
      <c r="DP408" s="1804"/>
      <c r="DQ408" s="1804"/>
      <c r="DR408" s="1804"/>
      <c r="DS408" s="1804"/>
      <c r="DT408" s="1804"/>
      <c r="DU408" s="1804"/>
      <c r="DV408" s="1804"/>
      <c r="DW408" s="1804"/>
      <c r="DX408" s="1804"/>
      <c r="DY408" s="1804"/>
      <c r="DZ408" s="1804"/>
      <c r="EA408" s="1804"/>
      <c r="EB408" s="1804"/>
      <c r="EC408" s="1804"/>
      <c r="ED408" s="1804"/>
      <c r="EE408" s="1804"/>
      <c r="EF408" s="1804"/>
      <c r="EG408" s="1804"/>
      <c r="EH408" s="1804"/>
      <c r="EI408" s="1804"/>
      <c r="EJ408" s="1804"/>
      <c r="EK408" s="1804"/>
      <c r="EL408" s="1804"/>
      <c r="EM408" s="1804"/>
      <c r="EN408" s="1804"/>
      <c r="EO408" s="1804"/>
      <c r="EP408" s="1804"/>
      <c r="EQ408" s="1804"/>
      <c r="ER408" s="1804"/>
      <c r="ES408" s="1804"/>
      <c r="ET408" s="1804"/>
      <c r="EU408" s="1804"/>
      <c r="EV408" s="1804"/>
      <c r="EW408" s="1804"/>
      <c r="EX408" s="1804"/>
      <c r="EY408" s="1804"/>
      <c r="EZ408" s="1804"/>
      <c r="FA408" s="1804"/>
      <c r="FB408" s="1804"/>
      <c r="FC408" s="1804"/>
      <c r="FD408" s="1804"/>
      <c r="FE408" s="1804"/>
      <c r="FF408" s="1804"/>
      <c r="FG408" s="1804"/>
      <c r="FH408" s="1804"/>
      <c r="FI408" s="1804"/>
      <c r="FJ408" s="1804"/>
      <c r="FK408" s="1804"/>
      <c r="FL408" s="1804"/>
      <c r="FM408" s="1804"/>
      <c r="FN408" s="1804"/>
      <c r="FO408" s="1804"/>
      <c r="FP408" s="1804"/>
      <c r="FQ408" s="1804"/>
      <c r="FR408" s="1804"/>
      <c r="FS408" s="1804"/>
      <c r="FT408" s="1804"/>
      <c r="FU408" s="1804"/>
      <c r="FV408" s="1804"/>
      <c r="FW408" s="1804"/>
      <c r="FX408" s="1804"/>
      <c r="FY408" s="1804"/>
      <c r="FZ408" s="1804"/>
      <c r="GA408" s="1804"/>
      <c r="GB408" s="1804"/>
      <c r="GC408" s="1804"/>
      <c r="GD408" s="1804"/>
      <c r="GE408" s="1804"/>
      <c r="GF408" s="1804"/>
      <c r="GG408" s="1804"/>
      <c r="GH408" s="1804"/>
      <c r="GI408" s="1804"/>
      <c r="GJ408" s="1804"/>
      <c r="GK408" s="1804"/>
      <c r="GL408" s="1804"/>
      <c r="GM408" s="1804"/>
      <c r="GN408" s="1804"/>
      <c r="GO408" s="1804"/>
      <c r="GP408" s="1804"/>
      <c r="GQ408" s="1804"/>
      <c r="GR408" s="1804"/>
      <c r="GS408" s="1804"/>
      <c r="GT408" s="1804"/>
      <c r="GU408" s="1804"/>
      <c r="GV408" s="1804"/>
      <c r="GW408" s="1804"/>
      <c r="GX408" s="1804"/>
      <c r="GY408" s="1804"/>
      <c r="GZ408" s="1804"/>
      <c r="HA408" s="1804"/>
      <c r="HB408" s="1804"/>
      <c r="HC408" s="1804"/>
      <c r="HD408" s="1804"/>
      <c r="HE408" s="1804"/>
      <c r="HF408" s="1804"/>
      <c r="HG408" s="1804"/>
      <c r="HH408" s="1804"/>
      <c r="HI408" s="1804"/>
      <c r="HJ408" s="1804"/>
      <c r="HK408" s="1804"/>
      <c r="HL408" s="1804"/>
      <c r="HM408" s="1804"/>
      <c r="HN408" s="1804"/>
      <c r="HO408" s="1804"/>
      <c r="HP408" s="1804"/>
      <c r="HQ408" s="1804"/>
      <c r="HR408" s="1804"/>
      <c r="HS408" s="1804"/>
      <c r="HT408" s="1804"/>
      <c r="HU408" s="1804"/>
      <c r="HV408" s="1804"/>
      <c r="HW408" s="1804"/>
      <c r="HX408" s="1804"/>
      <c r="HY408" s="1804"/>
      <c r="HZ408" s="1804"/>
      <c r="IA408" s="1804"/>
      <c r="IB408" s="1804"/>
      <c r="IC408" s="1804"/>
      <c r="ID408" s="1804"/>
      <c r="IE408" s="1804"/>
      <c r="IF408" s="1804"/>
      <c r="IG408" s="1804"/>
      <c r="IH408" s="1804"/>
      <c r="II408" s="1804"/>
      <c r="IJ408" s="1804"/>
      <c r="IK408" s="1804"/>
      <c r="IL408" s="1804"/>
      <c r="IM408" s="1804"/>
      <c r="IN408" s="1804"/>
      <c r="IO408" s="1804"/>
      <c r="IP408" s="1804"/>
      <c r="IQ408" s="1804"/>
      <c r="IR408" s="1804"/>
      <c r="IS408" s="1804"/>
      <c r="IT408" s="1804"/>
      <c r="IU408" s="1804"/>
      <c r="IV408" s="1804"/>
      <c r="IW408" s="1804"/>
    </row>
    <row r="409" spans="3:257" s="888" customFormat="1" x14ac:dyDescent="0.45">
      <c r="C409" s="67" t="s">
        <v>546</v>
      </c>
      <c r="D409" s="68" t="s">
        <v>648</v>
      </c>
      <c r="E409" s="69"/>
      <c r="F409" s="153">
        <v>2070.00154247</v>
      </c>
      <c r="G409" s="153">
        <v>7214.3479503779799</v>
      </c>
      <c r="H409" s="153">
        <v>41892.333108348001</v>
      </c>
      <c r="I409" s="153">
        <v>10955.474545161</v>
      </c>
      <c r="J409" s="153">
        <v>18134.516316772999</v>
      </c>
      <c r="K409" s="154">
        <v>10464.195072115001</v>
      </c>
      <c r="L409" s="153">
        <v>2650.3831024589999</v>
      </c>
      <c r="M409" s="155">
        <f t="shared" si="72"/>
        <v>93381.251637703986</v>
      </c>
      <c r="N409" s="2110">
        <v>89.504207500000007</v>
      </c>
      <c r="O409" s="2113">
        <v>1216.3706485999999</v>
      </c>
      <c r="P409" s="2116">
        <f t="shared" si="73"/>
        <v>94687.126493803982</v>
      </c>
      <c r="Q409" s="1810"/>
      <c r="R409" s="1810"/>
      <c r="S409" s="1837"/>
      <c r="T409" s="1837"/>
      <c r="U409" s="1837"/>
      <c r="V409" s="1837"/>
      <c r="W409" s="1837"/>
      <c r="X409" s="1837"/>
      <c r="Y409" s="1810"/>
      <c r="Z409" s="1804"/>
      <c r="AA409" s="1804"/>
      <c r="AB409" s="1804"/>
      <c r="AC409" s="1804"/>
      <c r="AD409" s="1804"/>
      <c r="AE409" s="1804"/>
      <c r="AF409" s="1804"/>
      <c r="AG409" s="1804"/>
      <c r="AH409" s="1804"/>
      <c r="AI409" s="1804"/>
      <c r="AJ409" s="1804"/>
      <c r="AK409" s="1804"/>
      <c r="AL409" s="1804"/>
      <c r="AM409" s="1804"/>
      <c r="AN409" s="1804"/>
      <c r="AO409" s="1804"/>
      <c r="AP409" s="1804"/>
      <c r="AQ409" s="1804"/>
      <c r="AR409" s="1804"/>
      <c r="AS409" s="1804"/>
      <c r="AT409" s="1804"/>
      <c r="AU409" s="1804"/>
      <c r="AV409" s="1804"/>
      <c r="AW409" s="1804"/>
      <c r="AX409" s="1804"/>
      <c r="AY409" s="1804"/>
      <c r="AZ409" s="1804"/>
      <c r="BA409" s="1804"/>
      <c r="BB409" s="1804"/>
      <c r="BC409" s="1804"/>
      <c r="BD409" s="1804"/>
      <c r="BE409" s="1804"/>
      <c r="BF409" s="1804"/>
      <c r="BG409" s="1804"/>
      <c r="BH409" s="1804"/>
      <c r="BI409" s="1804"/>
      <c r="BJ409" s="1804"/>
      <c r="BK409" s="1804"/>
      <c r="BL409" s="1804"/>
      <c r="BM409" s="1804"/>
      <c r="BN409" s="1804"/>
      <c r="BO409" s="1804"/>
      <c r="BP409" s="1804"/>
      <c r="BQ409" s="1804"/>
      <c r="BR409" s="1804"/>
      <c r="BS409" s="1804"/>
      <c r="BT409" s="1804"/>
      <c r="BU409" s="1804"/>
      <c r="BV409" s="1804"/>
      <c r="BW409" s="1804"/>
      <c r="BX409" s="1804"/>
      <c r="BY409" s="1804"/>
      <c r="BZ409" s="1804"/>
      <c r="CA409" s="1804"/>
      <c r="CB409" s="1804"/>
      <c r="CC409" s="1804"/>
      <c r="CD409" s="1804"/>
      <c r="CE409" s="1804"/>
      <c r="CF409" s="1804"/>
      <c r="CG409" s="1804"/>
      <c r="CH409" s="1804"/>
      <c r="CI409" s="1804"/>
      <c r="CJ409" s="1804"/>
      <c r="CK409" s="1804"/>
      <c r="CL409" s="1804"/>
      <c r="CM409" s="1804"/>
      <c r="CN409" s="1804"/>
      <c r="CO409" s="1804"/>
      <c r="CP409" s="1804"/>
      <c r="CQ409" s="1804"/>
      <c r="CR409" s="1804"/>
      <c r="CS409" s="1804"/>
      <c r="CT409" s="1804"/>
      <c r="CU409" s="1804"/>
      <c r="CV409" s="1804"/>
      <c r="CW409" s="1804"/>
      <c r="CX409" s="1804"/>
      <c r="CY409" s="1804"/>
      <c r="CZ409" s="1804"/>
      <c r="DA409" s="1804"/>
      <c r="DB409" s="1804"/>
      <c r="DC409" s="1804"/>
      <c r="DD409" s="1804"/>
      <c r="DE409" s="1804"/>
      <c r="DF409" s="1804"/>
      <c r="DG409" s="1804"/>
      <c r="DH409" s="1804"/>
      <c r="DI409" s="1804"/>
      <c r="DJ409" s="1804"/>
      <c r="DK409" s="1804"/>
      <c r="DL409" s="1804"/>
      <c r="DM409" s="1804"/>
      <c r="DN409" s="1804"/>
      <c r="DO409" s="1804"/>
      <c r="DP409" s="1804"/>
      <c r="DQ409" s="1804"/>
      <c r="DR409" s="1804"/>
      <c r="DS409" s="1804"/>
      <c r="DT409" s="1804"/>
      <c r="DU409" s="1804"/>
      <c r="DV409" s="1804"/>
      <c r="DW409" s="1804"/>
      <c r="DX409" s="1804"/>
      <c r="DY409" s="1804"/>
      <c r="DZ409" s="1804"/>
      <c r="EA409" s="1804"/>
      <c r="EB409" s="1804"/>
      <c r="EC409" s="1804"/>
      <c r="ED409" s="1804"/>
      <c r="EE409" s="1804"/>
      <c r="EF409" s="1804"/>
      <c r="EG409" s="1804"/>
      <c r="EH409" s="1804"/>
      <c r="EI409" s="1804"/>
      <c r="EJ409" s="1804"/>
      <c r="EK409" s="1804"/>
      <c r="EL409" s="1804"/>
      <c r="EM409" s="1804"/>
      <c r="EN409" s="1804"/>
      <c r="EO409" s="1804"/>
      <c r="EP409" s="1804"/>
      <c r="EQ409" s="1804"/>
      <c r="ER409" s="1804"/>
      <c r="ES409" s="1804"/>
      <c r="ET409" s="1804"/>
      <c r="EU409" s="1804"/>
      <c r="EV409" s="1804"/>
      <c r="EW409" s="1804"/>
      <c r="EX409" s="1804"/>
      <c r="EY409" s="1804"/>
      <c r="EZ409" s="1804"/>
      <c r="FA409" s="1804"/>
      <c r="FB409" s="1804"/>
      <c r="FC409" s="1804"/>
      <c r="FD409" s="1804"/>
      <c r="FE409" s="1804"/>
      <c r="FF409" s="1804"/>
      <c r="FG409" s="1804"/>
      <c r="FH409" s="1804"/>
      <c r="FI409" s="1804"/>
      <c r="FJ409" s="1804"/>
      <c r="FK409" s="1804"/>
      <c r="FL409" s="1804"/>
      <c r="FM409" s="1804"/>
      <c r="FN409" s="1804"/>
      <c r="FO409" s="1804"/>
      <c r="FP409" s="1804"/>
      <c r="FQ409" s="1804"/>
      <c r="FR409" s="1804"/>
      <c r="FS409" s="1804"/>
      <c r="FT409" s="1804"/>
      <c r="FU409" s="1804"/>
      <c r="FV409" s="1804"/>
      <c r="FW409" s="1804"/>
      <c r="FX409" s="1804"/>
      <c r="FY409" s="1804"/>
      <c r="FZ409" s="1804"/>
      <c r="GA409" s="1804"/>
      <c r="GB409" s="1804"/>
      <c r="GC409" s="1804"/>
      <c r="GD409" s="1804"/>
      <c r="GE409" s="1804"/>
      <c r="GF409" s="1804"/>
      <c r="GG409" s="1804"/>
      <c r="GH409" s="1804"/>
      <c r="GI409" s="1804"/>
      <c r="GJ409" s="1804"/>
      <c r="GK409" s="1804"/>
      <c r="GL409" s="1804"/>
      <c r="GM409" s="1804"/>
      <c r="GN409" s="1804"/>
      <c r="GO409" s="1804"/>
      <c r="GP409" s="1804"/>
      <c r="GQ409" s="1804"/>
      <c r="GR409" s="1804"/>
      <c r="GS409" s="1804"/>
      <c r="GT409" s="1804"/>
      <c r="GU409" s="1804"/>
      <c r="GV409" s="1804"/>
      <c r="GW409" s="1804"/>
      <c r="GX409" s="1804"/>
      <c r="GY409" s="1804"/>
      <c r="GZ409" s="1804"/>
      <c r="HA409" s="1804"/>
      <c r="HB409" s="1804"/>
      <c r="HC409" s="1804"/>
      <c r="HD409" s="1804"/>
      <c r="HE409" s="1804"/>
      <c r="HF409" s="1804"/>
      <c r="HG409" s="1804"/>
      <c r="HH409" s="1804"/>
      <c r="HI409" s="1804"/>
      <c r="HJ409" s="1804"/>
      <c r="HK409" s="1804"/>
      <c r="HL409" s="1804"/>
      <c r="HM409" s="1804"/>
      <c r="HN409" s="1804"/>
      <c r="HO409" s="1804"/>
      <c r="HP409" s="1804"/>
      <c r="HQ409" s="1804"/>
      <c r="HR409" s="1804"/>
      <c r="HS409" s="1804"/>
      <c r="HT409" s="1804"/>
      <c r="HU409" s="1804"/>
      <c r="HV409" s="1804"/>
      <c r="HW409" s="1804"/>
      <c r="HX409" s="1804"/>
      <c r="HY409" s="1804"/>
      <c r="HZ409" s="1804"/>
      <c r="IA409" s="1804"/>
      <c r="IB409" s="1804"/>
      <c r="IC409" s="1804"/>
      <c r="ID409" s="1804"/>
      <c r="IE409" s="1804"/>
      <c r="IF409" s="1804"/>
      <c r="IG409" s="1804"/>
      <c r="IH409" s="1804"/>
      <c r="II409" s="1804"/>
      <c r="IJ409" s="1804"/>
      <c r="IK409" s="1804"/>
      <c r="IL409" s="1804"/>
      <c r="IM409" s="1804"/>
      <c r="IN409" s="1804"/>
      <c r="IO409" s="1804"/>
      <c r="IP409" s="1804"/>
      <c r="IQ409" s="1804"/>
      <c r="IR409" s="1804"/>
      <c r="IS409" s="1804"/>
      <c r="IT409" s="1804"/>
      <c r="IU409" s="1804"/>
      <c r="IV409" s="1804"/>
      <c r="IW409" s="1804"/>
    </row>
    <row r="410" spans="3:257" s="888" customFormat="1" x14ac:dyDescent="0.45">
      <c r="C410" s="67" t="s">
        <v>547</v>
      </c>
      <c r="D410" s="68" t="s">
        <v>649</v>
      </c>
      <c r="E410" s="69"/>
      <c r="F410" s="153">
        <v>2341.9205605910001</v>
      </c>
      <c r="G410" s="153">
        <v>16890.905618364101</v>
      </c>
      <c r="H410" s="153">
        <v>45705.3269534879</v>
      </c>
      <c r="I410" s="153">
        <v>12085.125337687001</v>
      </c>
      <c r="J410" s="153">
        <v>19498.821199614002</v>
      </c>
      <c r="K410" s="154">
        <v>9777.592802059</v>
      </c>
      <c r="L410" s="153">
        <v>1776.4975583580001</v>
      </c>
      <c r="M410" s="155">
        <f t="shared" si="72"/>
        <v>108076.19003016099</v>
      </c>
      <c r="N410" s="2110">
        <v>93.596462500000001</v>
      </c>
      <c r="O410" s="2113">
        <v>1165.4694474</v>
      </c>
      <c r="P410" s="2116">
        <f t="shared" si="73"/>
        <v>109335.25594006099</v>
      </c>
      <c r="Q410" s="1810"/>
      <c r="R410" s="1810"/>
      <c r="S410" s="1837"/>
      <c r="T410" s="1837"/>
      <c r="U410" s="1837"/>
      <c r="V410" s="1837"/>
      <c r="W410" s="1837"/>
      <c r="X410" s="1837"/>
      <c r="Y410" s="1810"/>
      <c r="Z410" s="1804"/>
      <c r="AA410" s="1804"/>
      <c r="AB410" s="1804"/>
      <c r="AC410" s="1804"/>
      <c r="AD410" s="1804"/>
      <c r="AE410" s="1804"/>
      <c r="AF410" s="1804"/>
      <c r="AG410" s="1804"/>
      <c r="AH410" s="1804"/>
      <c r="AI410" s="1804"/>
      <c r="AJ410" s="1804"/>
      <c r="AK410" s="1804"/>
      <c r="AL410" s="1804"/>
      <c r="AM410" s="1804"/>
      <c r="AN410" s="1804"/>
      <c r="AO410" s="1804"/>
      <c r="AP410" s="1804"/>
      <c r="AQ410" s="1804"/>
      <c r="AR410" s="1804"/>
      <c r="AS410" s="1804"/>
      <c r="AT410" s="1804"/>
      <c r="AU410" s="1804"/>
      <c r="AV410" s="1804"/>
      <c r="AW410" s="1804"/>
      <c r="AX410" s="1804"/>
      <c r="AY410" s="1804"/>
      <c r="AZ410" s="1804"/>
      <c r="BA410" s="1804"/>
      <c r="BB410" s="1804"/>
      <c r="BC410" s="1804"/>
      <c r="BD410" s="1804"/>
      <c r="BE410" s="1804"/>
      <c r="BF410" s="1804"/>
      <c r="BG410" s="1804"/>
      <c r="BH410" s="1804"/>
      <c r="BI410" s="1804"/>
      <c r="BJ410" s="1804"/>
      <c r="BK410" s="1804"/>
      <c r="BL410" s="1804"/>
      <c r="BM410" s="1804"/>
      <c r="BN410" s="1804"/>
      <c r="BO410" s="1804"/>
      <c r="BP410" s="1804"/>
      <c r="BQ410" s="1804"/>
      <c r="BR410" s="1804"/>
      <c r="BS410" s="1804"/>
      <c r="BT410" s="1804"/>
      <c r="BU410" s="1804"/>
      <c r="BV410" s="1804"/>
      <c r="BW410" s="1804"/>
      <c r="BX410" s="1804"/>
      <c r="BY410" s="1804"/>
      <c r="BZ410" s="1804"/>
      <c r="CA410" s="1804"/>
      <c r="CB410" s="1804"/>
      <c r="CC410" s="1804"/>
      <c r="CD410" s="1804"/>
      <c r="CE410" s="1804"/>
      <c r="CF410" s="1804"/>
      <c r="CG410" s="1804"/>
      <c r="CH410" s="1804"/>
      <c r="CI410" s="1804"/>
      <c r="CJ410" s="1804"/>
      <c r="CK410" s="1804"/>
      <c r="CL410" s="1804"/>
      <c r="CM410" s="1804"/>
      <c r="CN410" s="1804"/>
      <c r="CO410" s="1804"/>
      <c r="CP410" s="1804"/>
      <c r="CQ410" s="1804"/>
      <c r="CR410" s="1804"/>
      <c r="CS410" s="1804"/>
      <c r="CT410" s="1804"/>
      <c r="CU410" s="1804"/>
      <c r="CV410" s="1804"/>
      <c r="CW410" s="1804"/>
      <c r="CX410" s="1804"/>
      <c r="CY410" s="1804"/>
      <c r="CZ410" s="1804"/>
      <c r="DA410" s="1804"/>
      <c r="DB410" s="1804"/>
      <c r="DC410" s="1804"/>
      <c r="DD410" s="1804"/>
      <c r="DE410" s="1804"/>
      <c r="DF410" s="1804"/>
      <c r="DG410" s="1804"/>
      <c r="DH410" s="1804"/>
      <c r="DI410" s="1804"/>
      <c r="DJ410" s="1804"/>
      <c r="DK410" s="1804"/>
      <c r="DL410" s="1804"/>
      <c r="DM410" s="1804"/>
      <c r="DN410" s="1804"/>
      <c r="DO410" s="1804"/>
      <c r="DP410" s="1804"/>
      <c r="DQ410" s="1804"/>
      <c r="DR410" s="1804"/>
      <c r="DS410" s="1804"/>
      <c r="DT410" s="1804"/>
      <c r="DU410" s="1804"/>
      <c r="DV410" s="1804"/>
      <c r="DW410" s="1804"/>
      <c r="DX410" s="1804"/>
      <c r="DY410" s="1804"/>
      <c r="DZ410" s="1804"/>
      <c r="EA410" s="1804"/>
      <c r="EB410" s="1804"/>
      <c r="EC410" s="1804"/>
      <c r="ED410" s="1804"/>
      <c r="EE410" s="1804"/>
      <c r="EF410" s="1804"/>
      <c r="EG410" s="1804"/>
      <c r="EH410" s="1804"/>
      <c r="EI410" s="1804"/>
      <c r="EJ410" s="1804"/>
      <c r="EK410" s="1804"/>
      <c r="EL410" s="1804"/>
      <c r="EM410" s="1804"/>
      <c r="EN410" s="1804"/>
      <c r="EO410" s="1804"/>
      <c r="EP410" s="1804"/>
      <c r="EQ410" s="1804"/>
      <c r="ER410" s="1804"/>
      <c r="ES410" s="1804"/>
      <c r="ET410" s="1804"/>
      <c r="EU410" s="1804"/>
      <c r="EV410" s="1804"/>
      <c r="EW410" s="1804"/>
      <c r="EX410" s="1804"/>
      <c r="EY410" s="1804"/>
      <c r="EZ410" s="1804"/>
      <c r="FA410" s="1804"/>
      <c r="FB410" s="1804"/>
      <c r="FC410" s="1804"/>
      <c r="FD410" s="1804"/>
      <c r="FE410" s="1804"/>
      <c r="FF410" s="1804"/>
      <c r="FG410" s="1804"/>
      <c r="FH410" s="1804"/>
      <c r="FI410" s="1804"/>
      <c r="FJ410" s="1804"/>
      <c r="FK410" s="1804"/>
      <c r="FL410" s="1804"/>
      <c r="FM410" s="1804"/>
      <c r="FN410" s="1804"/>
      <c r="FO410" s="1804"/>
      <c r="FP410" s="1804"/>
      <c r="FQ410" s="1804"/>
      <c r="FR410" s="1804"/>
      <c r="FS410" s="1804"/>
      <c r="FT410" s="1804"/>
      <c r="FU410" s="1804"/>
      <c r="FV410" s="1804"/>
      <c r="FW410" s="1804"/>
      <c r="FX410" s="1804"/>
      <c r="FY410" s="1804"/>
      <c r="FZ410" s="1804"/>
      <c r="GA410" s="1804"/>
      <c r="GB410" s="1804"/>
      <c r="GC410" s="1804"/>
      <c r="GD410" s="1804"/>
      <c r="GE410" s="1804"/>
      <c r="GF410" s="1804"/>
      <c r="GG410" s="1804"/>
      <c r="GH410" s="1804"/>
      <c r="GI410" s="1804"/>
      <c r="GJ410" s="1804"/>
      <c r="GK410" s="1804"/>
      <c r="GL410" s="1804"/>
      <c r="GM410" s="1804"/>
      <c r="GN410" s="1804"/>
      <c r="GO410" s="1804"/>
      <c r="GP410" s="1804"/>
      <c r="GQ410" s="1804"/>
      <c r="GR410" s="1804"/>
      <c r="GS410" s="1804"/>
      <c r="GT410" s="1804"/>
      <c r="GU410" s="1804"/>
      <c r="GV410" s="1804"/>
      <c r="GW410" s="1804"/>
      <c r="GX410" s="1804"/>
      <c r="GY410" s="1804"/>
      <c r="GZ410" s="1804"/>
      <c r="HA410" s="1804"/>
      <c r="HB410" s="1804"/>
      <c r="HC410" s="1804"/>
      <c r="HD410" s="1804"/>
      <c r="HE410" s="1804"/>
      <c r="HF410" s="1804"/>
      <c r="HG410" s="1804"/>
      <c r="HH410" s="1804"/>
      <c r="HI410" s="1804"/>
      <c r="HJ410" s="1804"/>
      <c r="HK410" s="1804"/>
      <c r="HL410" s="1804"/>
      <c r="HM410" s="1804"/>
      <c r="HN410" s="1804"/>
      <c r="HO410" s="1804"/>
      <c r="HP410" s="1804"/>
      <c r="HQ410" s="1804"/>
      <c r="HR410" s="1804"/>
      <c r="HS410" s="1804"/>
      <c r="HT410" s="1804"/>
      <c r="HU410" s="1804"/>
      <c r="HV410" s="1804"/>
      <c r="HW410" s="1804"/>
      <c r="HX410" s="1804"/>
      <c r="HY410" s="1804"/>
      <c r="HZ410" s="1804"/>
      <c r="IA410" s="1804"/>
      <c r="IB410" s="1804"/>
      <c r="IC410" s="1804"/>
      <c r="ID410" s="1804"/>
      <c r="IE410" s="1804"/>
      <c r="IF410" s="1804"/>
      <c r="IG410" s="1804"/>
      <c r="IH410" s="1804"/>
      <c r="II410" s="1804"/>
      <c r="IJ410" s="1804"/>
      <c r="IK410" s="1804"/>
      <c r="IL410" s="1804"/>
      <c r="IM410" s="1804"/>
      <c r="IN410" s="1804"/>
      <c r="IO410" s="1804"/>
      <c r="IP410" s="1804"/>
      <c r="IQ410" s="1804"/>
      <c r="IR410" s="1804"/>
      <c r="IS410" s="1804"/>
      <c r="IT410" s="1804"/>
      <c r="IU410" s="1804"/>
      <c r="IV410" s="1804"/>
      <c r="IW410" s="1804"/>
    </row>
    <row r="411" spans="3:257" s="888" customFormat="1" x14ac:dyDescent="0.45">
      <c r="C411" s="67" t="s">
        <v>650</v>
      </c>
      <c r="D411" s="68" t="s">
        <v>651</v>
      </c>
      <c r="E411" s="69"/>
      <c r="F411" s="153">
        <v>1610.496292093</v>
      </c>
      <c r="G411" s="153">
        <v>1834.8304994068001</v>
      </c>
      <c r="H411" s="153">
        <v>102452.179629716</v>
      </c>
      <c r="I411" s="153">
        <v>16329.088253632999</v>
      </c>
      <c r="J411" s="153">
        <v>14752.667362484</v>
      </c>
      <c r="K411" s="154">
        <v>11240.161521225</v>
      </c>
      <c r="L411" s="153">
        <v>3412.4901496709999</v>
      </c>
      <c r="M411" s="155">
        <f t="shared" si="72"/>
        <v>151631.91370822882</v>
      </c>
      <c r="N411" s="2110">
        <v>184.11994000000001</v>
      </c>
      <c r="O411" s="2113">
        <v>1720.5762781999997</v>
      </c>
      <c r="P411" s="2116">
        <f t="shared" si="73"/>
        <v>153536.60992642882</v>
      </c>
      <c r="Q411" s="1810"/>
      <c r="R411" s="1810"/>
      <c r="S411" s="1837"/>
      <c r="T411" s="1837"/>
      <c r="U411" s="1837"/>
      <c r="V411" s="1837"/>
      <c r="W411" s="1837"/>
      <c r="X411" s="1837"/>
      <c r="Y411" s="1810"/>
      <c r="Z411" s="1804"/>
      <c r="AA411" s="1804"/>
      <c r="AB411" s="1804"/>
      <c r="AC411" s="1804"/>
      <c r="AD411" s="1804"/>
      <c r="AE411" s="1804"/>
      <c r="AF411" s="1804"/>
      <c r="AG411" s="1804"/>
      <c r="AH411" s="1804"/>
      <c r="AI411" s="1804"/>
      <c r="AJ411" s="1804"/>
      <c r="AK411" s="1804"/>
      <c r="AL411" s="1804"/>
      <c r="AM411" s="1804"/>
      <c r="AN411" s="1804"/>
      <c r="AO411" s="1804"/>
      <c r="AP411" s="1804"/>
      <c r="AQ411" s="1804"/>
      <c r="AR411" s="1804"/>
      <c r="AS411" s="1804"/>
      <c r="AT411" s="1804"/>
      <c r="AU411" s="1804"/>
      <c r="AV411" s="1804"/>
      <c r="AW411" s="1804"/>
      <c r="AX411" s="1804"/>
      <c r="AY411" s="1804"/>
      <c r="AZ411" s="1804"/>
      <c r="BA411" s="1804"/>
      <c r="BB411" s="1804"/>
      <c r="BC411" s="1804"/>
      <c r="BD411" s="1804"/>
      <c r="BE411" s="1804"/>
      <c r="BF411" s="1804"/>
      <c r="BG411" s="1804"/>
      <c r="BH411" s="1804"/>
      <c r="BI411" s="1804"/>
      <c r="BJ411" s="1804"/>
      <c r="BK411" s="1804"/>
      <c r="BL411" s="1804"/>
      <c r="BM411" s="1804"/>
      <c r="BN411" s="1804"/>
      <c r="BO411" s="1804"/>
      <c r="BP411" s="1804"/>
      <c r="BQ411" s="1804"/>
      <c r="BR411" s="1804"/>
      <c r="BS411" s="1804"/>
      <c r="BT411" s="1804"/>
      <c r="BU411" s="1804"/>
      <c r="BV411" s="1804"/>
      <c r="BW411" s="1804"/>
      <c r="BX411" s="1804"/>
      <c r="BY411" s="1804"/>
      <c r="BZ411" s="1804"/>
      <c r="CA411" s="1804"/>
      <c r="CB411" s="1804"/>
      <c r="CC411" s="1804"/>
      <c r="CD411" s="1804"/>
      <c r="CE411" s="1804"/>
      <c r="CF411" s="1804"/>
      <c r="CG411" s="1804"/>
      <c r="CH411" s="1804"/>
      <c r="CI411" s="1804"/>
      <c r="CJ411" s="1804"/>
      <c r="CK411" s="1804"/>
      <c r="CL411" s="1804"/>
      <c r="CM411" s="1804"/>
      <c r="CN411" s="1804"/>
      <c r="CO411" s="1804"/>
      <c r="CP411" s="1804"/>
      <c r="CQ411" s="1804"/>
      <c r="CR411" s="1804"/>
      <c r="CS411" s="1804"/>
      <c r="CT411" s="1804"/>
      <c r="CU411" s="1804"/>
      <c r="CV411" s="1804"/>
      <c r="CW411" s="1804"/>
      <c r="CX411" s="1804"/>
      <c r="CY411" s="1804"/>
      <c r="CZ411" s="1804"/>
      <c r="DA411" s="1804"/>
      <c r="DB411" s="1804"/>
      <c r="DC411" s="1804"/>
      <c r="DD411" s="1804"/>
      <c r="DE411" s="1804"/>
      <c r="DF411" s="1804"/>
      <c r="DG411" s="1804"/>
      <c r="DH411" s="1804"/>
      <c r="DI411" s="1804"/>
      <c r="DJ411" s="1804"/>
      <c r="DK411" s="1804"/>
      <c r="DL411" s="1804"/>
      <c r="DM411" s="1804"/>
      <c r="DN411" s="1804"/>
      <c r="DO411" s="1804"/>
      <c r="DP411" s="1804"/>
      <c r="DQ411" s="1804"/>
      <c r="DR411" s="1804"/>
      <c r="DS411" s="1804"/>
      <c r="DT411" s="1804"/>
      <c r="DU411" s="1804"/>
      <c r="DV411" s="1804"/>
      <c r="DW411" s="1804"/>
      <c r="DX411" s="1804"/>
      <c r="DY411" s="1804"/>
      <c r="DZ411" s="1804"/>
      <c r="EA411" s="1804"/>
      <c r="EB411" s="1804"/>
      <c r="EC411" s="1804"/>
      <c r="ED411" s="1804"/>
      <c r="EE411" s="1804"/>
      <c r="EF411" s="1804"/>
      <c r="EG411" s="1804"/>
      <c r="EH411" s="1804"/>
      <c r="EI411" s="1804"/>
      <c r="EJ411" s="1804"/>
      <c r="EK411" s="1804"/>
      <c r="EL411" s="1804"/>
      <c r="EM411" s="1804"/>
      <c r="EN411" s="1804"/>
      <c r="EO411" s="1804"/>
      <c r="EP411" s="1804"/>
      <c r="EQ411" s="1804"/>
      <c r="ER411" s="1804"/>
      <c r="ES411" s="1804"/>
      <c r="ET411" s="1804"/>
      <c r="EU411" s="1804"/>
      <c r="EV411" s="1804"/>
      <c r="EW411" s="1804"/>
      <c r="EX411" s="1804"/>
      <c r="EY411" s="1804"/>
      <c r="EZ411" s="1804"/>
      <c r="FA411" s="1804"/>
      <c r="FB411" s="1804"/>
      <c r="FC411" s="1804"/>
      <c r="FD411" s="1804"/>
      <c r="FE411" s="1804"/>
      <c r="FF411" s="1804"/>
      <c r="FG411" s="1804"/>
      <c r="FH411" s="1804"/>
      <c r="FI411" s="1804"/>
      <c r="FJ411" s="1804"/>
      <c r="FK411" s="1804"/>
      <c r="FL411" s="1804"/>
      <c r="FM411" s="1804"/>
      <c r="FN411" s="1804"/>
      <c r="FO411" s="1804"/>
      <c r="FP411" s="1804"/>
      <c r="FQ411" s="1804"/>
      <c r="FR411" s="1804"/>
      <c r="FS411" s="1804"/>
      <c r="FT411" s="1804"/>
      <c r="FU411" s="1804"/>
      <c r="FV411" s="1804"/>
      <c r="FW411" s="1804"/>
      <c r="FX411" s="1804"/>
      <c r="FY411" s="1804"/>
      <c r="FZ411" s="1804"/>
      <c r="GA411" s="1804"/>
      <c r="GB411" s="1804"/>
      <c r="GC411" s="1804"/>
      <c r="GD411" s="1804"/>
      <c r="GE411" s="1804"/>
      <c r="GF411" s="1804"/>
      <c r="GG411" s="1804"/>
      <c r="GH411" s="1804"/>
      <c r="GI411" s="1804"/>
      <c r="GJ411" s="1804"/>
      <c r="GK411" s="1804"/>
      <c r="GL411" s="1804"/>
      <c r="GM411" s="1804"/>
      <c r="GN411" s="1804"/>
      <c r="GO411" s="1804"/>
      <c r="GP411" s="1804"/>
      <c r="GQ411" s="1804"/>
      <c r="GR411" s="1804"/>
      <c r="GS411" s="1804"/>
      <c r="GT411" s="1804"/>
      <c r="GU411" s="1804"/>
      <c r="GV411" s="1804"/>
      <c r="GW411" s="1804"/>
      <c r="GX411" s="1804"/>
      <c r="GY411" s="1804"/>
      <c r="GZ411" s="1804"/>
      <c r="HA411" s="1804"/>
      <c r="HB411" s="1804"/>
      <c r="HC411" s="1804"/>
      <c r="HD411" s="1804"/>
      <c r="HE411" s="1804"/>
      <c r="HF411" s="1804"/>
      <c r="HG411" s="1804"/>
      <c r="HH411" s="1804"/>
      <c r="HI411" s="1804"/>
      <c r="HJ411" s="1804"/>
      <c r="HK411" s="1804"/>
      <c r="HL411" s="1804"/>
      <c r="HM411" s="1804"/>
      <c r="HN411" s="1804"/>
      <c r="HO411" s="1804"/>
      <c r="HP411" s="1804"/>
      <c r="HQ411" s="1804"/>
      <c r="HR411" s="1804"/>
      <c r="HS411" s="1804"/>
      <c r="HT411" s="1804"/>
      <c r="HU411" s="1804"/>
      <c r="HV411" s="1804"/>
      <c r="HW411" s="1804"/>
      <c r="HX411" s="1804"/>
      <c r="HY411" s="1804"/>
      <c r="HZ411" s="1804"/>
      <c r="IA411" s="1804"/>
      <c r="IB411" s="1804"/>
      <c r="IC411" s="1804"/>
      <c r="ID411" s="1804"/>
      <c r="IE411" s="1804"/>
      <c r="IF411" s="1804"/>
      <c r="IG411" s="1804"/>
      <c r="IH411" s="1804"/>
      <c r="II411" s="1804"/>
      <c r="IJ411" s="1804"/>
      <c r="IK411" s="1804"/>
      <c r="IL411" s="1804"/>
      <c r="IM411" s="1804"/>
      <c r="IN411" s="1804"/>
      <c r="IO411" s="1804"/>
      <c r="IP411" s="1804"/>
      <c r="IQ411" s="1804"/>
      <c r="IR411" s="1804"/>
      <c r="IS411" s="1804"/>
      <c r="IT411" s="1804"/>
      <c r="IU411" s="1804"/>
      <c r="IV411" s="1804"/>
      <c r="IW411" s="1804"/>
    </row>
    <row r="412" spans="3:257" s="888" customFormat="1" x14ac:dyDescent="0.45">
      <c r="C412" s="67" t="s">
        <v>549</v>
      </c>
      <c r="D412" s="68" t="s">
        <v>652</v>
      </c>
      <c r="E412" s="69"/>
      <c r="F412" s="153">
        <v>3322.1568506389999</v>
      </c>
      <c r="G412" s="153">
        <v>9330.3797509661199</v>
      </c>
      <c r="H412" s="153">
        <v>71660.048385154994</v>
      </c>
      <c r="I412" s="153">
        <v>17441.075579298002</v>
      </c>
      <c r="J412" s="153">
        <v>31558.088597436999</v>
      </c>
      <c r="K412" s="154">
        <v>14847.328857033001</v>
      </c>
      <c r="L412" s="153">
        <v>3538.9101613919902</v>
      </c>
      <c r="M412" s="155">
        <f t="shared" si="72"/>
        <v>151697.98818192008</v>
      </c>
      <c r="N412" s="2110">
        <v>154.582775</v>
      </c>
      <c r="O412" s="2113">
        <v>1854.3865626000004</v>
      </c>
      <c r="P412" s="2116">
        <f t="shared" si="73"/>
        <v>153706.95751952007</v>
      </c>
      <c r="Q412" s="1810"/>
      <c r="R412" s="1810"/>
      <c r="S412" s="1837"/>
      <c r="T412" s="1837"/>
      <c r="U412" s="1837"/>
      <c r="V412" s="1837"/>
      <c r="W412" s="1837"/>
      <c r="X412" s="1837"/>
      <c r="Y412" s="1810"/>
      <c r="Z412" s="1804"/>
      <c r="AA412" s="1804"/>
      <c r="AB412" s="1804"/>
      <c r="AC412" s="1804"/>
      <c r="AD412" s="1804"/>
      <c r="AE412" s="1804"/>
      <c r="AF412" s="1804"/>
      <c r="AG412" s="1804"/>
      <c r="AH412" s="1804"/>
      <c r="AI412" s="1804"/>
      <c r="AJ412" s="1804"/>
      <c r="AK412" s="1804"/>
      <c r="AL412" s="1804"/>
      <c r="AM412" s="1804"/>
      <c r="AN412" s="1804"/>
      <c r="AO412" s="1804"/>
      <c r="AP412" s="1804"/>
      <c r="AQ412" s="1804"/>
      <c r="AR412" s="1804"/>
      <c r="AS412" s="1804"/>
      <c r="AT412" s="1804"/>
      <c r="AU412" s="1804"/>
      <c r="AV412" s="1804"/>
      <c r="AW412" s="1804"/>
      <c r="AX412" s="1804"/>
      <c r="AY412" s="1804"/>
      <c r="AZ412" s="1804"/>
      <c r="BA412" s="1804"/>
      <c r="BB412" s="1804"/>
      <c r="BC412" s="1804"/>
      <c r="BD412" s="1804"/>
      <c r="BE412" s="1804"/>
      <c r="BF412" s="1804"/>
      <c r="BG412" s="1804"/>
      <c r="BH412" s="1804"/>
      <c r="BI412" s="1804"/>
      <c r="BJ412" s="1804"/>
      <c r="BK412" s="1804"/>
      <c r="BL412" s="1804"/>
      <c r="BM412" s="1804"/>
      <c r="BN412" s="1804"/>
      <c r="BO412" s="1804"/>
      <c r="BP412" s="1804"/>
      <c r="BQ412" s="1804"/>
      <c r="BR412" s="1804"/>
      <c r="BS412" s="1804"/>
      <c r="BT412" s="1804"/>
      <c r="BU412" s="1804"/>
      <c r="BV412" s="1804"/>
      <c r="BW412" s="1804"/>
      <c r="BX412" s="1804"/>
      <c r="BY412" s="1804"/>
      <c r="BZ412" s="1804"/>
      <c r="CA412" s="1804"/>
      <c r="CB412" s="1804"/>
      <c r="CC412" s="1804"/>
      <c r="CD412" s="1804"/>
      <c r="CE412" s="1804"/>
      <c r="CF412" s="1804"/>
      <c r="CG412" s="1804"/>
      <c r="CH412" s="1804"/>
      <c r="CI412" s="1804"/>
      <c r="CJ412" s="1804"/>
      <c r="CK412" s="1804"/>
      <c r="CL412" s="1804"/>
      <c r="CM412" s="1804"/>
      <c r="CN412" s="1804"/>
      <c r="CO412" s="1804"/>
      <c r="CP412" s="1804"/>
      <c r="CQ412" s="1804"/>
      <c r="CR412" s="1804"/>
      <c r="CS412" s="1804"/>
      <c r="CT412" s="1804"/>
      <c r="CU412" s="1804"/>
      <c r="CV412" s="1804"/>
      <c r="CW412" s="1804"/>
      <c r="CX412" s="1804"/>
      <c r="CY412" s="1804"/>
      <c r="CZ412" s="1804"/>
      <c r="DA412" s="1804"/>
      <c r="DB412" s="1804"/>
      <c r="DC412" s="1804"/>
      <c r="DD412" s="1804"/>
      <c r="DE412" s="1804"/>
      <c r="DF412" s="1804"/>
      <c r="DG412" s="1804"/>
      <c r="DH412" s="1804"/>
      <c r="DI412" s="1804"/>
      <c r="DJ412" s="1804"/>
      <c r="DK412" s="1804"/>
      <c r="DL412" s="1804"/>
      <c r="DM412" s="1804"/>
      <c r="DN412" s="1804"/>
      <c r="DO412" s="1804"/>
      <c r="DP412" s="1804"/>
      <c r="DQ412" s="1804"/>
      <c r="DR412" s="1804"/>
      <c r="DS412" s="1804"/>
      <c r="DT412" s="1804"/>
      <c r="DU412" s="1804"/>
      <c r="DV412" s="1804"/>
      <c r="DW412" s="1804"/>
      <c r="DX412" s="1804"/>
      <c r="DY412" s="1804"/>
      <c r="DZ412" s="1804"/>
      <c r="EA412" s="1804"/>
      <c r="EB412" s="1804"/>
      <c r="EC412" s="1804"/>
      <c r="ED412" s="1804"/>
      <c r="EE412" s="1804"/>
      <c r="EF412" s="1804"/>
      <c r="EG412" s="1804"/>
      <c r="EH412" s="1804"/>
      <c r="EI412" s="1804"/>
      <c r="EJ412" s="1804"/>
      <c r="EK412" s="1804"/>
      <c r="EL412" s="1804"/>
      <c r="EM412" s="1804"/>
      <c r="EN412" s="1804"/>
      <c r="EO412" s="1804"/>
      <c r="EP412" s="1804"/>
      <c r="EQ412" s="1804"/>
      <c r="ER412" s="1804"/>
      <c r="ES412" s="1804"/>
      <c r="ET412" s="1804"/>
      <c r="EU412" s="1804"/>
      <c r="EV412" s="1804"/>
      <c r="EW412" s="1804"/>
      <c r="EX412" s="1804"/>
      <c r="EY412" s="1804"/>
      <c r="EZ412" s="1804"/>
      <c r="FA412" s="1804"/>
      <c r="FB412" s="1804"/>
      <c r="FC412" s="1804"/>
      <c r="FD412" s="1804"/>
      <c r="FE412" s="1804"/>
      <c r="FF412" s="1804"/>
      <c r="FG412" s="1804"/>
      <c r="FH412" s="1804"/>
      <c r="FI412" s="1804"/>
      <c r="FJ412" s="1804"/>
      <c r="FK412" s="1804"/>
      <c r="FL412" s="1804"/>
      <c r="FM412" s="1804"/>
      <c r="FN412" s="1804"/>
      <c r="FO412" s="1804"/>
      <c r="FP412" s="1804"/>
      <c r="FQ412" s="1804"/>
      <c r="FR412" s="1804"/>
      <c r="FS412" s="1804"/>
      <c r="FT412" s="1804"/>
      <c r="FU412" s="1804"/>
      <c r="FV412" s="1804"/>
      <c r="FW412" s="1804"/>
      <c r="FX412" s="1804"/>
      <c r="FY412" s="1804"/>
      <c r="FZ412" s="1804"/>
      <c r="GA412" s="1804"/>
      <c r="GB412" s="1804"/>
      <c r="GC412" s="1804"/>
      <c r="GD412" s="1804"/>
      <c r="GE412" s="1804"/>
      <c r="GF412" s="1804"/>
      <c r="GG412" s="1804"/>
      <c r="GH412" s="1804"/>
      <c r="GI412" s="1804"/>
      <c r="GJ412" s="1804"/>
      <c r="GK412" s="1804"/>
      <c r="GL412" s="1804"/>
      <c r="GM412" s="1804"/>
      <c r="GN412" s="1804"/>
      <c r="GO412" s="1804"/>
      <c r="GP412" s="1804"/>
      <c r="GQ412" s="1804"/>
      <c r="GR412" s="1804"/>
      <c r="GS412" s="1804"/>
      <c r="GT412" s="1804"/>
      <c r="GU412" s="1804"/>
      <c r="GV412" s="1804"/>
      <c r="GW412" s="1804"/>
      <c r="GX412" s="1804"/>
      <c r="GY412" s="1804"/>
      <c r="GZ412" s="1804"/>
      <c r="HA412" s="1804"/>
      <c r="HB412" s="1804"/>
      <c r="HC412" s="1804"/>
      <c r="HD412" s="1804"/>
      <c r="HE412" s="1804"/>
      <c r="HF412" s="1804"/>
      <c r="HG412" s="1804"/>
      <c r="HH412" s="1804"/>
      <c r="HI412" s="1804"/>
      <c r="HJ412" s="1804"/>
      <c r="HK412" s="1804"/>
      <c r="HL412" s="1804"/>
      <c r="HM412" s="1804"/>
      <c r="HN412" s="1804"/>
      <c r="HO412" s="1804"/>
      <c r="HP412" s="1804"/>
      <c r="HQ412" s="1804"/>
      <c r="HR412" s="1804"/>
      <c r="HS412" s="1804"/>
      <c r="HT412" s="1804"/>
      <c r="HU412" s="1804"/>
      <c r="HV412" s="1804"/>
      <c r="HW412" s="1804"/>
      <c r="HX412" s="1804"/>
      <c r="HY412" s="1804"/>
      <c r="HZ412" s="1804"/>
      <c r="IA412" s="1804"/>
      <c r="IB412" s="1804"/>
      <c r="IC412" s="1804"/>
      <c r="ID412" s="1804"/>
      <c r="IE412" s="1804"/>
      <c r="IF412" s="1804"/>
      <c r="IG412" s="1804"/>
      <c r="IH412" s="1804"/>
      <c r="II412" s="1804"/>
      <c r="IJ412" s="1804"/>
      <c r="IK412" s="1804"/>
      <c r="IL412" s="1804"/>
      <c r="IM412" s="1804"/>
      <c r="IN412" s="1804"/>
      <c r="IO412" s="1804"/>
      <c r="IP412" s="1804"/>
      <c r="IQ412" s="1804"/>
      <c r="IR412" s="1804"/>
      <c r="IS412" s="1804"/>
      <c r="IT412" s="1804"/>
      <c r="IU412" s="1804"/>
      <c r="IV412" s="1804"/>
      <c r="IW412" s="1804"/>
    </row>
    <row r="413" spans="3:257" s="888" customFormat="1" x14ac:dyDescent="0.45">
      <c r="C413" s="67" t="s">
        <v>550</v>
      </c>
      <c r="D413" s="68" t="s">
        <v>653</v>
      </c>
      <c r="E413" s="69"/>
      <c r="F413" s="153">
        <v>2008.3742411119999</v>
      </c>
      <c r="G413" s="153">
        <v>5307.7281085262002</v>
      </c>
      <c r="H413" s="153">
        <v>79175.8792125115</v>
      </c>
      <c r="I413" s="153">
        <v>15473.785911298</v>
      </c>
      <c r="J413" s="153">
        <v>22337.032309216</v>
      </c>
      <c r="K413" s="154">
        <v>13376.781331744</v>
      </c>
      <c r="L413" s="153">
        <v>4604.2246123590003</v>
      </c>
      <c r="M413" s="155">
        <f t="shared" si="72"/>
        <v>142283.80572676667</v>
      </c>
      <c r="N413" s="2110">
        <v>185.59107749999998</v>
      </c>
      <c r="O413" s="2113">
        <v>2023.8202139999999</v>
      </c>
      <c r="P413" s="2116">
        <f t="shared" si="73"/>
        <v>144493.21701826667</v>
      </c>
      <c r="Q413" s="1810"/>
      <c r="R413" s="1810"/>
      <c r="S413" s="1837"/>
      <c r="T413" s="1837"/>
      <c r="U413" s="1837"/>
      <c r="V413" s="1837"/>
      <c r="W413" s="1837"/>
      <c r="X413" s="1837"/>
      <c r="Y413" s="1810"/>
      <c r="Z413" s="1804"/>
      <c r="AA413" s="1804"/>
      <c r="AB413" s="1804"/>
      <c r="AC413" s="1804"/>
      <c r="AD413" s="1804"/>
      <c r="AE413" s="1804"/>
      <c r="AF413" s="1804"/>
      <c r="AG413" s="1804"/>
      <c r="AH413" s="1804"/>
      <c r="AI413" s="1804"/>
      <c r="AJ413" s="1804"/>
      <c r="AK413" s="1804"/>
      <c r="AL413" s="1804"/>
      <c r="AM413" s="1804"/>
      <c r="AN413" s="1804"/>
      <c r="AO413" s="1804"/>
      <c r="AP413" s="1804"/>
      <c r="AQ413" s="1804"/>
      <c r="AR413" s="1804"/>
      <c r="AS413" s="1804"/>
      <c r="AT413" s="1804"/>
      <c r="AU413" s="1804"/>
      <c r="AV413" s="1804"/>
      <c r="AW413" s="1804"/>
      <c r="AX413" s="1804"/>
      <c r="AY413" s="1804"/>
      <c r="AZ413" s="1804"/>
      <c r="BA413" s="1804"/>
      <c r="BB413" s="1804"/>
      <c r="BC413" s="1804"/>
      <c r="BD413" s="1804"/>
      <c r="BE413" s="1804"/>
      <c r="BF413" s="1804"/>
      <c r="BG413" s="1804"/>
      <c r="BH413" s="1804"/>
      <c r="BI413" s="1804"/>
      <c r="BJ413" s="1804"/>
      <c r="BK413" s="1804"/>
      <c r="BL413" s="1804"/>
      <c r="BM413" s="1804"/>
      <c r="BN413" s="1804"/>
      <c r="BO413" s="1804"/>
      <c r="BP413" s="1804"/>
      <c r="BQ413" s="1804"/>
      <c r="BR413" s="1804"/>
      <c r="BS413" s="1804"/>
      <c r="BT413" s="1804"/>
      <c r="BU413" s="1804"/>
      <c r="BV413" s="1804"/>
      <c r="BW413" s="1804"/>
      <c r="BX413" s="1804"/>
      <c r="BY413" s="1804"/>
      <c r="BZ413" s="1804"/>
      <c r="CA413" s="1804"/>
      <c r="CB413" s="1804"/>
      <c r="CC413" s="1804"/>
      <c r="CD413" s="1804"/>
      <c r="CE413" s="1804"/>
      <c r="CF413" s="1804"/>
      <c r="CG413" s="1804"/>
      <c r="CH413" s="1804"/>
      <c r="CI413" s="1804"/>
      <c r="CJ413" s="1804"/>
      <c r="CK413" s="1804"/>
      <c r="CL413" s="1804"/>
      <c r="CM413" s="1804"/>
      <c r="CN413" s="1804"/>
      <c r="CO413" s="1804"/>
      <c r="CP413" s="1804"/>
      <c r="CQ413" s="1804"/>
      <c r="CR413" s="1804"/>
      <c r="CS413" s="1804"/>
      <c r="CT413" s="1804"/>
      <c r="CU413" s="1804"/>
      <c r="CV413" s="1804"/>
      <c r="CW413" s="1804"/>
      <c r="CX413" s="1804"/>
      <c r="CY413" s="1804"/>
      <c r="CZ413" s="1804"/>
      <c r="DA413" s="1804"/>
      <c r="DB413" s="1804"/>
      <c r="DC413" s="1804"/>
      <c r="DD413" s="1804"/>
      <c r="DE413" s="1804"/>
      <c r="DF413" s="1804"/>
      <c r="DG413" s="1804"/>
      <c r="DH413" s="1804"/>
      <c r="DI413" s="1804"/>
      <c r="DJ413" s="1804"/>
      <c r="DK413" s="1804"/>
      <c r="DL413" s="1804"/>
      <c r="DM413" s="1804"/>
      <c r="DN413" s="1804"/>
      <c r="DO413" s="1804"/>
      <c r="DP413" s="1804"/>
      <c r="DQ413" s="1804"/>
      <c r="DR413" s="1804"/>
      <c r="DS413" s="1804"/>
      <c r="DT413" s="1804"/>
      <c r="DU413" s="1804"/>
      <c r="DV413" s="1804"/>
      <c r="DW413" s="1804"/>
      <c r="DX413" s="1804"/>
      <c r="DY413" s="1804"/>
      <c r="DZ413" s="1804"/>
      <c r="EA413" s="1804"/>
      <c r="EB413" s="1804"/>
      <c r="EC413" s="1804"/>
      <c r="ED413" s="1804"/>
      <c r="EE413" s="1804"/>
      <c r="EF413" s="1804"/>
      <c r="EG413" s="1804"/>
      <c r="EH413" s="1804"/>
      <c r="EI413" s="1804"/>
      <c r="EJ413" s="1804"/>
      <c r="EK413" s="1804"/>
      <c r="EL413" s="1804"/>
      <c r="EM413" s="1804"/>
      <c r="EN413" s="1804"/>
      <c r="EO413" s="1804"/>
      <c r="EP413" s="1804"/>
      <c r="EQ413" s="1804"/>
      <c r="ER413" s="1804"/>
      <c r="ES413" s="1804"/>
      <c r="ET413" s="1804"/>
      <c r="EU413" s="1804"/>
      <c r="EV413" s="1804"/>
      <c r="EW413" s="1804"/>
      <c r="EX413" s="1804"/>
      <c r="EY413" s="1804"/>
      <c r="EZ413" s="1804"/>
      <c r="FA413" s="1804"/>
      <c r="FB413" s="1804"/>
      <c r="FC413" s="1804"/>
      <c r="FD413" s="1804"/>
      <c r="FE413" s="1804"/>
      <c r="FF413" s="1804"/>
      <c r="FG413" s="1804"/>
      <c r="FH413" s="1804"/>
      <c r="FI413" s="1804"/>
      <c r="FJ413" s="1804"/>
      <c r="FK413" s="1804"/>
      <c r="FL413" s="1804"/>
      <c r="FM413" s="1804"/>
      <c r="FN413" s="1804"/>
      <c r="FO413" s="1804"/>
      <c r="FP413" s="1804"/>
      <c r="FQ413" s="1804"/>
      <c r="FR413" s="1804"/>
      <c r="FS413" s="1804"/>
      <c r="FT413" s="1804"/>
      <c r="FU413" s="1804"/>
      <c r="FV413" s="1804"/>
      <c r="FW413" s="1804"/>
      <c r="FX413" s="1804"/>
      <c r="FY413" s="1804"/>
      <c r="FZ413" s="1804"/>
      <c r="GA413" s="1804"/>
      <c r="GB413" s="1804"/>
      <c r="GC413" s="1804"/>
      <c r="GD413" s="1804"/>
      <c r="GE413" s="1804"/>
      <c r="GF413" s="1804"/>
      <c r="GG413" s="1804"/>
      <c r="GH413" s="1804"/>
      <c r="GI413" s="1804"/>
      <c r="GJ413" s="1804"/>
      <c r="GK413" s="1804"/>
      <c r="GL413" s="1804"/>
      <c r="GM413" s="1804"/>
      <c r="GN413" s="1804"/>
      <c r="GO413" s="1804"/>
      <c r="GP413" s="1804"/>
      <c r="GQ413" s="1804"/>
      <c r="GR413" s="1804"/>
      <c r="GS413" s="1804"/>
      <c r="GT413" s="1804"/>
      <c r="GU413" s="1804"/>
      <c r="GV413" s="1804"/>
      <c r="GW413" s="1804"/>
      <c r="GX413" s="1804"/>
      <c r="GY413" s="1804"/>
      <c r="GZ413" s="1804"/>
      <c r="HA413" s="1804"/>
      <c r="HB413" s="1804"/>
      <c r="HC413" s="1804"/>
      <c r="HD413" s="1804"/>
      <c r="HE413" s="1804"/>
      <c r="HF413" s="1804"/>
      <c r="HG413" s="1804"/>
      <c r="HH413" s="1804"/>
      <c r="HI413" s="1804"/>
      <c r="HJ413" s="1804"/>
      <c r="HK413" s="1804"/>
      <c r="HL413" s="1804"/>
      <c r="HM413" s="1804"/>
      <c r="HN413" s="1804"/>
      <c r="HO413" s="1804"/>
      <c r="HP413" s="1804"/>
      <c r="HQ413" s="1804"/>
      <c r="HR413" s="1804"/>
      <c r="HS413" s="1804"/>
      <c r="HT413" s="1804"/>
      <c r="HU413" s="1804"/>
      <c r="HV413" s="1804"/>
      <c r="HW413" s="1804"/>
      <c r="HX413" s="1804"/>
      <c r="HY413" s="1804"/>
      <c r="HZ413" s="1804"/>
      <c r="IA413" s="1804"/>
      <c r="IB413" s="1804"/>
      <c r="IC413" s="1804"/>
      <c r="ID413" s="1804"/>
      <c r="IE413" s="1804"/>
      <c r="IF413" s="1804"/>
      <c r="IG413" s="1804"/>
      <c r="IH413" s="1804"/>
      <c r="II413" s="1804"/>
      <c r="IJ413" s="1804"/>
      <c r="IK413" s="1804"/>
      <c r="IL413" s="1804"/>
      <c r="IM413" s="1804"/>
      <c r="IN413" s="1804"/>
      <c r="IO413" s="1804"/>
      <c r="IP413" s="1804"/>
      <c r="IQ413" s="1804"/>
      <c r="IR413" s="1804"/>
      <c r="IS413" s="1804"/>
      <c r="IT413" s="1804"/>
      <c r="IU413" s="1804"/>
      <c r="IV413" s="1804"/>
      <c r="IW413" s="1804"/>
    </row>
    <row r="414" spans="3:257" s="888" customFormat="1" x14ac:dyDescent="0.45">
      <c r="C414" s="67" t="s">
        <v>551</v>
      </c>
      <c r="D414" s="68" t="s">
        <v>654</v>
      </c>
      <c r="E414" s="69"/>
      <c r="F414" s="153">
        <v>1333.8128379279999</v>
      </c>
      <c r="G414" s="153">
        <v>1491.5742441354</v>
      </c>
      <c r="H414" s="153">
        <v>79042.5412114012</v>
      </c>
      <c r="I414" s="153">
        <v>13394.497986453</v>
      </c>
      <c r="J414" s="153">
        <v>15536.144587874</v>
      </c>
      <c r="K414" s="154">
        <v>11185.399546039</v>
      </c>
      <c r="L414" s="153">
        <v>3263.6247233419999</v>
      </c>
      <c r="M414" s="155">
        <f t="shared" si="72"/>
        <v>125247.59513717261</v>
      </c>
      <c r="N414" s="2110">
        <v>125.01795999999999</v>
      </c>
      <c r="O414" s="2113">
        <v>1380.6017265999997</v>
      </c>
      <c r="P414" s="2116">
        <f t="shared" si="73"/>
        <v>126753.21482377261</v>
      </c>
      <c r="Q414" s="1810"/>
      <c r="R414" s="1810"/>
      <c r="S414" s="1837"/>
      <c r="T414" s="1837"/>
      <c r="U414" s="1837"/>
      <c r="V414" s="1837"/>
      <c r="W414" s="1837"/>
      <c r="X414" s="1837"/>
      <c r="Y414" s="1810"/>
      <c r="Z414" s="1804"/>
      <c r="AA414" s="1804"/>
      <c r="AB414" s="1804"/>
      <c r="AC414" s="1804"/>
      <c r="AD414" s="1804"/>
      <c r="AE414" s="1804"/>
      <c r="AF414" s="1804"/>
      <c r="AG414" s="1804"/>
      <c r="AH414" s="1804"/>
      <c r="AI414" s="1804"/>
      <c r="AJ414" s="1804"/>
      <c r="AK414" s="1804"/>
      <c r="AL414" s="1804"/>
      <c r="AM414" s="1804"/>
      <c r="AN414" s="1804"/>
      <c r="AO414" s="1804"/>
      <c r="AP414" s="1804"/>
      <c r="AQ414" s="1804"/>
      <c r="AR414" s="1804"/>
      <c r="AS414" s="1804"/>
      <c r="AT414" s="1804"/>
      <c r="AU414" s="1804"/>
      <c r="AV414" s="1804"/>
      <c r="AW414" s="1804"/>
      <c r="AX414" s="1804"/>
      <c r="AY414" s="1804"/>
      <c r="AZ414" s="1804"/>
      <c r="BA414" s="1804"/>
      <c r="BB414" s="1804"/>
      <c r="BC414" s="1804"/>
      <c r="BD414" s="1804"/>
      <c r="BE414" s="1804"/>
      <c r="BF414" s="1804"/>
      <c r="BG414" s="1804"/>
      <c r="BH414" s="1804"/>
      <c r="BI414" s="1804"/>
      <c r="BJ414" s="1804"/>
      <c r="BK414" s="1804"/>
      <c r="BL414" s="1804"/>
      <c r="BM414" s="1804"/>
      <c r="BN414" s="1804"/>
      <c r="BO414" s="1804"/>
      <c r="BP414" s="1804"/>
      <c r="BQ414" s="1804"/>
      <c r="BR414" s="1804"/>
      <c r="BS414" s="1804"/>
      <c r="BT414" s="1804"/>
      <c r="BU414" s="1804"/>
      <c r="BV414" s="1804"/>
      <c r="BW414" s="1804"/>
      <c r="BX414" s="1804"/>
      <c r="BY414" s="1804"/>
      <c r="BZ414" s="1804"/>
      <c r="CA414" s="1804"/>
      <c r="CB414" s="1804"/>
      <c r="CC414" s="1804"/>
      <c r="CD414" s="1804"/>
      <c r="CE414" s="1804"/>
      <c r="CF414" s="1804"/>
      <c r="CG414" s="1804"/>
      <c r="CH414" s="1804"/>
      <c r="CI414" s="1804"/>
      <c r="CJ414" s="1804"/>
      <c r="CK414" s="1804"/>
      <c r="CL414" s="1804"/>
      <c r="CM414" s="1804"/>
      <c r="CN414" s="1804"/>
      <c r="CO414" s="1804"/>
      <c r="CP414" s="1804"/>
      <c r="CQ414" s="1804"/>
      <c r="CR414" s="1804"/>
      <c r="CS414" s="1804"/>
      <c r="CT414" s="1804"/>
      <c r="CU414" s="1804"/>
      <c r="CV414" s="1804"/>
      <c r="CW414" s="1804"/>
      <c r="CX414" s="1804"/>
      <c r="CY414" s="1804"/>
      <c r="CZ414" s="1804"/>
      <c r="DA414" s="1804"/>
      <c r="DB414" s="1804"/>
      <c r="DC414" s="1804"/>
      <c r="DD414" s="1804"/>
      <c r="DE414" s="1804"/>
      <c r="DF414" s="1804"/>
      <c r="DG414" s="1804"/>
      <c r="DH414" s="1804"/>
      <c r="DI414" s="1804"/>
      <c r="DJ414" s="1804"/>
      <c r="DK414" s="1804"/>
      <c r="DL414" s="1804"/>
      <c r="DM414" s="1804"/>
      <c r="DN414" s="1804"/>
      <c r="DO414" s="1804"/>
      <c r="DP414" s="1804"/>
      <c r="DQ414" s="1804"/>
      <c r="DR414" s="1804"/>
      <c r="DS414" s="1804"/>
      <c r="DT414" s="1804"/>
      <c r="DU414" s="1804"/>
      <c r="DV414" s="1804"/>
      <c r="DW414" s="1804"/>
      <c r="DX414" s="1804"/>
      <c r="DY414" s="1804"/>
      <c r="DZ414" s="1804"/>
      <c r="EA414" s="1804"/>
      <c r="EB414" s="1804"/>
      <c r="EC414" s="1804"/>
      <c r="ED414" s="1804"/>
      <c r="EE414" s="1804"/>
      <c r="EF414" s="1804"/>
      <c r="EG414" s="1804"/>
      <c r="EH414" s="1804"/>
      <c r="EI414" s="1804"/>
      <c r="EJ414" s="1804"/>
      <c r="EK414" s="1804"/>
      <c r="EL414" s="1804"/>
      <c r="EM414" s="1804"/>
      <c r="EN414" s="1804"/>
      <c r="EO414" s="1804"/>
      <c r="EP414" s="1804"/>
      <c r="EQ414" s="1804"/>
      <c r="ER414" s="1804"/>
      <c r="ES414" s="1804"/>
      <c r="ET414" s="1804"/>
      <c r="EU414" s="1804"/>
      <c r="EV414" s="1804"/>
      <c r="EW414" s="1804"/>
      <c r="EX414" s="1804"/>
      <c r="EY414" s="1804"/>
      <c r="EZ414" s="1804"/>
      <c r="FA414" s="1804"/>
      <c r="FB414" s="1804"/>
      <c r="FC414" s="1804"/>
      <c r="FD414" s="1804"/>
      <c r="FE414" s="1804"/>
      <c r="FF414" s="1804"/>
      <c r="FG414" s="1804"/>
      <c r="FH414" s="1804"/>
      <c r="FI414" s="1804"/>
      <c r="FJ414" s="1804"/>
      <c r="FK414" s="1804"/>
      <c r="FL414" s="1804"/>
      <c r="FM414" s="1804"/>
      <c r="FN414" s="1804"/>
      <c r="FO414" s="1804"/>
      <c r="FP414" s="1804"/>
      <c r="FQ414" s="1804"/>
      <c r="FR414" s="1804"/>
      <c r="FS414" s="1804"/>
      <c r="FT414" s="1804"/>
      <c r="FU414" s="1804"/>
      <c r="FV414" s="1804"/>
      <c r="FW414" s="1804"/>
      <c r="FX414" s="1804"/>
      <c r="FY414" s="1804"/>
      <c r="FZ414" s="1804"/>
      <c r="GA414" s="1804"/>
      <c r="GB414" s="1804"/>
      <c r="GC414" s="1804"/>
      <c r="GD414" s="1804"/>
      <c r="GE414" s="1804"/>
      <c r="GF414" s="1804"/>
      <c r="GG414" s="1804"/>
      <c r="GH414" s="1804"/>
      <c r="GI414" s="1804"/>
      <c r="GJ414" s="1804"/>
      <c r="GK414" s="1804"/>
      <c r="GL414" s="1804"/>
      <c r="GM414" s="1804"/>
      <c r="GN414" s="1804"/>
      <c r="GO414" s="1804"/>
      <c r="GP414" s="1804"/>
      <c r="GQ414" s="1804"/>
      <c r="GR414" s="1804"/>
      <c r="GS414" s="1804"/>
      <c r="GT414" s="1804"/>
      <c r="GU414" s="1804"/>
      <c r="GV414" s="1804"/>
      <c r="GW414" s="1804"/>
      <c r="GX414" s="1804"/>
      <c r="GY414" s="1804"/>
      <c r="GZ414" s="1804"/>
      <c r="HA414" s="1804"/>
      <c r="HB414" s="1804"/>
      <c r="HC414" s="1804"/>
      <c r="HD414" s="1804"/>
      <c r="HE414" s="1804"/>
      <c r="HF414" s="1804"/>
      <c r="HG414" s="1804"/>
      <c r="HH414" s="1804"/>
      <c r="HI414" s="1804"/>
      <c r="HJ414" s="1804"/>
      <c r="HK414" s="1804"/>
      <c r="HL414" s="1804"/>
      <c r="HM414" s="1804"/>
      <c r="HN414" s="1804"/>
      <c r="HO414" s="1804"/>
      <c r="HP414" s="1804"/>
      <c r="HQ414" s="1804"/>
      <c r="HR414" s="1804"/>
      <c r="HS414" s="1804"/>
      <c r="HT414" s="1804"/>
      <c r="HU414" s="1804"/>
      <c r="HV414" s="1804"/>
      <c r="HW414" s="1804"/>
      <c r="HX414" s="1804"/>
      <c r="HY414" s="1804"/>
      <c r="HZ414" s="1804"/>
      <c r="IA414" s="1804"/>
      <c r="IB414" s="1804"/>
      <c r="IC414" s="1804"/>
      <c r="ID414" s="1804"/>
      <c r="IE414" s="1804"/>
      <c r="IF414" s="1804"/>
      <c r="IG414" s="1804"/>
      <c r="IH414" s="1804"/>
      <c r="II414" s="1804"/>
      <c r="IJ414" s="1804"/>
      <c r="IK414" s="1804"/>
      <c r="IL414" s="1804"/>
      <c r="IM414" s="1804"/>
      <c r="IN414" s="1804"/>
      <c r="IO414" s="1804"/>
      <c r="IP414" s="1804"/>
      <c r="IQ414" s="1804"/>
      <c r="IR414" s="1804"/>
      <c r="IS414" s="1804"/>
      <c r="IT414" s="1804"/>
      <c r="IU414" s="1804"/>
      <c r="IV414" s="1804"/>
      <c r="IW414" s="1804"/>
    </row>
    <row r="415" spans="3:257" s="888" customFormat="1" x14ac:dyDescent="0.45">
      <c r="C415" s="67" t="s">
        <v>552</v>
      </c>
      <c r="D415" s="68" t="s">
        <v>655</v>
      </c>
      <c r="E415" s="69"/>
      <c r="F415" s="153">
        <v>1600.1731107789999</v>
      </c>
      <c r="G415" s="153">
        <v>11544.313371984599</v>
      </c>
      <c r="H415" s="153">
        <v>88461.853127923299</v>
      </c>
      <c r="I415" s="153">
        <v>17426.219538533001</v>
      </c>
      <c r="J415" s="153">
        <v>21838.366737509001</v>
      </c>
      <c r="K415" s="154">
        <v>19710.012794208</v>
      </c>
      <c r="L415" s="153">
        <v>8577.4934558480199</v>
      </c>
      <c r="M415" s="155">
        <f t="shared" si="72"/>
        <v>169158.43213678495</v>
      </c>
      <c r="N415" s="2110">
        <v>218.64572750000005</v>
      </c>
      <c r="O415" s="2113">
        <v>2512.4991496000002</v>
      </c>
      <c r="P415" s="2116">
        <f t="shared" si="73"/>
        <v>171889.57701388496</v>
      </c>
      <c r="Q415" s="1810"/>
      <c r="R415" s="1810"/>
      <c r="S415" s="1837"/>
      <c r="T415" s="1837"/>
      <c r="U415" s="1837"/>
      <c r="V415" s="1837"/>
      <c r="W415" s="1837"/>
      <c r="X415" s="1837"/>
      <c r="Y415" s="1810"/>
      <c r="Z415" s="1804"/>
      <c r="AA415" s="1804"/>
      <c r="AB415" s="1804"/>
      <c r="AC415" s="1804"/>
      <c r="AD415" s="1804"/>
      <c r="AE415" s="1804"/>
      <c r="AF415" s="1804"/>
      <c r="AG415" s="1804"/>
      <c r="AH415" s="1804"/>
      <c r="AI415" s="1804"/>
      <c r="AJ415" s="1804"/>
      <c r="AK415" s="1804"/>
      <c r="AL415" s="1804"/>
      <c r="AM415" s="1804"/>
      <c r="AN415" s="1804"/>
      <c r="AO415" s="1804"/>
      <c r="AP415" s="1804"/>
      <c r="AQ415" s="1804"/>
      <c r="AR415" s="1804"/>
      <c r="AS415" s="1804"/>
      <c r="AT415" s="1804"/>
      <c r="AU415" s="1804"/>
      <c r="AV415" s="1804"/>
      <c r="AW415" s="1804"/>
      <c r="AX415" s="1804"/>
      <c r="AY415" s="1804"/>
      <c r="AZ415" s="1804"/>
      <c r="BA415" s="1804"/>
      <c r="BB415" s="1804"/>
      <c r="BC415" s="1804"/>
      <c r="BD415" s="1804"/>
      <c r="BE415" s="1804"/>
      <c r="BF415" s="1804"/>
      <c r="BG415" s="1804"/>
      <c r="BH415" s="1804"/>
      <c r="BI415" s="1804"/>
      <c r="BJ415" s="1804"/>
      <c r="BK415" s="1804"/>
      <c r="BL415" s="1804"/>
      <c r="BM415" s="1804"/>
      <c r="BN415" s="1804"/>
      <c r="BO415" s="1804"/>
      <c r="BP415" s="1804"/>
      <c r="BQ415" s="1804"/>
      <c r="BR415" s="1804"/>
      <c r="BS415" s="1804"/>
      <c r="BT415" s="1804"/>
      <c r="BU415" s="1804"/>
      <c r="BV415" s="1804"/>
      <c r="BW415" s="1804"/>
      <c r="BX415" s="1804"/>
      <c r="BY415" s="1804"/>
      <c r="BZ415" s="1804"/>
      <c r="CA415" s="1804"/>
      <c r="CB415" s="1804"/>
      <c r="CC415" s="1804"/>
      <c r="CD415" s="1804"/>
      <c r="CE415" s="1804"/>
      <c r="CF415" s="1804"/>
      <c r="CG415" s="1804"/>
      <c r="CH415" s="1804"/>
      <c r="CI415" s="1804"/>
      <c r="CJ415" s="1804"/>
      <c r="CK415" s="1804"/>
      <c r="CL415" s="1804"/>
      <c r="CM415" s="1804"/>
      <c r="CN415" s="1804"/>
      <c r="CO415" s="1804"/>
      <c r="CP415" s="1804"/>
      <c r="CQ415" s="1804"/>
      <c r="CR415" s="1804"/>
      <c r="CS415" s="1804"/>
      <c r="CT415" s="1804"/>
      <c r="CU415" s="1804"/>
      <c r="CV415" s="1804"/>
      <c r="CW415" s="1804"/>
      <c r="CX415" s="1804"/>
      <c r="CY415" s="1804"/>
      <c r="CZ415" s="1804"/>
      <c r="DA415" s="1804"/>
      <c r="DB415" s="1804"/>
      <c r="DC415" s="1804"/>
      <c r="DD415" s="1804"/>
      <c r="DE415" s="1804"/>
      <c r="DF415" s="1804"/>
      <c r="DG415" s="1804"/>
      <c r="DH415" s="1804"/>
      <c r="DI415" s="1804"/>
      <c r="DJ415" s="1804"/>
      <c r="DK415" s="1804"/>
      <c r="DL415" s="1804"/>
      <c r="DM415" s="1804"/>
      <c r="DN415" s="1804"/>
      <c r="DO415" s="1804"/>
      <c r="DP415" s="1804"/>
      <c r="DQ415" s="1804"/>
      <c r="DR415" s="1804"/>
      <c r="DS415" s="1804"/>
      <c r="DT415" s="1804"/>
      <c r="DU415" s="1804"/>
      <c r="DV415" s="1804"/>
      <c r="DW415" s="1804"/>
      <c r="DX415" s="1804"/>
      <c r="DY415" s="1804"/>
      <c r="DZ415" s="1804"/>
      <c r="EA415" s="1804"/>
      <c r="EB415" s="1804"/>
      <c r="EC415" s="1804"/>
      <c r="ED415" s="1804"/>
      <c r="EE415" s="1804"/>
      <c r="EF415" s="1804"/>
      <c r="EG415" s="1804"/>
      <c r="EH415" s="1804"/>
      <c r="EI415" s="1804"/>
      <c r="EJ415" s="1804"/>
      <c r="EK415" s="1804"/>
      <c r="EL415" s="1804"/>
      <c r="EM415" s="1804"/>
      <c r="EN415" s="1804"/>
      <c r="EO415" s="1804"/>
      <c r="EP415" s="1804"/>
      <c r="EQ415" s="1804"/>
      <c r="ER415" s="1804"/>
      <c r="ES415" s="1804"/>
      <c r="ET415" s="1804"/>
      <c r="EU415" s="1804"/>
      <c r="EV415" s="1804"/>
      <c r="EW415" s="1804"/>
      <c r="EX415" s="1804"/>
      <c r="EY415" s="1804"/>
      <c r="EZ415" s="1804"/>
      <c r="FA415" s="1804"/>
      <c r="FB415" s="1804"/>
      <c r="FC415" s="1804"/>
      <c r="FD415" s="1804"/>
      <c r="FE415" s="1804"/>
      <c r="FF415" s="1804"/>
      <c r="FG415" s="1804"/>
      <c r="FH415" s="1804"/>
      <c r="FI415" s="1804"/>
      <c r="FJ415" s="1804"/>
      <c r="FK415" s="1804"/>
      <c r="FL415" s="1804"/>
      <c r="FM415" s="1804"/>
      <c r="FN415" s="1804"/>
      <c r="FO415" s="1804"/>
      <c r="FP415" s="1804"/>
      <c r="FQ415" s="1804"/>
      <c r="FR415" s="1804"/>
      <c r="FS415" s="1804"/>
      <c r="FT415" s="1804"/>
      <c r="FU415" s="1804"/>
      <c r="FV415" s="1804"/>
      <c r="FW415" s="1804"/>
      <c r="FX415" s="1804"/>
      <c r="FY415" s="1804"/>
      <c r="FZ415" s="1804"/>
      <c r="GA415" s="1804"/>
      <c r="GB415" s="1804"/>
      <c r="GC415" s="1804"/>
      <c r="GD415" s="1804"/>
      <c r="GE415" s="1804"/>
      <c r="GF415" s="1804"/>
      <c r="GG415" s="1804"/>
      <c r="GH415" s="1804"/>
      <c r="GI415" s="1804"/>
      <c r="GJ415" s="1804"/>
      <c r="GK415" s="1804"/>
      <c r="GL415" s="1804"/>
      <c r="GM415" s="1804"/>
      <c r="GN415" s="1804"/>
      <c r="GO415" s="1804"/>
      <c r="GP415" s="1804"/>
      <c r="GQ415" s="1804"/>
      <c r="GR415" s="1804"/>
      <c r="GS415" s="1804"/>
      <c r="GT415" s="1804"/>
      <c r="GU415" s="1804"/>
      <c r="GV415" s="1804"/>
      <c r="GW415" s="1804"/>
      <c r="GX415" s="1804"/>
      <c r="GY415" s="1804"/>
      <c r="GZ415" s="1804"/>
      <c r="HA415" s="1804"/>
      <c r="HB415" s="1804"/>
      <c r="HC415" s="1804"/>
      <c r="HD415" s="1804"/>
      <c r="HE415" s="1804"/>
      <c r="HF415" s="1804"/>
      <c r="HG415" s="1804"/>
      <c r="HH415" s="1804"/>
      <c r="HI415" s="1804"/>
      <c r="HJ415" s="1804"/>
      <c r="HK415" s="1804"/>
      <c r="HL415" s="1804"/>
      <c r="HM415" s="1804"/>
      <c r="HN415" s="1804"/>
      <c r="HO415" s="1804"/>
      <c r="HP415" s="1804"/>
      <c r="HQ415" s="1804"/>
      <c r="HR415" s="1804"/>
      <c r="HS415" s="1804"/>
      <c r="HT415" s="1804"/>
      <c r="HU415" s="1804"/>
      <c r="HV415" s="1804"/>
      <c r="HW415" s="1804"/>
      <c r="HX415" s="1804"/>
      <c r="HY415" s="1804"/>
      <c r="HZ415" s="1804"/>
      <c r="IA415" s="1804"/>
      <c r="IB415" s="1804"/>
      <c r="IC415" s="1804"/>
      <c r="ID415" s="1804"/>
      <c r="IE415" s="1804"/>
      <c r="IF415" s="1804"/>
      <c r="IG415" s="1804"/>
      <c r="IH415" s="1804"/>
      <c r="II415" s="1804"/>
      <c r="IJ415" s="1804"/>
      <c r="IK415" s="1804"/>
      <c r="IL415" s="1804"/>
      <c r="IM415" s="1804"/>
      <c r="IN415" s="1804"/>
      <c r="IO415" s="1804"/>
      <c r="IP415" s="1804"/>
      <c r="IQ415" s="1804"/>
      <c r="IR415" s="1804"/>
      <c r="IS415" s="1804"/>
      <c r="IT415" s="1804"/>
      <c r="IU415" s="1804"/>
      <c r="IV415" s="1804"/>
      <c r="IW415" s="1804"/>
    </row>
    <row r="416" spans="3:257" s="888" customFormat="1" x14ac:dyDescent="0.45">
      <c r="C416" s="67" t="s">
        <v>553</v>
      </c>
      <c r="D416" s="68" t="s">
        <v>656</v>
      </c>
      <c r="E416" s="69"/>
      <c r="F416" s="153">
        <v>1663.6465512709999</v>
      </c>
      <c r="G416" s="153">
        <v>9331.9737074095192</v>
      </c>
      <c r="H416" s="153">
        <v>151343.558333775</v>
      </c>
      <c r="I416" s="153">
        <v>27130.220146364001</v>
      </c>
      <c r="J416" s="153">
        <v>19004.709537154999</v>
      </c>
      <c r="K416" s="154">
        <v>21438.399171744</v>
      </c>
      <c r="L416" s="153">
        <v>11680.357342048999</v>
      </c>
      <c r="M416" s="155">
        <f t="shared" si="72"/>
        <v>241592.86478976754</v>
      </c>
      <c r="N416" s="2110">
        <v>220.67882750000001</v>
      </c>
      <c r="O416" s="2113">
        <v>2625.3668879999996</v>
      </c>
      <c r="P416" s="2116">
        <f t="shared" si="73"/>
        <v>244438.91050526753</v>
      </c>
      <c r="Q416" s="1810"/>
      <c r="R416" s="1810"/>
      <c r="S416" s="1837"/>
      <c r="T416" s="1837"/>
      <c r="U416" s="1837"/>
      <c r="V416" s="1837"/>
      <c r="W416" s="1837"/>
      <c r="X416" s="1837"/>
      <c r="Y416" s="1810"/>
      <c r="Z416" s="1804"/>
      <c r="AA416" s="1804"/>
      <c r="AB416" s="1804"/>
      <c r="AC416" s="1804"/>
      <c r="AD416" s="1804"/>
      <c r="AE416" s="1804"/>
      <c r="AF416" s="1804"/>
      <c r="AG416" s="1804"/>
      <c r="AH416" s="1804"/>
      <c r="AI416" s="1804"/>
      <c r="AJ416" s="1804"/>
      <c r="AK416" s="1804"/>
      <c r="AL416" s="1804"/>
      <c r="AM416" s="1804"/>
      <c r="AN416" s="1804"/>
      <c r="AO416" s="1804"/>
      <c r="AP416" s="1804"/>
      <c r="AQ416" s="1804"/>
      <c r="AR416" s="1804"/>
      <c r="AS416" s="1804"/>
      <c r="AT416" s="1804"/>
      <c r="AU416" s="1804"/>
      <c r="AV416" s="1804"/>
      <c r="AW416" s="1804"/>
      <c r="AX416" s="1804"/>
      <c r="AY416" s="1804"/>
      <c r="AZ416" s="1804"/>
      <c r="BA416" s="1804"/>
      <c r="BB416" s="1804"/>
      <c r="BC416" s="1804"/>
      <c r="BD416" s="1804"/>
      <c r="BE416" s="1804"/>
      <c r="BF416" s="1804"/>
      <c r="BG416" s="1804"/>
      <c r="BH416" s="1804"/>
      <c r="BI416" s="1804"/>
      <c r="BJ416" s="1804"/>
      <c r="BK416" s="1804"/>
      <c r="BL416" s="1804"/>
      <c r="BM416" s="1804"/>
      <c r="BN416" s="1804"/>
      <c r="BO416" s="1804"/>
      <c r="BP416" s="1804"/>
      <c r="BQ416" s="1804"/>
      <c r="BR416" s="1804"/>
      <c r="BS416" s="1804"/>
      <c r="BT416" s="1804"/>
      <c r="BU416" s="1804"/>
      <c r="BV416" s="1804"/>
      <c r="BW416" s="1804"/>
      <c r="BX416" s="1804"/>
      <c r="BY416" s="1804"/>
      <c r="BZ416" s="1804"/>
      <c r="CA416" s="1804"/>
      <c r="CB416" s="1804"/>
      <c r="CC416" s="1804"/>
      <c r="CD416" s="1804"/>
      <c r="CE416" s="1804"/>
      <c r="CF416" s="1804"/>
      <c r="CG416" s="1804"/>
      <c r="CH416" s="1804"/>
      <c r="CI416" s="1804"/>
      <c r="CJ416" s="1804"/>
      <c r="CK416" s="1804"/>
      <c r="CL416" s="1804"/>
      <c r="CM416" s="1804"/>
      <c r="CN416" s="1804"/>
      <c r="CO416" s="1804"/>
      <c r="CP416" s="1804"/>
      <c r="CQ416" s="1804"/>
      <c r="CR416" s="1804"/>
      <c r="CS416" s="1804"/>
      <c r="CT416" s="1804"/>
      <c r="CU416" s="1804"/>
      <c r="CV416" s="1804"/>
      <c r="CW416" s="1804"/>
      <c r="CX416" s="1804"/>
      <c r="CY416" s="1804"/>
      <c r="CZ416" s="1804"/>
      <c r="DA416" s="1804"/>
      <c r="DB416" s="1804"/>
      <c r="DC416" s="1804"/>
      <c r="DD416" s="1804"/>
      <c r="DE416" s="1804"/>
      <c r="DF416" s="1804"/>
      <c r="DG416" s="1804"/>
      <c r="DH416" s="1804"/>
      <c r="DI416" s="1804"/>
      <c r="DJ416" s="1804"/>
      <c r="DK416" s="1804"/>
      <c r="DL416" s="1804"/>
      <c r="DM416" s="1804"/>
      <c r="DN416" s="1804"/>
      <c r="DO416" s="1804"/>
      <c r="DP416" s="1804"/>
      <c r="DQ416" s="1804"/>
      <c r="DR416" s="1804"/>
      <c r="DS416" s="1804"/>
      <c r="DT416" s="1804"/>
      <c r="DU416" s="1804"/>
      <c r="DV416" s="1804"/>
      <c r="DW416" s="1804"/>
      <c r="DX416" s="1804"/>
      <c r="DY416" s="1804"/>
      <c r="DZ416" s="1804"/>
      <c r="EA416" s="1804"/>
      <c r="EB416" s="1804"/>
      <c r="EC416" s="1804"/>
      <c r="ED416" s="1804"/>
      <c r="EE416" s="1804"/>
      <c r="EF416" s="1804"/>
      <c r="EG416" s="1804"/>
      <c r="EH416" s="1804"/>
      <c r="EI416" s="1804"/>
      <c r="EJ416" s="1804"/>
      <c r="EK416" s="1804"/>
      <c r="EL416" s="1804"/>
      <c r="EM416" s="1804"/>
      <c r="EN416" s="1804"/>
      <c r="EO416" s="1804"/>
      <c r="EP416" s="1804"/>
      <c r="EQ416" s="1804"/>
      <c r="ER416" s="1804"/>
      <c r="ES416" s="1804"/>
      <c r="ET416" s="1804"/>
      <c r="EU416" s="1804"/>
      <c r="EV416" s="1804"/>
      <c r="EW416" s="1804"/>
      <c r="EX416" s="1804"/>
      <c r="EY416" s="1804"/>
      <c r="EZ416" s="1804"/>
      <c r="FA416" s="1804"/>
      <c r="FB416" s="1804"/>
      <c r="FC416" s="1804"/>
      <c r="FD416" s="1804"/>
      <c r="FE416" s="1804"/>
      <c r="FF416" s="1804"/>
      <c r="FG416" s="1804"/>
      <c r="FH416" s="1804"/>
      <c r="FI416" s="1804"/>
      <c r="FJ416" s="1804"/>
      <c r="FK416" s="1804"/>
      <c r="FL416" s="1804"/>
      <c r="FM416" s="1804"/>
      <c r="FN416" s="1804"/>
      <c r="FO416" s="1804"/>
      <c r="FP416" s="1804"/>
      <c r="FQ416" s="1804"/>
      <c r="FR416" s="1804"/>
      <c r="FS416" s="1804"/>
      <c r="FT416" s="1804"/>
      <c r="FU416" s="1804"/>
      <c r="FV416" s="1804"/>
      <c r="FW416" s="1804"/>
      <c r="FX416" s="1804"/>
      <c r="FY416" s="1804"/>
      <c r="FZ416" s="1804"/>
      <c r="GA416" s="1804"/>
      <c r="GB416" s="1804"/>
      <c r="GC416" s="1804"/>
      <c r="GD416" s="1804"/>
      <c r="GE416" s="1804"/>
      <c r="GF416" s="1804"/>
      <c r="GG416" s="1804"/>
      <c r="GH416" s="1804"/>
      <c r="GI416" s="1804"/>
      <c r="GJ416" s="1804"/>
      <c r="GK416" s="1804"/>
      <c r="GL416" s="1804"/>
      <c r="GM416" s="1804"/>
      <c r="GN416" s="1804"/>
      <c r="GO416" s="1804"/>
      <c r="GP416" s="1804"/>
      <c r="GQ416" s="1804"/>
      <c r="GR416" s="1804"/>
      <c r="GS416" s="1804"/>
      <c r="GT416" s="1804"/>
      <c r="GU416" s="1804"/>
      <c r="GV416" s="1804"/>
      <c r="GW416" s="1804"/>
      <c r="GX416" s="1804"/>
      <c r="GY416" s="1804"/>
      <c r="GZ416" s="1804"/>
      <c r="HA416" s="1804"/>
      <c r="HB416" s="1804"/>
      <c r="HC416" s="1804"/>
      <c r="HD416" s="1804"/>
      <c r="HE416" s="1804"/>
      <c r="HF416" s="1804"/>
      <c r="HG416" s="1804"/>
      <c r="HH416" s="1804"/>
      <c r="HI416" s="1804"/>
      <c r="HJ416" s="1804"/>
      <c r="HK416" s="1804"/>
      <c r="HL416" s="1804"/>
      <c r="HM416" s="1804"/>
      <c r="HN416" s="1804"/>
      <c r="HO416" s="1804"/>
      <c r="HP416" s="1804"/>
      <c r="HQ416" s="1804"/>
      <c r="HR416" s="1804"/>
      <c r="HS416" s="1804"/>
      <c r="HT416" s="1804"/>
      <c r="HU416" s="1804"/>
      <c r="HV416" s="1804"/>
      <c r="HW416" s="1804"/>
      <c r="HX416" s="1804"/>
      <c r="HY416" s="1804"/>
      <c r="HZ416" s="1804"/>
      <c r="IA416" s="1804"/>
      <c r="IB416" s="1804"/>
      <c r="IC416" s="1804"/>
      <c r="ID416" s="1804"/>
      <c r="IE416" s="1804"/>
      <c r="IF416" s="1804"/>
      <c r="IG416" s="1804"/>
      <c r="IH416" s="1804"/>
      <c r="II416" s="1804"/>
      <c r="IJ416" s="1804"/>
      <c r="IK416" s="1804"/>
      <c r="IL416" s="1804"/>
      <c r="IM416" s="1804"/>
      <c r="IN416" s="1804"/>
      <c r="IO416" s="1804"/>
      <c r="IP416" s="1804"/>
      <c r="IQ416" s="1804"/>
      <c r="IR416" s="1804"/>
      <c r="IS416" s="1804"/>
      <c r="IT416" s="1804"/>
      <c r="IU416" s="1804"/>
      <c r="IV416" s="1804"/>
      <c r="IW416" s="1804"/>
    </row>
    <row r="417" spans="3:257" s="888" customFormat="1" x14ac:dyDescent="0.45">
      <c r="C417" s="67" t="s">
        <v>554</v>
      </c>
      <c r="D417" s="68" t="s">
        <v>657</v>
      </c>
      <c r="E417" s="69"/>
      <c r="F417" s="153">
        <v>1753.418265022</v>
      </c>
      <c r="G417" s="153">
        <v>2684.2097072305</v>
      </c>
      <c r="H417" s="153">
        <v>104109.72250129499</v>
      </c>
      <c r="I417" s="153">
        <v>14549.629472029001</v>
      </c>
      <c r="J417" s="153">
        <v>17862.274945530098</v>
      </c>
      <c r="K417" s="154">
        <v>11859.573433035001</v>
      </c>
      <c r="L417" s="153">
        <v>3064.6061367500101</v>
      </c>
      <c r="M417" s="155">
        <f t="shared" si="72"/>
        <v>155883.43446089161</v>
      </c>
      <c r="N417" s="2110">
        <v>169.67787250000001</v>
      </c>
      <c r="O417" s="2113">
        <v>1742.5682610000003</v>
      </c>
      <c r="P417" s="2116">
        <f t="shared" si="73"/>
        <v>157795.68059439163</v>
      </c>
      <c r="Q417" s="1810"/>
      <c r="R417" s="1810"/>
      <c r="S417" s="1837"/>
      <c r="T417" s="1837"/>
      <c r="U417" s="1837"/>
      <c r="V417" s="1837"/>
      <c r="W417" s="1837"/>
      <c r="X417" s="1837"/>
      <c r="Y417" s="1810"/>
      <c r="Z417" s="1804"/>
      <c r="AA417" s="1804"/>
      <c r="AB417" s="1804"/>
      <c r="AC417" s="1804"/>
      <c r="AD417" s="1804"/>
      <c r="AE417" s="1804"/>
      <c r="AF417" s="1804"/>
      <c r="AG417" s="1804"/>
      <c r="AH417" s="1804"/>
      <c r="AI417" s="1804"/>
      <c r="AJ417" s="1804"/>
      <c r="AK417" s="1804"/>
      <c r="AL417" s="1804"/>
      <c r="AM417" s="1804"/>
      <c r="AN417" s="1804"/>
      <c r="AO417" s="1804"/>
      <c r="AP417" s="1804"/>
      <c r="AQ417" s="1804"/>
      <c r="AR417" s="1804"/>
      <c r="AS417" s="1804"/>
      <c r="AT417" s="1804"/>
      <c r="AU417" s="1804"/>
      <c r="AV417" s="1804"/>
      <c r="AW417" s="1804"/>
      <c r="AX417" s="1804"/>
      <c r="AY417" s="1804"/>
      <c r="AZ417" s="1804"/>
      <c r="BA417" s="1804"/>
      <c r="BB417" s="1804"/>
      <c r="BC417" s="1804"/>
      <c r="BD417" s="1804"/>
      <c r="BE417" s="1804"/>
      <c r="BF417" s="1804"/>
      <c r="BG417" s="1804"/>
      <c r="BH417" s="1804"/>
      <c r="BI417" s="1804"/>
      <c r="BJ417" s="1804"/>
      <c r="BK417" s="1804"/>
      <c r="BL417" s="1804"/>
      <c r="BM417" s="1804"/>
      <c r="BN417" s="1804"/>
      <c r="BO417" s="1804"/>
      <c r="BP417" s="1804"/>
      <c r="BQ417" s="1804"/>
      <c r="BR417" s="1804"/>
      <c r="BS417" s="1804"/>
      <c r="BT417" s="1804"/>
      <c r="BU417" s="1804"/>
      <c r="BV417" s="1804"/>
      <c r="BW417" s="1804"/>
      <c r="BX417" s="1804"/>
      <c r="BY417" s="1804"/>
      <c r="BZ417" s="1804"/>
      <c r="CA417" s="1804"/>
      <c r="CB417" s="1804"/>
      <c r="CC417" s="1804"/>
      <c r="CD417" s="1804"/>
      <c r="CE417" s="1804"/>
      <c r="CF417" s="1804"/>
      <c r="CG417" s="1804"/>
      <c r="CH417" s="1804"/>
      <c r="CI417" s="1804"/>
      <c r="CJ417" s="1804"/>
      <c r="CK417" s="1804"/>
      <c r="CL417" s="1804"/>
      <c r="CM417" s="1804"/>
      <c r="CN417" s="1804"/>
      <c r="CO417" s="1804"/>
      <c r="CP417" s="1804"/>
      <c r="CQ417" s="1804"/>
      <c r="CR417" s="1804"/>
      <c r="CS417" s="1804"/>
      <c r="CT417" s="1804"/>
      <c r="CU417" s="1804"/>
      <c r="CV417" s="1804"/>
      <c r="CW417" s="1804"/>
      <c r="CX417" s="1804"/>
      <c r="CY417" s="1804"/>
      <c r="CZ417" s="1804"/>
      <c r="DA417" s="1804"/>
      <c r="DB417" s="1804"/>
      <c r="DC417" s="1804"/>
      <c r="DD417" s="1804"/>
      <c r="DE417" s="1804"/>
      <c r="DF417" s="1804"/>
      <c r="DG417" s="1804"/>
      <c r="DH417" s="1804"/>
      <c r="DI417" s="1804"/>
      <c r="DJ417" s="1804"/>
      <c r="DK417" s="1804"/>
      <c r="DL417" s="1804"/>
      <c r="DM417" s="1804"/>
      <c r="DN417" s="1804"/>
      <c r="DO417" s="1804"/>
      <c r="DP417" s="1804"/>
      <c r="DQ417" s="1804"/>
      <c r="DR417" s="1804"/>
      <c r="DS417" s="1804"/>
      <c r="DT417" s="1804"/>
      <c r="DU417" s="1804"/>
      <c r="DV417" s="1804"/>
      <c r="DW417" s="1804"/>
      <c r="DX417" s="1804"/>
      <c r="DY417" s="1804"/>
      <c r="DZ417" s="1804"/>
      <c r="EA417" s="1804"/>
      <c r="EB417" s="1804"/>
      <c r="EC417" s="1804"/>
      <c r="ED417" s="1804"/>
      <c r="EE417" s="1804"/>
      <c r="EF417" s="1804"/>
      <c r="EG417" s="1804"/>
      <c r="EH417" s="1804"/>
      <c r="EI417" s="1804"/>
      <c r="EJ417" s="1804"/>
      <c r="EK417" s="1804"/>
      <c r="EL417" s="1804"/>
      <c r="EM417" s="1804"/>
      <c r="EN417" s="1804"/>
      <c r="EO417" s="1804"/>
      <c r="EP417" s="1804"/>
      <c r="EQ417" s="1804"/>
      <c r="ER417" s="1804"/>
      <c r="ES417" s="1804"/>
      <c r="ET417" s="1804"/>
      <c r="EU417" s="1804"/>
      <c r="EV417" s="1804"/>
      <c r="EW417" s="1804"/>
      <c r="EX417" s="1804"/>
      <c r="EY417" s="1804"/>
      <c r="EZ417" s="1804"/>
      <c r="FA417" s="1804"/>
      <c r="FB417" s="1804"/>
      <c r="FC417" s="1804"/>
      <c r="FD417" s="1804"/>
      <c r="FE417" s="1804"/>
      <c r="FF417" s="1804"/>
      <c r="FG417" s="1804"/>
      <c r="FH417" s="1804"/>
      <c r="FI417" s="1804"/>
      <c r="FJ417" s="1804"/>
      <c r="FK417" s="1804"/>
      <c r="FL417" s="1804"/>
      <c r="FM417" s="1804"/>
      <c r="FN417" s="1804"/>
      <c r="FO417" s="1804"/>
      <c r="FP417" s="1804"/>
      <c r="FQ417" s="1804"/>
      <c r="FR417" s="1804"/>
      <c r="FS417" s="1804"/>
      <c r="FT417" s="1804"/>
      <c r="FU417" s="1804"/>
      <c r="FV417" s="1804"/>
      <c r="FW417" s="1804"/>
      <c r="FX417" s="1804"/>
      <c r="FY417" s="1804"/>
      <c r="FZ417" s="1804"/>
      <c r="GA417" s="1804"/>
      <c r="GB417" s="1804"/>
      <c r="GC417" s="1804"/>
      <c r="GD417" s="1804"/>
      <c r="GE417" s="1804"/>
      <c r="GF417" s="1804"/>
      <c r="GG417" s="1804"/>
      <c r="GH417" s="1804"/>
      <c r="GI417" s="1804"/>
      <c r="GJ417" s="1804"/>
      <c r="GK417" s="1804"/>
      <c r="GL417" s="1804"/>
      <c r="GM417" s="1804"/>
      <c r="GN417" s="1804"/>
      <c r="GO417" s="1804"/>
      <c r="GP417" s="1804"/>
      <c r="GQ417" s="1804"/>
      <c r="GR417" s="1804"/>
      <c r="GS417" s="1804"/>
      <c r="GT417" s="1804"/>
      <c r="GU417" s="1804"/>
      <c r="GV417" s="1804"/>
      <c r="GW417" s="1804"/>
      <c r="GX417" s="1804"/>
      <c r="GY417" s="1804"/>
      <c r="GZ417" s="1804"/>
      <c r="HA417" s="1804"/>
      <c r="HB417" s="1804"/>
      <c r="HC417" s="1804"/>
      <c r="HD417" s="1804"/>
      <c r="HE417" s="1804"/>
      <c r="HF417" s="1804"/>
      <c r="HG417" s="1804"/>
      <c r="HH417" s="1804"/>
      <c r="HI417" s="1804"/>
      <c r="HJ417" s="1804"/>
      <c r="HK417" s="1804"/>
      <c r="HL417" s="1804"/>
      <c r="HM417" s="1804"/>
      <c r="HN417" s="1804"/>
      <c r="HO417" s="1804"/>
      <c r="HP417" s="1804"/>
      <c r="HQ417" s="1804"/>
      <c r="HR417" s="1804"/>
      <c r="HS417" s="1804"/>
      <c r="HT417" s="1804"/>
      <c r="HU417" s="1804"/>
      <c r="HV417" s="1804"/>
      <c r="HW417" s="1804"/>
      <c r="HX417" s="1804"/>
      <c r="HY417" s="1804"/>
      <c r="HZ417" s="1804"/>
      <c r="IA417" s="1804"/>
      <c r="IB417" s="1804"/>
      <c r="IC417" s="1804"/>
      <c r="ID417" s="1804"/>
      <c r="IE417" s="1804"/>
      <c r="IF417" s="1804"/>
      <c r="IG417" s="1804"/>
      <c r="IH417" s="1804"/>
      <c r="II417" s="1804"/>
      <c r="IJ417" s="1804"/>
      <c r="IK417" s="1804"/>
      <c r="IL417" s="1804"/>
      <c r="IM417" s="1804"/>
      <c r="IN417" s="1804"/>
      <c r="IO417" s="1804"/>
      <c r="IP417" s="1804"/>
      <c r="IQ417" s="1804"/>
      <c r="IR417" s="1804"/>
      <c r="IS417" s="1804"/>
      <c r="IT417" s="1804"/>
      <c r="IU417" s="1804"/>
      <c r="IV417" s="1804"/>
      <c r="IW417" s="1804"/>
    </row>
    <row r="418" spans="3:257" s="888" customFormat="1" x14ac:dyDescent="0.45">
      <c r="C418" s="67" t="s">
        <v>555</v>
      </c>
      <c r="D418" s="68" t="s">
        <v>658</v>
      </c>
      <c r="E418" s="69"/>
      <c r="F418" s="153">
        <v>3154.2028848099999</v>
      </c>
      <c r="G418" s="153">
        <v>9581.4121894966993</v>
      </c>
      <c r="H418" s="153">
        <v>68686.017932552</v>
      </c>
      <c r="I418" s="153">
        <v>17013.195184811</v>
      </c>
      <c r="J418" s="153">
        <v>31402.001750700001</v>
      </c>
      <c r="K418" s="154">
        <v>16106.991989246</v>
      </c>
      <c r="L418" s="153">
        <v>3979.2359726350001</v>
      </c>
      <c r="M418" s="155">
        <f t="shared" si="72"/>
        <v>149923.05790425072</v>
      </c>
      <c r="N418" s="2110">
        <v>164.44905500000002</v>
      </c>
      <c r="O418" s="2113">
        <v>2125.3281328000003</v>
      </c>
      <c r="P418" s="2116">
        <f t="shared" si="73"/>
        <v>152212.83509205072</v>
      </c>
      <c r="Q418" s="1810"/>
      <c r="R418" s="1810"/>
      <c r="S418" s="1837"/>
      <c r="T418" s="1837"/>
      <c r="U418" s="1837"/>
      <c r="V418" s="1837"/>
      <c r="W418" s="1837"/>
      <c r="X418" s="1837"/>
      <c r="Y418" s="1810"/>
      <c r="Z418" s="1804"/>
      <c r="AA418" s="1804"/>
      <c r="AB418" s="1804"/>
      <c r="AC418" s="1804"/>
      <c r="AD418" s="1804"/>
      <c r="AE418" s="1804"/>
      <c r="AF418" s="1804"/>
      <c r="AG418" s="1804"/>
      <c r="AH418" s="1804"/>
      <c r="AI418" s="1804"/>
      <c r="AJ418" s="1804"/>
      <c r="AK418" s="1804"/>
      <c r="AL418" s="1804"/>
      <c r="AM418" s="1804"/>
      <c r="AN418" s="1804"/>
      <c r="AO418" s="1804"/>
      <c r="AP418" s="1804"/>
      <c r="AQ418" s="1804"/>
      <c r="AR418" s="1804"/>
      <c r="AS418" s="1804"/>
      <c r="AT418" s="1804"/>
      <c r="AU418" s="1804"/>
      <c r="AV418" s="1804"/>
      <c r="AW418" s="1804"/>
      <c r="AX418" s="1804"/>
      <c r="AY418" s="1804"/>
      <c r="AZ418" s="1804"/>
      <c r="BA418" s="1804"/>
      <c r="BB418" s="1804"/>
      <c r="BC418" s="1804"/>
      <c r="BD418" s="1804"/>
      <c r="BE418" s="1804"/>
      <c r="BF418" s="1804"/>
      <c r="BG418" s="1804"/>
      <c r="BH418" s="1804"/>
      <c r="BI418" s="1804"/>
      <c r="BJ418" s="1804"/>
      <c r="BK418" s="1804"/>
      <c r="BL418" s="1804"/>
      <c r="BM418" s="1804"/>
      <c r="BN418" s="1804"/>
      <c r="BO418" s="1804"/>
      <c r="BP418" s="1804"/>
      <c r="BQ418" s="1804"/>
      <c r="BR418" s="1804"/>
      <c r="BS418" s="1804"/>
      <c r="BT418" s="1804"/>
      <c r="BU418" s="1804"/>
      <c r="BV418" s="1804"/>
      <c r="BW418" s="1804"/>
      <c r="BX418" s="1804"/>
      <c r="BY418" s="1804"/>
      <c r="BZ418" s="1804"/>
      <c r="CA418" s="1804"/>
      <c r="CB418" s="1804"/>
      <c r="CC418" s="1804"/>
      <c r="CD418" s="1804"/>
      <c r="CE418" s="1804"/>
      <c r="CF418" s="1804"/>
      <c r="CG418" s="1804"/>
      <c r="CH418" s="1804"/>
      <c r="CI418" s="1804"/>
      <c r="CJ418" s="1804"/>
      <c r="CK418" s="1804"/>
      <c r="CL418" s="1804"/>
      <c r="CM418" s="1804"/>
      <c r="CN418" s="1804"/>
      <c r="CO418" s="1804"/>
      <c r="CP418" s="1804"/>
      <c r="CQ418" s="1804"/>
      <c r="CR418" s="1804"/>
      <c r="CS418" s="1804"/>
      <c r="CT418" s="1804"/>
      <c r="CU418" s="1804"/>
      <c r="CV418" s="1804"/>
      <c r="CW418" s="1804"/>
      <c r="CX418" s="1804"/>
      <c r="CY418" s="1804"/>
      <c r="CZ418" s="1804"/>
      <c r="DA418" s="1804"/>
      <c r="DB418" s="1804"/>
      <c r="DC418" s="1804"/>
      <c r="DD418" s="1804"/>
      <c r="DE418" s="1804"/>
      <c r="DF418" s="1804"/>
      <c r="DG418" s="1804"/>
      <c r="DH418" s="1804"/>
      <c r="DI418" s="1804"/>
      <c r="DJ418" s="1804"/>
      <c r="DK418" s="1804"/>
      <c r="DL418" s="1804"/>
      <c r="DM418" s="1804"/>
      <c r="DN418" s="1804"/>
      <c r="DO418" s="1804"/>
      <c r="DP418" s="1804"/>
      <c r="DQ418" s="1804"/>
      <c r="DR418" s="1804"/>
      <c r="DS418" s="1804"/>
      <c r="DT418" s="1804"/>
      <c r="DU418" s="1804"/>
      <c r="DV418" s="1804"/>
      <c r="DW418" s="1804"/>
      <c r="DX418" s="1804"/>
      <c r="DY418" s="1804"/>
      <c r="DZ418" s="1804"/>
      <c r="EA418" s="1804"/>
      <c r="EB418" s="1804"/>
      <c r="EC418" s="1804"/>
      <c r="ED418" s="1804"/>
      <c r="EE418" s="1804"/>
      <c r="EF418" s="1804"/>
      <c r="EG418" s="1804"/>
      <c r="EH418" s="1804"/>
      <c r="EI418" s="1804"/>
      <c r="EJ418" s="1804"/>
      <c r="EK418" s="1804"/>
      <c r="EL418" s="1804"/>
      <c r="EM418" s="1804"/>
      <c r="EN418" s="1804"/>
      <c r="EO418" s="1804"/>
      <c r="EP418" s="1804"/>
      <c r="EQ418" s="1804"/>
      <c r="ER418" s="1804"/>
      <c r="ES418" s="1804"/>
      <c r="ET418" s="1804"/>
      <c r="EU418" s="1804"/>
      <c r="EV418" s="1804"/>
      <c r="EW418" s="1804"/>
      <c r="EX418" s="1804"/>
      <c r="EY418" s="1804"/>
      <c r="EZ418" s="1804"/>
      <c r="FA418" s="1804"/>
      <c r="FB418" s="1804"/>
      <c r="FC418" s="1804"/>
      <c r="FD418" s="1804"/>
      <c r="FE418" s="1804"/>
      <c r="FF418" s="1804"/>
      <c r="FG418" s="1804"/>
      <c r="FH418" s="1804"/>
      <c r="FI418" s="1804"/>
      <c r="FJ418" s="1804"/>
      <c r="FK418" s="1804"/>
      <c r="FL418" s="1804"/>
      <c r="FM418" s="1804"/>
      <c r="FN418" s="1804"/>
      <c r="FO418" s="1804"/>
      <c r="FP418" s="1804"/>
      <c r="FQ418" s="1804"/>
      <c r="FR418" s="1804"/>
      <c r="FS418" s="1804"/>
      <c r="FT418" s="1804"/>
      <c r="FU418" s="1804"/>
      <c r="FV418" s="1804"/>
      <c r="FW418" s="1804"/>
      <c r="FX418" s="1804"/>
      <c r="FY418" s="1804"/>
      <c r="FZ418" s="1804"/>
      <c r="GA418" s="1804"/>
      <c r="GB418" s="1804"/>
      <c r="GC418" s="1804"/>
      <c r="GD418" s="1804"/>
      <c r="GE418" s="1804"/>
      <c r="GF418" s="1804"/>
      <c r="GG418" s="1804"/>
      <c r="GH418" s="1804"/>
      <c r="GI418" s="1804"/>
      <c r="GJ418" s="1804"/>
      <c r="GK418" s="1804"/>
      <c r="GL418" s="1804"/>
      <c r="GM418" s="1804"/>
      <c r="GN418" s="1804"/>
      <c r="GO418" s="1804"/>
      <c r="GP418" s="1804"/>
      <c r="GQ418" s="1804"/>
      <c r="GR418" s="1804"/>
      <c r="GS418" s="1804"/>
      <c r="GT418" s="1804"/>
      <c r="GU418" s="1804"/>
      <c r="GV418" s="1804"/>
      <c r="GW418" s="1804"/>
      <c r="GX418" s="1804"/>
      <c r="GY418" s="1804"/>
      <c r="GZ418" s="1804"/>
      <c r="HA418" s="1804"/>
      <c r="HB418" s="1804"/>
      <c r="HC418" s="1804"/>
      <c r="HD418" s="1804"/>
      <c r="HE418" s="1804"/>
      <c r="HF418" s="1804"/>
      <c r="HG418" s="1804"/>
      <c r="HH418" s="1804"/>
      <c r="HI418" s="1804"/>
      <c r="HJ418" s="1804"/>
      <c r="HK418" s="1804"/>
      <c r="HL418" s="1804"/>
      <c r="HM418" s="1804"/>
      <c r="HN418" s="1804"/>
      <c r="HO418" s="1804"/>
      <c r="HP418" s="1804"/>
      <c r="HQ418" s="1804"/>
      <c r="HR418" s="1804"/>
      <c r="HS418" s="1804"/>
      <c r="HT418" s="1804"/>
      <c r="HU418" s="1804"/>
      <c r="HV418" s="1804"/>
      <c r="HW418" s="1804"/>
      <c r="HX418" s="1804"/>
      <c r="HY418" s="1804"/>
      <c r="HZ418" s="1804"/>
      <c r="IA418" s="1804"/>
      <c r="IB418" s="1804"/>
      <c r="IC418" s="1804"/>
      <c r="ID418" s="1804"/>
      <c r="IE418" s="1804"/>
      <c r="IF418" s="1804"/>
      <c r="IG418" s="1804"/>
      <c r="IH418" s="1804"/>
      <c r="II418" s="1804"/>
      <c r="IJ418" s="1804"/>
      <c r="IK418" s="1804"/>
      <c r="IL418" s="1804"/>
      <c r="IM418" s="1804"/>
      <c r="IN418" s="1804"/>
      <c r="IO418" s="1804"/>
      <c r="IP418" s="1804"/>
      <c r="IQ418" s="1804"/>
      <c r="IR418" s="1804"/>
      <c r="IS418" s="1804"/>
      <c r="IT418" s="1804"/>
      <c r="IU418" s="1804"/>
      <c r="IV418" s="1804"/>
      <c r="IW418" s="1804"/>
    </row>
    <row r="419" spans="3:257" s="888" customFormat="1" x14ac:dyDescent="0.45">
      <c r="C419" s="67" t="s">
        <v>556</v>
      </c>
      <c r="D419" s="68" t="s">
        <v>659</v>
      </c>
      <c r="E419" s="69"/>
      <c r="F419" s="153">
        <v>766.47461764800096</v>
      </c>
      <c r="G419" s="153">
        <v>1280.3936639113001</v>
      </c>
      <c r="H419" s="153">
        <v>71999.280419609102</v>
      </c>
      <c r="I419" s="153">
        <v>10887.777932741999</v>
      </c>
      <c r="J419" s="153">
        <v>11838.669871197</v>
      </c>
      <c r="K419" s="154">
        <v>8013.3357125490202</v>
      </c>
      <c r="L419" s="153">
        <v>2398.789544278</v>
      </c>
      <c r="M419" s="155">
        <f t="shared" si="72"/>
        <v>107184.72176193442</v>
      </c>
      <c r="N419" s="2110">
        <v>123.66516000000001</v>
      </c>
      <c r="O419" s="2113">
        <v>1368.4452635999999</v>
      </c>
      <c r="P419" s="2116">
        <f t="shared" si="73"/>
        <v>108676.83218553443</v>
      </c>
      <c r="Q419" s="1810"/>
      <c r="R419" s="1810"/>
      <c r="S419" s="1837"/>
      <c r="T419" s="1837"/>
      <c r="U419" s="1837"/>
      <c r="V419" s="1837"/>
      <c r="W419" s="1837"/>
      <c r="X419" s="1837"/>
      <c r="Y419" s="1810"/>
      <c r="Z419" s="1804"/>
      <c r="AA419" s="1804"/>
      <c r="AB419" s="1804"/>
      <c r="AC419" s="1804"/>
      <c r="AD419" s="1804"/>
      <c r="AE419" s="1804"/>
      <c r="AF419" s="1804"/>
      <c r="AG419" s="1804"/>
      <c r="AH419" s="1804"/>
      <c r="AI419" s="1804"/>
      <c r="AJ419" s="1804"/>
      <c r="AK419" s="1804"/>
      <c r="AL419" s="1804"/>
      <c r="AM419" s="1804"/>
      <c r="AN419" s="1804"/>
      <c r="AO419" s="1804"/>
      <c r="AP419" s="1804"/>
      <c r="AQ419" s="1804"/>
      <c r="AR419" s="1804"/>
      <c r="AS419" s="1804"/>
      <c r="AT419" s="1804"/>
      <c r="AU419" s="1804"/>
      <c r="AV419" s="1804"/>
      <c r="AW419" s="1804"/>
      <c r="AX419" s="1804"/>
      <c r="AY419" s="1804"/>
      <c r="AZ419" s="1804"/>
      <c r="BA419" s="1804"/>
      <c r="BB419" s="1804"/>
      <c r="BC419" s="1804"/>
      <c r="BD419" s="1804"/>
      <c r="BE419" s="1804"/>
      <c r="BF419" s="1804"/>
      <c r="BG419" s="1804"/>
      <c r="BH419" s="1804"/>
      <c r="BI419" s="1804"/>
      <c r="BJ419" s="1804"/>
      <c r="BK419" s="1804"/>
      <c r="BL419" s="1804"/>
      <c r="BM419" s="1804"/>
      <c r="BN419" s="1804"/>
      <c r="BO419" s="1804"/>
      <c r="BP419" s="1804"/>
      <c r="BQ419" s="1804"/>
      <c r="BR419" s="1804"/>
      <c r="BS419" s="1804"/>
      <c r="BT419" s="1804"/>
      <c r="BU419" s="1804"/>
      <c r="BV419" s="1804"/>
      <c r="BW419" s="1804"/>
      <c r="BX419" s="1804"/>
      <c r="BY419" s="1804"/>
      <c r="BZ419" s="1804"/>
      <c r="CA419" s="1804"/>
      <c r="CB419" s="1804"/>
      <c r="CC419" s="1804"/>
      <c r="CD419" s="1804"/>
      <c r="CE419" s="1804"/>
      <c r="CF419" s="1804"/>
      <c r="CG419" s="1804"/>
      <c r="CH419" s="1804"/>
      <c r="CI419" s="1804"/>
      <c r="CJ419" s="1804"/>
      <c r="CK419" s="1804"/>
      <c r="CL419" s="1804"/>
      <c r="CM419" s="1804"/>
      <c r="CN419" s="1804"/>
      <c r="CO419" s="1804"/>
      <c r="CP419" s="1804"/>
      <c r="CQ419" s="1804"/>
      <c r="CR419" s="1804"/>
      <c r="CS419" s="1804"/>
      <c r="CT419" s="1804"/>
      <c r="CU419" s="1804"/>
      <c r="CV419" s="1804"/>
      <c r="CW419" s="1804"/>
      <c r="CX419" s="1804"/>
      <c r="CY419" s="1804"/>
      <c r="CZ419" s="1804"/>
      <c r="DA419" s="1804"/>
      <c r="DB419" s="1804"/>
      <c r="DC419" s="1804"/>
      <c r="DD419" s="1804"/>
      <c r="DE419" s="1804"/>
      <c r="DF419" s="1804"/>
      <c r="DG419" s="1804"/>
      <c r="DH419" s="1804"/>
      <c r="DI419" s="1804"/>
      <c r="DJ419" s="1804"/>
      <c r="DK419" s="1804"/>
      <c r="DL419" s="1804"/>
      <c r="DM419" s="1804"/>
      <c r="DN419" s="1804"/>
      <c r="DO419" s="1804"/>
      <c r="DP419" s="1804"/>
      <c r="DQ419" s="1804"/>
      <c r="DR419" s="1804"/>
      <c r="DS419" s="1804"/>
      <c r="DT419" s="1804"/>
      <c r="DU419" s="1804"/>
      <c r="DV419" s="1804"/>
      <c r="DW419" s="1804"/>
      <c r="DX419" s="1804"/>
      <c r="DY419" s="1804"/>
      <c r="DZ419" s="1804"/>
      <c r="EA419" s="1804"/>
      <c r="EB419" s="1804"/>
      <c r="EC419" s="1804"/>
      <c r="ED419" s="1804"/>
      <c r="EE419" s="1804"/>
      <c r="EF419" s="1804"/>
      <c r="EG419" s="1804"/>
      <c r="EH419" s="1804"/>
      <c r="EI419" s="1804"/>
      <c r="EJ419" s="1804"/>
      <c r="EK419" s="1804"/>
      <c r="EL419" s="1804"/>
      <c r="EM419" s="1804"/>
      <c r="EN419" s="1804"/>
      <c r="EO419" s="1804"/>
      <c r="EP419" s="1804"/>
      <c r="EQ419" s="1804"/>
      <c r="ER419" s="1804"/>
      <c r="ES419" s="1804"/>
      <c r="ET419" s="1804"/>
      <c r="EU419" s="1804"/>
      <c r="EV419" s="1804"/>
      <c r="EW419" s="1804"/>
      <c r="EX419" s="1804"/>
      <c r="EY419" s="1804"/>
      <c r="EZ419" s="1804"/>
      <c r="FA419" s="1804"/>
      <c r="FB419" s="1804"/>
      <c r="FC419" s="1804"/>
      <c r="FD419" s="1804"/>
      <c r="FE419" s="1804"/>
      <c r="FF419" s="1804"/>
      <c r="FG419" s="1804"/>
      <c r="FH419" s="1804"/>
      <c r="FI419" s="1804"/>
      <c r="FJ419" s="1804"/>
      <c r="FK419" s="1804"/>
      <c r="FL419" s="1804"/>
      <c r="FM419" s="1804"/>
      <c r="FN419" s="1804"/>
      <c r="FO419" s="1804"/>
      <c r="FP419" s="1804"/>
      <c r="FQ419" s="1804"/>
      <c r="FR419" s="1804"/>
      <c r="FS419" s="1804"/>
      <c r="FT419" s="1804"/>
      <c r="FU419" s="1804"/>
      <c r="FV419" s="1804"/>
      <c r="FW419" s="1804"/>
      <c r="FX419" s="1804"/>
      <c r="FY419" s="1804"/>
      <c r="FZ419" s="1804"/>
      <c r="GA419" s="1804"/>
      <c r="GB419" s="1804"/>
      <c r="GC419" s="1804"/>
      <c r="GD419" s="1804"/>
      <c r="GE419" s="1804"/>
      <c r="GF419" s="1804"/>
      <c r="GG419" s="1804"/>
      <c r="GH419" s="1804"/>
      <c r="GI419" s="1804"/>
      <c r="GJ419" s="1804"/>
      <c r="GK419" s="1804"/>
      <c r="GL419" s="1804"/>
      <c r="GM419" s="1804"/>
      <c r="GN419" s="1804"/>
      <c r="GO419" s="1804"/>
      <c r="GP419" s="1804"/>
      <c r="GQ419" s="1804"/>
      <c r="GR419" s="1804"/>
      <c r="GS419" s="1804"/>
      <c r="GT419" s="1804"/>
      <c r="GU419" s="1804"/>
      <c r="GV419" s="1804"/>
      <c r="GW419" s="1804"/>
      <c r="GX419" s="1804"/>
      <c r="GY419" s="1804"/>
      <c r="GZ419" s="1804"/>
      <c r="HA419" s="1804"/>
      <c r="HB419" s="1804"/>
      <c r="HC419" s="1804"/>
      <c r="HD419" s="1804"/>
      <c r="HE419" s="1804"/>
      <c r="HF419" s="1804"/>
      <c r="HG419" s="1804"/>
      <c r="HH419" s="1804"/>
      <c r="HI419" s="1804"/>
      <c r="HJ419" s="1804"/>
      <c r="HK419" s="1804"/>
      <c r="HL419" s="1804"/>
      <c r="HM419" s="1804"/>
      <c r="HN419" s="1804"/>
      <c r="HO419" s="1804"/>
      <c r="HP419" s="1804"/>
      <c r="HQ419" s="1804"/>
      <c r="HR419" s="1804"/>
      <c r="HS419" s="1804"/>
      <c r="HT419" s="1804"/>
      <c r="HU419" s="1804"/>
      <c r="HV419" s="1804"/>
      <c r="HW419" s="1804"/>
      <c r="HX419" s="1804"/>
      <c r="HY419" s="1804"/>
      <c r="HZ419" s="1804"/>
      <c r="IA419" s="1804"/>
      <c r="IB419" s="1804"/>
      <c r="IC419" s="1804"/>
      <c r="ID419" s="1804"/>
      <c r="IE419" s="1804"/>
      <c r="IF419" s="1804"/>
      <c r="IG419" s="1804"/>
      <c r="IH419" s="1804"/>
      <c r="II419" s="1804"/>
      <c r="IJ419" s="1804"/>
      <c r="IK419" s="1804"/>
      <c r="IL419" s="1804"/>
      <c r="IM419" s="1804"/>
      <c r="IN419" s="1804"/>
      <c r="IO419" s="1804"/>
      <c r="IP419" s="1804"/>
      <c r="IQ419" s="1804"/>
      <c r="IR419" s="1804"/>
      <c r="IS419" s="1804"/>
      <c r="IT419" s="1804"/>
      <c r="IU419" s="1804"/>
      <c r="IV419" s="1804"/>
      <c r="IW419" s="1804"/>
    </row>
    <row r="420" spans="3:257" s="888" customFormat="1" x14ac:dyDescent="0.45">
      <c r="C420" s="67" t="s">
        <v>557</v>
      </c>
      <c r="D420" s="68" t="s">
        <v>660</v>
      </c>
      <c r="E420" s="69"/>
      <c r="F420" s="153">
        <v>2787.1629297099998</v>
      </c>
      <c r="G420" s="153">
        <v>10101.298044266699</v>
      </c>
      <c r="H420" s="153">
        <v>72511.973729302001</v>
      </c>
      <c r="I420" s="153">
        <v>19517.797261511001</v>
      </c>
      <c r="J420" s="153">
        <v>17497.308816033899</v>
      </c>
      <c r="K420" s="154">
        <v>21292.611191607</v>
      </c>
      <c r="L420" s="153">
        <v>5576.1904486479898</v>
      </c>
      <c r="M420" s="155">
        <f t="shared" si="72"/>
        <v>149284.34242107859</v>
      </c>
      <c r="N420" s="2110">
        <v>204.32479749999999</v>
      </c>
      <c r="O420" s="2113">
        <v>2409.0782495999997</v>
      </c>
      <c r="P420" s="2116">
        <f t="shared" si="73"/>
        <v>151897.74546817859</v>
      </c>
      <c r="Q420" s="1810"/>
      <c r="R420" s="1810"/>
      <c r="S420" s="1837"/>
      <c r="T420" s="1837"/>
      <c r="U420" s="1837"/>
      <c r="V420" s="1837"/>
      <c r="W420" s="1837"/>
      <c r="X420" s="1837"/>
      <c r="Y420" s="1810"/>
      <c r="Z420" s="1804"/>
      <c r="AA420" s="1804"/>
      <c r="AB420" s="1804"/>
      <c r="AC420" s="1804"/>
      <c r="AD420" s="1804"/>
      <c r="AE420" s="1804"/>
      <c r="AF420" s="1804"/>
      <c r="AG420" s="1804"/>
      <c r="AH420" s="1804"/>
      <c r="AI420" s="1804"/>
      <c r="AJ420" s="1804"/>
      <c r="AK420" s="1804"/>
      <c r="AL420" s="1804"/>
      <c r="AM420" s="1804"/>
      <c r="AN420" s="1804"/>
      <c r="AO420" s="1804"/>
      <c r="AP420" s="1804"/>
      <c r="AQ420" s="1804"/>
      <c r="AR420" s="1804"/>
      <c r="AS420" s="1804"/>
      <c r="AT420" s="1804"/>
      <c r="AU420" s="1804"/>
      <c r="AV420" s="1804"/>
      <c r="AW420" s="1804"/>
      <c r="AX420" s="1804"/>
      <c r="AY420" s="1804"/>
      <c r="AZ420" s="1804"/>
      <c r="BA420" s="1804"/>
      <c r="BB420" s="1804"/>
      <c r="BC420" s="1804"/>
      <c r="BD420" s="1804"/>
      <c r="BE420" s="1804"/>
      <c r="BF420" s="1804"/>
      <c r="BG420" s="1804"/>
      <c r="BH420" s="1804"/>
      <c r="BI420" s="1804"/>
      <c r="BJ420" s="1804"/>
      <c r="BK420" s="1804"/>
      <c r="BL420" s="1804"/>
      <c r="BM420" s="1804"/>
      <c r="BN420" s="1804"/>
      <c r="BO420" s="1804"/>
      <c r="BP420" s="1804"/>
      <c r="BQ420" s="1804"/>
      <c r="BR420" s="1804"/>
      <c r="BS420" s="1804"/>
      <c r="BT420" s="1804"/>
      <c r="BU420" s="1804"/>
      <c r="BV420" s="1804"/>
      <c r="BW420" s="1804"/>
      <c r="BX420" s="1804"/>
      <c r="BY420" s="1804"/>
      <c r="BZ420" s="1804"/>
      <c r="CA420" s="1804"/>
      <c r="CB420" s="1804"/>
      <c r="CC420" s="1804"/>
      <c r="CD420" s="1804"/>
      <c r="CE420" s="1804"/>
      <c r="CF420" s="1804"/>
      <c r="CG420" s="1804"/>
      <c r="CH420" s="1804"/>
      <c r="CI420" s="1804"/>
      <c r="CJ420" s="1804"/>
      <c r="CK420" s="1804"/>
      <c r="CL420" s="1804"/>
      <c r="CM420" s="1804"/>
      <c r="CN420" s="1804"/>
      <c r="CO420" s="1804"/>
      <c r="CP420" s="1804"/>
      <c r="CQ420" s="1804"/>
      <c r="CR420" s="1804"/>
      <c r="CS420" s="1804"/>
      <c r="CT420" s="1804"/>
      <c r="CU420" s="1804"/>
      <c r="CV420" s="1804"/>
      <c r="CW420" s="1804"/>
      <c r="CX420" s="1804"/>
      <c r="CY420" s="1804"/>
      <c r="CZ420" s="1804"/>
      <c r="DA420" s="1804"/>
      <c r="DB420" s="1804"/>
      <c r="DC420" s="1804"/>
      <c r="DD420" s="1804"/>
      <c r="DE420" s="1804"/>
      <c r="DF420" s="1804"/>
      <c r="DG420" s="1804"/>
      <c r="DH420" s="1804"/>
      <c r="DI420" s="1804"/>
      <c r="DJ420" s="1804"/>
      <c r="DK420" s="1804"/>
      <c r="DL420" s="1804"/>
      <c r="DM420" s="1804"/>
      <c r="DN420" s="1804"/>
      <c r="DO420" s="1804"/>
      <c r="DP420" s="1804"/>
      <c r="DQ420" s="1804"/>
      <c r="DR420" s="1804"/>
      <c r="DS420" s="1804"/>
      <c r="DT420" s="1804"/>
      <c r="DU420" s="1804"/>
      <c r="DV420" s="1804"/>
      <c r="DW420" s="1804"/>
      <c r="DX420" s="1804"/>
      <c r="DY420" s="1804"/>
      <c r="DZ420" s="1804"/>
      <c r="EA420" s="1804"/>
      <c r="EB420" s="1804"/>
      <c r="EC420" s="1804"/>
      <c r="ED420" s="1804"/>
      <c r="EE420" s="1804"/>
      <c r="EF420" s="1804"/>
      <c r="EG420" s="1804"/>
      <c r="EH420" s="1804"/>
      <c r="EI420" s="1804"/>
      <c r="EJ420" s="1804"/>
      <c r="EK420" s="1804"/>
      <c r="EL420" s="1804"/>
      <c r="EM420" s="1804"/>
      <c r="EN420" s="1804"/>
      <c r="EO420" s="1804"/>
      <c r="EP420" s="1804"/>
      <c r="EQ420" s="1804"/>
      <c r="ER420" s="1804"/>
      <c r="ES420" s="1804"/>
      <c r="ET420" s="1804"/>
      <c r="EU420" s="1804"/>
      <c r="EV420" s="1804"/>
      <c r="EW420" s="1804"/>
      <c r="EX420" s="1804"/>
      <c r="EY420" s="1804"/>
      <c r="EZ420" s="1804"/>
      <c r="FA420" s="1804"/>
      <c r="FB420" s="1804"/>
      <c r="FC420" s="1804"/>
      <c r="FD420" s="1804"/>
      <c r="FE420" s="1804"/>
      <c r="FF420" s="1804"/>
      <c r="FG420" s="1804"/>
      <c r="FH420" s="1804"/>
      <c r="FI420" s="1804"/>
      <c r="FJ420" s="1804"/>
      <c r="FK420" s="1804"/>
      <c r="FL420" s="1804"/>
      <c r="FM420" s="1804"/>
      <c r="FN420" s="1804"/>
      <c r="FO420" s="1804"/>
      <c r="FP420" s="1804"/>
      <c r="FQ420" s="1804"/>
      <c r="FR420" s="1804"/>
      <c r="FS420" s="1804"/>
      <c r="FT420" s="1804"/>
      <c r="FU420" s="1804"/>
      <c r="FV420" s="1804"/>
      <c r="FW420" s="1804"/>
      <c r="FX420" s="1804"/>
      <c r="FY420" s="1804"/>
      <c r="FZ420" s="1804"/>
      <c r="GA420" s="1804"/>
      <c r="GB420" s="1804"/>
      <c r="GC420" s="1804"/>
      <c r="GD420" s="1804"/>
      <c r="GE420" s="1804"/>
      <c r="GF420" s="1804"/>
      <c r="GG420" s="1804"/>
      <c r="GH420" s="1804"/>
      <c r="GI420" s="1804"/>
      <c r="GJ420" s="1804"/>
      <c r="GK420" s="1804"/>
      <c r="GL420" s="1804"/>
      <c r="GM420" s="1804"/>
      <c r="GN420" s="1804"/>
      <c r="GO420" s="1804"/>
      <c r="GP420" s="1804"/>
      <c r="GQ420" s="1804"/>
      <c r="GR420" s="1804"/>
      <c r="GS420" s="1804"/>
      <c r="GT420" s="1804"/>
      <c r="GU420" s="1804"/>
      <c r="GV420" s="1804"/>
      <c r="GW420" s="1804"/>
      <c r="GX420" s="1804"/>
      <c r="GY420" s="1804"/>
      <c r="GZ420" s="1804"/>
      <c r="HA420" s="1804"/>
      <c r="HB420" s="1804"/>
      <c r="HC420" s="1804"/>
      <c r="HD420" s="1804"/>
      <c r="HE420" s="1804"/>
      <c r="HF420" s="1804"/>
      <c r="HG420" s="1804"/>
      <c r="HH420" s="1804"/>
      <c r="HI420" s="1804"/>
      <c r="HJ420" s="1804"/>
      <c r="HK420" s="1804"/>
      <c r="HL420" s="1804"/>
      <c r="HM420" s="1804"/>
      <c r="HN420" s="1804"/>
      <c r="HO420" s="1804"/>
      <c r="HP420" s="1804"/>
      <c r="HQ420" s="1804"/>
      <c r="HR420" s="1804"/>
      <c r="HS420" s="1804"/>
      <c r="HT420" s="1804"/>
      <c r="HU420" s="1804"/>
      <c r="HV420" s="1804"/>
      <c r="HW420" s="1804"/>
      <c r="HX420" s="1804"/>
      <c r="HY420" s="1804"/>
      <c r="HZ420" s="1804"/>
      <c r="IA420" s="1804"/>
      <c r="IB420" s="1804"/>
      <c r="IC420" s="1804"/>
      <c r="ID420" s="1804"/>
      <c r="IE420" s="1804"/>
      <c r="IF420" s="1804"/>
      <c r="IG420" s="1804"/>
      <c r="IH420" s="1804"/>
      <c r="II420" s="1804"/>
      <c r="IJ420" s="1804"/>
      <c r="IK420" s="1804"/>
      <c r="IL420" s="1804"/>
      <c r="IM420" s="1804"/>
      <c r="IN420" s="1804"/>
      <c r="IO420" s="1804"/>
      <c r="IP420" s="1804"/>
      <c r="IQ420" s="1804"/>
      <c r="IR420" s="1804"/>
      <c r="IS420" s="1804"/>
      <c r="IT420" s="1804"/>
      <c r="IU420" s="1804"/>
      <c r="IV420" s="1804"/>
      <c r="IW420" s="1804"/>
    </row>
    <row r="421" spans="3:257" s="888" customFormat="1" x14ac:dyDescent="0.45">
      <c r="C421" s="67" t="s">
        <v>558</v>
      </c>
      <c r="D421" s="68" t="s">
        <v>661</v>
      </c>
      <c r="E421" s="69"/>
      <c r="F421" s="153">
        <v>1328.9421502529999</v>
      </c>
      <c r="G421" s="153">
        <v>9446.0591971472095</v>
      </c>
      <c r="H421" s="153">
        <v>97766.354736200199</v>
      </c>
      <c r="I421" s="153">
        <v>18734.374634020001</v>
      </c>
      <c r="J421" s="153">
        <v>18062.383438284502</v>
      </c>
      <c r="K421" s="154">
        <v>15623.699943654001</v>
      </c>
      <c r="L421" s="153">
        <v>6068.9963338990101</v>
      </c>
      <c r="M421" s="155">
        <f t="shared" si="72"/>
        <v>167030.81043345793</v>
      </c>
      <c r="N421" s="2110">
        <v>160.63476000000003</v>
      </c>
      <c r="O421" s="2113">
        <v>1897.6206707999995</v>
      </c>
      <c r="P421" s="2116">
        <f t="shared" si="73"/>
        <v>169089.06586425792</v>
      </c>
      <c r="Q421" s="1810"/>
      <c r="R421" s="1810"/>
      <c r="S421" s="1837"/>
      <c r="T421" s="1837"/>
      <c r="U421" s="1837"/>
      <c r="V421" s="1837"/>
      <c r="W421" s="1837"/>
      <c r="X421" s="1837"/>
      <c r="Y421" s="1810"/>
      <c r="Z421" s="1804"/>
      <c r="AA421" s="1804"/>
      <c r="AB421" s="1804"/>
      <c r="AC421" s="1804"/>
      <c r="AD421" s="1804"/>
      <c r="AE421" s="1804"/>
      <c r="AF421" s="1804"/>
      <c r="AG421" s="1804"/>
      <c r="AH421" s="1804"/>
      <c r="AI421" s="1804"/>
      <c r="AJ421" s="1804"/>
      <c r="AK421" s="1804"/>
      <c r="AL421" s="1804"/>
      <c r="AM421" s="1804"/>
      <c r="AN421" s="1804"/>
      <c r="AO421" s="1804"/>
      <c r="AP421" s="1804"/>
      <c r="AQ421" s="1804"/>
      <c r="AR421" s="1804"/>
      <c r="AS421" s="1804"/>
      <c r="AT421" s="1804"/>
      <c r="AU421" s="1804"/>
      <c r="AV421" s="1804"/>
      <c r="AW421" s="1804"/>
      <c r="AX421" s="1804"/>
      <c r="AY421" s="1804"/>
      <c r="AZ421" s="1804"/>
      <c r="BA421" s="1804"/>
      <c r="BB421" s="1804"/>
      <c r="BC421" s="1804"/>
      <c r="BD421" s="1804"/>
      <c r="BE421" s="1804"/>
      <c r="BF421" s="1804"/>
      <c r="BG421" s="1804"/>
      <c r="BH421" s="1804"/>
      <c r="BI421" s="1804"/>
      <c r="BJ421" s="1804"/>
      <c r="BK421" s="1804"/>
      <c r="BL421" s="1804"/>
      <c r="BM421" s="1804"/>
      <c r="BN421" s="1804"/>
      <c r="BO421" s="1804"/>
      <c r="BP421" s="1804"/>
      <c r="BQ421" s="1804"/>
      <c r="BR421" s="1804"/>
      <c r="BS421" s="1804"/>
      <c r="BT421" s="1804"/>
      <c r="BU421" s="1804"/>
      <c r="BV421" s="1804"/>
      <c r="BW421" s="1804"/>
      <c r="BX421" s="1804"/>
      <c r="BY421" s="1804"/>
      <c r="BZ421" s="1804"/>
      <c r="CA421" s="1804"/>
      <c r="CB421" s="1804"/>
      <c r="CC421" s="1804"/>
      <c r="CD421" s="1804"/>
      <c r="CE421" s="1804"/>
      <c r="CF421" s="1804"/>
      <c r="CG421" s="1804"/>
      <c r="CH421" s="1804"/>
      <c r="CI421" s="1804"/>
      <c r="CJ421" s="1804"/>
      <c r="CK421" s="1804"/>
      <c r="CL421" s="1804"/>
      <c r="CM421" s="1804"/>
      <c r="CN421" s="1804"/>
      <c r="CO421" s="1804"/>
      <c r="CP421" s="1804"/>
      <c r="CQ421" s="1804"/>
      <c r="CR421" s="1804"/>
      <c r="CS421" s="1804"/>
      <c r="CT421" s="1804"/>
      <c r="CU421" s="1804"/>
      <c r="CV421" s="1804"/>
      <c r="CW421" s="1804"/>
      <c r="CX421" s="1804"/>
      <c r="CY421" s="1804"/>
      <c r="CZ421" s="1804"/>
      <c r="DA421" s="1804"/>
      <c r="DB421" s="1804"/>
      <c r="DC421" s="1804"/>
      <c r="DD421" s="1804"/>
      <c r="DE421" s="1804"/>
      <c r="DF421" s="1804"/>
      <c r="DG421" s="1804"/>
      <c r="DH421" s="1804"/>
      <c r="DI421" s="1804"/>
      <c r="DJ421" s="1804"/>
      <c r="DK421" s="1804"/>
      <c r="DL421" s="1804"/>
      <c r="DM421" s="1804"/>
      <c r="DN421" s="1804"/>
      <c r="DO421" s="1804"/>
      <c r="DP421" s="1804"/>
      <c r="DQ421" s="1804"/>
      <c r="DR421" s="1804"/>
      <c r="DS421" s="1804"/>
      <c r="DT421" s="1804"/>
      <c r="DU421" s="1804"/>
      <c r="DV421" s="1804"/>
      <c r="DW421" s="1804"/>
      <c r="DX421" s="1804"/>
      <c r="DY421" s="1804"/>
      <c r="DZ421" s="1804"/>
      <c r="EA421" s="1804"/>
      <c r="EB421" s="1804"/>
      <c r="EC421" s="1804"/>
      <c r="ED421" s="1804"/>
      <c r="EE421" s="1804"/>
      <c r="EF421" s="1804"/>
      <c r="EG421" s="1804"/>
      <c r="EH421" s="1804"/>
      <c r="EI421" s="1804"/>
      <c r="EJ421" s="1804"/>
      <c r="EK421" s="1804"/>
      <c r="EL421" s="1804"/>
      <c r="EM421" s="1804"/>
      <c r="EN421" s="1804"/>
      <c r="EO421" s="1804"/>
      <c r="EP421" s="1804"/>
      <c r="EQ421" s="1804"/>
      <c r="ER421" s="1804"/>
      <c r="ES421" s="1804"/>
      <c r="ET421" s="1804"/>
      <c r="EU421" s="1804"/>
      <c r="EV421" s="1804"/>
      <c r="EW421" s="1804"/>
      <c r="EX421" s="1804"/>
      <c r="EY421" s="1804"/>
      <c r="EZ421" s="1804"/>
      <c r="FA421" s="1804"/>
      <c r="FB421" s="1804"/>
      <c r="FC421" s="1804"/>
      <c r="FD421" s="1804"/>
      <c r="FE421" s="1804"/>
      <c r="FF421" s="1804"/>
      <c r="FG421" s="1804"/>
      <c r="FH421" s="1804"/>
      <c r="FI421" s="1804"/>
      <c r="FJ421" s="1804"/>
      <c r="FK421" s="1804"/>
      <c r="FL421" s="1804"/>
      <c r="FM421" s="1804"/>
      <c r="FN421" s="1804"/>
      <c r="FO421" s="1804"/>
      <c r="FP421" s="1804"/>
      <c r="FQ421" s="1804"/>
      <c r="FR421" s="1804"/>
      <c r="FS421" s="1804"/>
      <c r="FT421" s="1804"/>
      <c r="FU421" s="1804"/>
      <c r="FV421" s="1804"/>
      <c r="FW421" s="1804"/>
      <c r="FX421" s="1804"/>
      <c r="FY421" s="1804"/>
      <c r="FZ421" s="1804"/>
      <c r="GA421" s="1804"/>
      <c r="GB421" s="1804"/>
      <c r="GC421" s="1804"/>
      <c r="GD421" s="1804"/>
      <c r="GE421" s="1804"/>
      <c r="GF421" s="1804"/>
      <c r="GG421" s="1804"/>
      <c r="GH421" s="1804"/>
      <c r="GI421" s="1804"/>
      <c r="GJ421" s="1804"/>
      <c r="GK421" s="1804"/>
      <c r="GL421" s="1804"/>
      <c r="GM421" s="1804"/>
      <c r="GN421" s="1804"/>
      <c r="GO421" s="1804"/>
      <c r="GP421" s="1804"/>
      <c r="GQ421" s="1804"/>
      <c r="GR421" s="1804"/>
      <c r="GS421" s="1804"/>
      <c r="GT421" s="1804"/>
      <c r="GU421" s="1804"/>
      <c r="GV421" s="1804"/>
      <c r="GW421" s="1804"/>
      <c r="GX421" s="1804"/>
      <c r="GY421" s="1804"/>
      <c r="GZ421" s="1804"/>
      <c r="HA421" s="1804"/>
      <c r="HB421" s="1804"/>
      <c r="HC421" s="1804"/>
      <c r="HD421" s="1804"/>
      <c r="HE421" s="1804"/>
      <c r="HF421" s="1804"/>
      <c r="HG421" s="1804"/>
      <c r="HH421" s="1804"/>
      <c r="HI421" s="1804"/>
      <c r="HJ421" s="1804"/>
      <c r="HK421" s="1804"/>
      <c r="HL421" s="1804"/>
      <c r="HM421" s="1804"/>
      <c r="HN421" s="1804"/>
      <c r="HO421" s="1804"/>
      <c r="HP421" s="1804"/>
      <c r="HQ421" s="1804"/>
      <c r="HR421" s="1804"/>
      <c r="HS421" s="1804"/>
      <c r="HT421" s="1804"/>
      <c r="HU421" s="1804"/>
      <c r="HV421" s="1804"/>
      <c r="HW421" s="1804"/>
      <c r="HX421" s="1804"/>
      <c r="HY421" s="1804"/>
      <c r="HZ421" s="1804"/>
      <c r="IA421" s="1804"/>
      <c r="IB421" s="1804"/>
      <c r="IC421" s="1804"/>
      <c r="ID421" s="1804"/>
      <c r="IE421" s="1804"/>
      <c r="IF421" s="1804"/>
      <c r="IG421" s="1804"/>
      <c r="IH421" s="1804"/>
      <c r="II421" s="1804"/>
      <c r="IJ421" s="1804"/>
      <c r="IK421" s="1804"/>
      <c r="IL421" s="1804"/>
      <c r="IM421" s="1804"/>
      <c r="IN421" s="1804"/>
      <c r="IO421" s="1804"/>
      <c r="IP421" s="1804"/>
      <c r="IQ421" s="1804"/>
      <c r="IR421" s="1804"/>
      <c r="IS421" s="1804"/>
      <c r="IT421" s="1804"/>
      <c r="IU421" s="1804"/>
      <c r="IV421" s="1804"/>
      <c r="IW421" s="1804"/>
    </row>
    <row r="422" spans="3:257" s="888" customFormat="1" x14ac:dyDescent="0.45">
      <c r="C422" s="67" t="s">
        <v>559</v>
      </c>
      <c r="D422" s="68" t="s">
        <v>662</v>
      </c>
      <c r="E422" s="69"/>
      <c r="F422" s="153">
        <v>3201.0102631749901</v>
      </c>
      <c r="G422" s="153">
        <v>5943.5643179139897</v>
      </c>
      <c r="H422" s="153">
        <v>88106.699306602706</v>
      </c>
      <c r="I422" s="153">
        <v>18404.681256388001</v>
      </c>
      <c r="J422" s="153">
        <v>22271.521474054</v>
      </c>
      <c r="K422" s="154">
        <v>15315.630649093</v>
      </c>
      <c r="L422" s="153">
        <v>3913.2677537720001</v>
      </c>
      <c r="M422" s="155">
        <f t="shared" si="72"/>
        <v>157156.37502099868</v>
      </c>
      <c r="N422" s="2110">
        <v>174.34660999999997</v>
      </c>
      <c r="O422" s="2113">
        <v>1913.2696341999997</v>
      </c>
      <c r="P422" s="2116">
        <f t="shared" si="73"/>
        <v>159243.99126519868</v>
      </c>
      <c r="Q422" s="1810"/>
      <c r="R422" s="1810"/>
      <c r="S422" s="1837"/>
      <c r="T422" s="1837"/>
      <c r="U422" s="1837"/>
      <c r="V422" s="1837"/>
      <c r="W422" s="1837"/>
      <c r="X422" s="1837"/>
      <c r="Y422" s="1810"/>
      <c r="Z422" s="1804"/>
      <c r="AA422" s="1804"/>
      <c r="AB422" s="1804"/>
      <c r="AC422" s="1804"/>
      <c r="AD422" s="1804"/>
      <c r="AE422" s="1804"/>
      <c r="AF422" s="1804"/>
      <c r="AG422" s="1804"/>
      <c r="AH422" s="1804"/>
      <c r="AI422" s="1804"/>
      <c r="AJ422" s="1804"/>
      <c r="AK422" s="1804"/>
      <c r="AL422" s="1804"/>
      <c r="AM422" s="1804"/>
      <c r="AN422" s="1804"/>
      <c r="AO422" s="1804"/>
      <c r="AP422" s="1804"/>
      <c r="AQ422" s="1804"/>
      <c r="AR422" s="1804"/>
      <c r="AS422" s="1804"/>
      <c r="AT422" s="1804"/>
      <c r="AU422" s="1804"/>
      <c r="AV422" s="1804"/>
      <c r="AW422" s="1804"/>
      <c r="AX422" s="1804"/>
      <c r="AY422" s="1804"/>
      <c r="AZ422" s="1804"/>
      <c r="BA422" s="1804"/>
      <c r="BB422" s="1804"/>
      <c r="BC422" s="1804"/>
      <c r="BD422" s="1804"/>
      <c r="BE422" s="1804"/>
      <c r="BF422" s="1804"/>
      <c r="BG422" s="1804"/>
      <c r="BH422" s="1804"/>
      <c r="BI422" s="1804"/>
      <c r="BJ422" s="1804"/>
      <c r="BK422" s="1804"/>
      <c r="BL422" s="1804"/>
      <c r="BM422" s="1804"/>
      <c r="BN422" s="1804"/>
      <c r="BO422" s="1804"/>
      <c r="BP422" s="1804"/>
      <c r="BQ422" s="1804"/>
      <c r="BR422" s="1804"/>
      <c r="BS422" s="1804"/>
      <c r="BT422" s="1804"/>
      <c r="BU422" s="1804"/>
      <c r="BV422" s="1804"/>
      <c r="BW422" s="1804"/>
      <c r="BX422" s="1804"/>
      <c r="BY422" s="1804"/>
      <c r="BZ422" s="1804"/>
      <c r="CA422" s="1804"/>
      <c r="CB422" s="1804"/>
      <c r="CC422" s="1804"/>
      <c r="CD422" s="1804"/>
      <c r="CE422" s="1804"/>
      <c r="CF422" s="1804"/>
      <c r="CG422" s="1804"/>
      <c r="CH422" s="1804"/>
      <c r="CI422" s="1804"/>
      <c r="CJ422" s="1804"/>
      <c r="CK422" s="1804"/>
      <c r="CL422" s="1804"/>
      <c r="CM422" s="1804"/>
      <c r="CN422" s="1804"/>
      <c r="CO422" s="1804"/>
      <c r="CP422" s="1804"/>
      <c r="CQ422" s="1804"/>
      <c r="CR422" s="1804"/>
      <c r="CS422" s="1804"/>
      <c r="CT422" s="1804"/>
      <c r="CU422" s="1804"/>
      <c r="CV422" s="1804"/>
      <c r="CW422" s="1804"/>
      <c r="CX422" s="1804"/>
      <c r="CY422" s="1804"/>
      <c r="CZ422" s="1804"/>
      <c r="DA422" s="1804"/>
      <c r="DB422" s="1804"/>
      <c r="DC422" s="1804"/>
      <c r="DD422" s="1804"/>
      <c r="DE422" s="1804"/>
      <c r="DF422" s="1804"/>
      <c r="DG422" s="1804"/>
      <c r="DH422" s="1804"/>
      <c r="DI422" s="1804"/>
      <c r="DJ422" s="1804"/>
      <c r="DK422" s="1804"/>
      <c r="DL422" s="1804"/>
      <c r="DM422" s="1804"/>
      <c r="DN422" s="1804"/>
      <c r="DO422" s="1804"/>
      <c r="DP422" s="1804"/>
      <c r="DQ422" s="1804"/>
      <c r="DR422" s="1804"/>
      <c r="DS422" s="1804"/>
      <c r="DT422" s="1804"/>
      <c r="DU422" s="1804"/>
      <c r="DV422" s="1804"/>
      <c r="DW422" s="1804"/>
      <c r="DX422" s="1804"/>
      <c r="DY422" s="1804"/>
      <c r="DZ422" s="1804"/>
      <c r="EA422" s="1804"/>
      <c r="EB422" s="1804"/>
      <c r="EC422" s="1804"/>
      <c r="ED422" s="1804"/>
      <c r="EE422" s="1804"/>
      <c r="EF422" s="1804"/>
      <c r="EG422" s="1804"/>
      <c r="EH422" s="1804"/>
      <c r="EI422" s="1804"/>
      <c r="EJ422" s="1804"/>
      <c r="EK422" s="1804"/>
      <c r="EL422" s="1804"/>
      <c r="EM422" s="1804"/>
      <c r="EN422" s="1804"/>
      <c r="EO422" s="1804"/>
      <c r="EP422" s="1804"/>
      <c r="EQ422" s="1804"/>
      <c r="ER422" s="1804"/>
      <c r="ES422" s="1804"/>
      <c r="ET422" s="1804"/>
      <c r="EU422" s="1804"/>
      <c r="EV422" s="1804"/>
      <c r="EW422" s="1804"/>
      <c r="EX422" s="1804"/>
      <c r="EY422" s="1804"/>
      <c r="EZ422" s="1804"/>
      <c r="FA422" s="1804"/>
      <c r="FB422" s="1804"/>
      <c r="FC422" s="1804"/>
      <c r="FD422" s="1804"/>
      <c r="FE422" s="1804"/>
      <c r="FF422" s="1804"/>
      <c r="FG422" s="1804"/>
      <c r="FH422" s="1804"/>
      <c r="FI422" s="1804"/>
      <c r="FJ422" s="1804"/>
      <c r="FK422" s="1804"/>
      <c r="FL422" s="1804"/>
      <c r="FM422" s="1804"/>
      <c r="FN422" s="1804"/>
      <c r="FO422" s="1804"/>
      <c r="FP422" s="1804"/>
      <c r="FQ422" s="1804"/>
      <c r="FR422" s="1804"/>
      <c r="FS422" s="1804"/>
      <c r="FT422" s="1804"/>
      <c r="FU422" s="1804"/>
      <c r="FV422" s="1804"/>
      <c r="FW422" s="1804"/>
      <c r="FX422" s="1804"/>
      <c r="FY422" s="1804"/>
      <c r="FZ422" s="1804"/>
      <c r="GA422" s="1804"/>
      <c r="GB422" s="1804"/>
      <c r="GC422" s="1804"/>
      <c r="GD422" s="1804"/>
      <c r="GE422" s="1804"/>
      <c r="GF422" s="1804"/>
      <c r="GG422" s="1804"/>
      <c r="GH422" s="1804"/>
      <c r="GI422" s="1804"/>
      <c r="GJ422" s="1804"/>
      <c r="GK422" s="1804"/>
      <c r="GL422" s="1804"/>
      <c r="GM422" s="1804"/>
      <c r="GN422" s="1804"/>
      <c r="GO422" s="1804"/>
      <c r="GP422" s="1804"/>
      <c r="GQ422" s="1804"/>
      <c r="GR422" s="1804"/>
      <c r="GS422" s="1804"/>
      <c r="GT422" s="1804"/>
      <c r="GU422" s="1804"/>
      <c r="GV422" s="1804"/>
      <c r="GW422" s="1804"/>
      <c r="GX422" s="1804"/>
      <c r="GY422" s="1804"/>
      <c r="GZ422" s="1804"/>
      <c r="HA422" s="1804"/>
      <c r="HB422" s="1804"/>
      <c r="HC422" s="1804"/>
      <c r="HD422" s="1804"/>
      <c r="HE422" s="1804"/>
      <c r="HF422" s="1804"/>
      <c r="HG422" s="1804"/>
      <c r="HH422" s="1804"/>
      <c r="HI422" s="1804"/>
      <c r="HJ422" s="1804"/>
      <c r="HK422" s="1804"/>
      <c r="HL422" s="1804"/>
      <c r="HM422" s="1804"/>
      <c r="HN422" s="1804"/>
      <c r="HO422" s="1804"/>
      <c r="HP422" s="1804"/>
      <c r="HQ422" s="1804"/>
      <c r="HR422" s="1804"/>
      <c r="HS422" s="1804"/>
      <c r="HT422" s="1804"/>
      <c r="HU422" s="1804"/>
      <c r="HV422" s="1804"/>
      <c r="HW422" s="1804"/>
      <c r="HX422" s="1804"/>
      <c r="HY422" s="1804"/>
      <c r="HZ422" s="1804"/>
      <c r="IA422" s="1804"/>
      <c r="IB422" s="1804"/>
      <c r="IC422" s="1804"/>
      <c r="ID422" s="1804"/>
      <c r="IE422" s="1804"/>
      <c r="IF422" s="1804"/>
      <c r="IG422" s="1804"/>
      <c r="IH422" s="1804"/>
      <c r="II422" s="1804"/>
      <c r="IJ422" s="1804"/>
      <c r="IK422" s="1804"/>
      <c r="IL422" s="1804"/>
      <c r="IM422" s="1804"/>
      <c r="IN422" s="1804"/>
      <c r="IO422" s="1804"/>
      <c r="IP422" s="1804"/>
      <c r="IQ422" s="1804"/>
      <c r="IR422" s="1804"/>
      <c r="IS422" s="1804"/>
      <c r="IT422" s="1804"/>
      <c r="IU422" s="1804"/>
      <c r="IV422" s="1804"/>
      <c r="IW422" s="1804"/>
    </row>
    <row r="423" spans="3:257" s="888" customFormat="1" ht="14.65" thickBot="1" x14ac:dyDescent="0.5">
      <c r="C423" s="67" t="s">
        <v>560</v>
      </c>
      <c r="D423" s="68" t="s">
        <v>663</v>
      </c>
      <c r="E423" s="69"/>
      <c r="F423" s="153">
        <v>4986.324500232</v>
      </c>
      <c r="G423" s="153">
        <v>40552.165806898804</v>
      </c>
      <c r="H423" s="153">
        <v>82394.108785586795</v>
      </c>
      <c r="I423" s="153">
        <v>23490.502097633998</v>
      </c>
      <c r="J423" s="153">
        <v>53700.173512984002</v>
      </c>
      <c r="K423" s="154">
        <v>19342.391117474101</v>
      </c>
      <c r="L423" s="153">
        <v>4436.7632798349996</v>
      </c>
      <c r="M423" s="155">
        <f t="shared" si="72"/>
        <v>228902.42910064469</v>
      </c>
      <c r="N423" s="2111">
        <v>185.54455999999999</v>
      </c>
      <c r="O423" s="2114">
        <v>2661.8992145999996</v>
      </c>
      <c r="P423" s="2117">
        <f t="shared" si="73"/>
        <v>231749.87287524471</v>
      </c>
      <c r="Q423" s="1810"/>
      <c r="R423" s="1810"/>
      <c r="S423" s="1837"/>
      <c r="T423" s="1837"/>
      <c r="U423" s="1837"/>
      <c r="V423" s="1837"/>
      <c r="W423" s="1837"/>
      <c r="X423" s="1837"/>
      <c r="Y423" s="1810"/>
      <c r="Z423" s="1804"/>
      <c r="AA423" s="1804"/>
      <c r="AB423" s="1804"/>
      <c r="AC423" s="1804"/>
      <c r="AD423" s="1804"/>
      <c r="AE423" s="1804"/>
      <c r="AF423" s="1804"/>
      <c r="AG423" s="1804"/>
      <c r="AH423" s="1804"/>
      <c r="AI423" s="1804"/>
      <c r="AJ423" s="1804"/>
      <c r="AK423" s="1804"/>
      <c r="AL423" s="1804"/>
      <c r="AM423" s="1804"/>
      <c r="AN423" s="1804"/>
      <c r="AO423" s="1804"/>
      <c r="AP423" s="1804"/>
      <c r="AQ423" s="1804"/>
      <c r="AR423" s="1804"/>
      <c r="AS423" s="1804"/>
      <c r="AT423" s="1804"/>
      <c r="AU423" s="1804"/>
      <c r="AV423" s="1804"/>
      <c r="AW423" s="1804"/>
      <c r="AX423" s="1804"/>
      <c r="AY423" s="1804"/>
      <c r="AZ423" s="1804"/>
      <c r="BA423" s="1804"/>
      <c r="BB423" s="1804"/>
      <c r="BC423" s="1804"/>
      <c r="BD423" s="1804"/>
      <c r="BE423" s="1804"/>
      <c r="BF423" s="1804"/>
      <c r="BG423" s="1804"/>
      <c r="BH423" s="1804"/>
      <c r="BI423" s="1804"/>
      <c r="BJ423" s="1804"/>
      <c r="BK423" s="1804"/>
      <c r="BL423" s="1804"/>
      <c r="BM423" s="1804"/>
      <c r="BN423" s="1804"/>
      <c r="BO423" s="1804"/>
      <c r="BP423" s="1804"/>
      <c r="BQ423" s="1804"/>
      <c r="BR423" s="1804"/>
      <c r="BS423" s="1804"/>
      <c r="BT423" s="1804"/>
      <c r="BU423" s="1804"/>
      <c r="BV423" s="1804"/>
      <c r="BW423" s="1804"/>
      <c r="BX423" s="1804"/>
      <c r="BY423" s="1804"/>
      <c r="BZ423" s="1804"/>
      <c r="CA423" s="1804"/>
      <c r="CB423" s="1804"/>
      <c r="CC423" s="1804"/>
      <c r="CD423" s="1804"/>
      <c r="CE423" s="1804"/>
      <c r="CF423" s="1804"/>
      <c r="CG423" s="1804"/>
      <c r="CH423" s="1804"/>
      <c r="CI423" s="1804"/>
      <c r="CJ423" s="1804"/>
      <c r="CK423" s="1804"/>
      <c r="CL423" s="1804"/>
      <c r="CM423" s="1804"/>
      <c r="CN423" s="1804"/>
      <c r="CO423" s="1804"/>
      <c r="CP423" s="1804"/>
      <c r="CQ423" s="1804"/>
      <c r="CR423" s="1804"/>
      <c r="CS423" s="1804"/>
      <c r="CT423" s="1804"/>
      <c r="CU423" s="1804"/>
      <c r="CV423" s="1804"/>
      <c r="CW423" s="1804"/>
      <c r="CX423" s="1804"/>
      <c r="CY423" s="1804"/>
      <c r="CZ423" s="1804"/>
      <c r="DA423" s="1804"/>
      <c r="DB423" s="1804"/>
      <c r="DC423" s="1804"/>
      <c r="DD423" s="1804"/>
      <c r="DE423" s="1804"/>
      <c r="DF423" s="1804"/>
      <c r="DG423" s="1804"/>
      <c r="DH423" s="1804"/>
      <c r="DI423" s="1804"/>
      <c r="DJ423" s="1804"/>
      <c r="DK423" s="1804"/>
      <c r="DL423" s="1804"/>
      <c r="DM423" s="1804"/>
      <c r="DN423" s="1804"/>
      <c r="DO423" s="1804"/>
      <c r="DP423" s="1804"/>
      <c r="DQ423" s="1804"/>
      <c r="DR423" s="1804"/>
      <c r="DS423" s="1804"/>
      <c r="DT423" s="1804"/>
      <c r="DU423" s="1804"/>
      <c r="DV423" s="1804"/>
      <c r="DW423" s="1804"/>
      <c r="DX423" s="1804"/>
      <c r="DY423" s="1804"/>
      <c r="DZ423" s="1804"/>
      <c r="EA423" s="1804"/>
      <c r="EB423" s="1804"/>
      <c r="EC423" s="1804"/>
      <c r="ED423" s="1804"/>
      <c r="EE423" s="1804"/>
      <c r="EF423" s="1804"/>
      <c r="EG423" s="1804"/>
      <c r="EH423" s="1804"/>
      <c r="EI423" s="1804"/>
      <c r="EJ423" s="1804"/>
      <c r="EK423" s="1804"/>
      <c r="EL423" s="1804"/>
      <c r="EM423" s="1804"/>
      <c r="EN423" s="1804"/>
      <c r="EO423" s="1804"/>
      <c r="EP423" s="1804"/>
      <c r="EQ423" s="1804"/>
      <c r="ER423" s="1804"/>
      <c r="ES423" s="1804"/>
      <c r="ET423" s="1804"/>
      <c r="EU423" s="1804"/>
      <c r="EV423" s="1804"/>
      <c r="EW423" s="1804"/>
      <c r="EX423" s="1804"/>
      <c r="EY423" s="1804"/>
      <c r="EZ423" s="1804"/>
      <c r="FA423" s="1804"/>
      <c r="FB423" s="1804"/>
      <c r="FC423" s="1804"/>
      <c r="FD423" s="1804"/>
      <c r="FE423" s="1804"/>
      <c r="FF423" s="1804"/>
      <c r="FG423" s="1804"/>
      <c r="FH423" s="1804"/>
      <c r="FI423" s="1804"/>
      <c r="FJ423" s="1804"/>
      <c r="FK423" s="1804"/>
      <c r="FL423" s="1804"/>
      <c r="FM423" s="1804"/>
      <c r="FN423" s="1804"/>
      <c r="FO423" s="1804"/>
      <c r="FP423" s="1804"/>
      <c r="FQ423" s="1804"/>
      <c r="FR423" s="1804"/>
      <c r="FS423" s="1804"/>
      <c r="FT423" s="1804"/>
      <c r="FU423" s="1804"/>
      <c r="FV423" s="1804"/>
      <c r="FW423" s="1804"/>
      <c r="FX423" s="1804"/>
      <c r="FY423" s="1804"/>
      <c r="FZ423" s="1804"/>
      <c r="GA423" s="1804"/>
      <c r="GB423" s="1804"/>
      <c r="GC423" s="1804"/>
      <c r="GD423" s="1804"/>
      <c r="GE423" s="1804"/>
      <c r="GF423" s="1804"/>
      <c r="GG423" s="1804"/>
      <c r="GH423" s="1804"/>
      <c r="GI423" s="1804"/>
      <c r="GJ423" s="1804"/>
      <c r="GK423" s="1804"/>
      <c r="GL423" s="1804"/>
      <c r="GM423" s="1804"/>
      <c r="GN423" s="1804"/>
      <c r="GO423" s="1804"/>
      <c r="GP423" s="1804"/>
      <c r="GQ423" s="1804"/>
      <c r="GR423" s="1804"/>
      <c r="GS423" s="1804"/>
      <c r="GT423" s="1804"/>
      <c r="GU423" s="1804"/>
      <c r="GV423" s="1804"/>
      <c r="GW423" s="1804"/>
      <c r="GX423" s="1804"/>
      <c r="GY423" s="1804"/>
      <c r="GZ423" s="1804"/>
      <c r="HA423" s="1804"/>
      <c r="HB423" s="1804"/>
      <c r="HC423" s="1804"/>
      <c r="HD423" s="1804"/>
      <c r="HE423" s="1804"/>
      <c r="HF423" s="1804"/>
      <c r="HG423" s="1804"/>
      <c r="HH423" s="1804"/>
      <c r="HI423" s="1804"/>
      <c r="HJ423" s="1804"/>
      <c r="HK423" s="1804"/>
      <c r="HL423" s="1804"/>
      <c r="HM423" s="1804"/>
      <c r="HN423" s="1804"/>
      <c r="HO423" s="1804"/>
      <c r="HP423" s="1804"/>
      <c r="HQ423" s="1804"/>
      <c r="HR423" s="1804"/>
      <c r="HS423" s="1804"/>
      <c r="HT423" s="1804"/>
      <c r="HU423" s="1804"/>
      <c r="HV423" s="1804"/>
      <c r="HW423" s="1804"/>
      <c r="HX423" s="1804"/>
      <c r="HY423" s="1804"/>
      <c r="HZ423" s="1804"/>
      <c r="IA423" s="1804"/>
      <c r="IB423" s="1804"/>
      <c r="IC423" s="1804"/>
      <c r="ID423" s="1804"/>
      <c r="IE423" s="1804"/>
      <c r="IF423" s="1804"/>
      <c r="IG423" s="1804"/>
      <c r="IH423" s="1804"/>
      <c r="II423" s="1804"/>
      <c r="IJ423" s="1804"/>
      <c r="IK423" s="1804"/>
      <c r="IL423" s="1804"/>
      <c r="IM423" s="1804"/>
      <c r="IN423" s="1804"/>
      <c r="IO423" s="1804"/>
      <c r="IP423" s="1804"/>
      <c r="IQ423" s="1804"/>
      <c r="IR423" s="1804"/>
      <c r="IS423" s="1804"/>
      <c r="IT423" s="1804"/>
      <c r="IU423" s="1804"/>
      <c r="IV423" s="1804"/>
      <c r="IW423" s="1804"/>
    </row>
    <row r="424" spans="3:257" s="888" customFormat="1" ht="14.65" thickBot="1" x14ac:dyDescent="0.5">
      <c r="C424" s="82" t="s">
        <v>665</v>
      </c>
      <c r="D424" s="2310"/>
      <c r="E424" s="2311"/>
      <c r="F424" s="156">
        <f t="shared" ref="F424:M424" si="74">SUM(F391:F423)</f>
        <v>68104.010734728028</v>
      </c>
      <c r="G424" s="156">
        <f t="shared" si="74"/>
        <v>254010.59148181923</v>
      </c>
      <c r="H424" s="156">
        <f t="shared" si="74"/>
        <v>3543498.7092723907</v>
      </c>
      <c r="I424" s="146">
        <f t="shared" si="74"/>
        <v>657594.61955454724</v>
      </c>
      <c r="J424" s="156">
        <f t="shared" si="74"/>
        <v>758310.599927856</v>
      </c>
      <c r="K424" s="157">
        <f t="shared" si="74"/>
        <v>567470.83791683998</v>
      </c>
      <c r="L424" s="156">
        <f t="shared" si="74"/>
        <v>296842.57025277911</v>
      </c>
      <c r="M424" s="158">
        <f t="shared" si="74"/>
        <v>6145831.9391409596</v>
      </c>
      <c r="N424" s="158">
        <f>SUM(N391:N423)</f>
        <v>5868.1458475000009</v>
      </c>
      <c r="O424" s="158">
        <f>SUM(O391:O423)</f>
        <v>68786.304449999996</v>
      </c>
      <c r="P424" s="158">
        <f>SUM(P391:P423)</f>
        <v>6220486.3894384587</v>
      </c>
      <c r="Q424" s="1804"/>
      <c r="R424" s="1804"/>
      <c r="S424" s="1804"/>
      <c r="T424" s="1804"/>
      <c r="U424" s="1804"/>
      <c r="V424" s="1804"/>
      <c r="W424" s="1804"/>
      <c r="X424" s="1804"/>
      <c r="Y424" s="1804"/>
      <c r="Z424" s="1804"/>
      <c r="AA424" s="1804"/>
      <c r="AB424" s="1804"/>
      <c r="AC424" s="1804"/>
      <c r="AD424" s="1804"/>
      <c r="AE424" s="1804"/>
      <c r="AF424" s="1804"/>
      <c r="AG424" s="1804"/>
      <c r="AH424" s="1804"/>
      <c r="AI424" s="1804"/>
      <c r="AJ424" s="1804"/>
      <c r="AK424" s="1804"/>
      <c r="AL424" s="1804"/>
      <c r="AM424" s="1804"/>
      <c r="AN424" s="1804"/>
      <c r="AO424" s="1804"/>
      <c r="AP424" s="1804"/>
      <c r="AQ424" s="1804"/>
      <c r="AR424" s="1804"/>
      <c r="AS424" s="1804"/>
      <c r="AT424" s="1804"/>
      <c r="AU424" s="1804"/>
      <c r="AV424" s="1804"/>
      <c r="AW424" s="1804"/>
      <c r="AX424" s="1804"/>
      <c r="AY424" s="1804"/>
      <c r="AZ424" s="1804"/>
      <c r="BA424" s="1804"/>
      <c r="BB424" s="1804"/>
      <c r="BC424" s="1804"/>
      <c r="BD424" s="1804"/>
      <c r="BE424" s="1804"/>
      <c r="BF424" s="1804"/>
      <c r="BG424" s="1804"/>
      <c r="BH424" s="1804"/>
      <c r="BI424" s="1804"/>
      <c r="BJ424" s="1804"/>
      <c r="BK424" s="1804"/>
      <c r="BL424" s="1804"/>
      <c r="BM424" s="1804"/>
      <c r="BN424" s="1804"/>
      <c r="BO424" s="1804"/>
      <c r="BP424" s="1804"/>
      <c r="BQ424" s="1804"/>
      <c r="BR424" s="1804"/>
      <c r="BS424" s="1804"/>
      <c r="BT424" s="1804"/>
      <c r="BU424" s="1804"/>
      <c r="BV424" s="1804"/>
      <c r="BW424" s="1804"/>
      <c r="BX424" s="1804"/>
      <c r="BY424" s="1804"/>
      <c r="BZ424" s="1804"/>
      <c r="CA424" s="1804"/>
      <c r="CB424" s="1804"/>
      <c r="CC424" s="1804"/>
      <c r="CD424" s="1804"/>
      <c r="CE424" s="1804"/>
      <c r="CF424" s="1804"/>
      <c r="CG424" s="1804"/>
      <c r="CH424" s="1804"/>
      <c r="CI424" s="1804"/>
      <c r="CJ424" s="1804"/>
      <c r="CK424" s="1804"/>
      <c r="CL424" s="1804"/>
      <c r="CM424" s="1804"/>
      <c r="CN424" s="1804"/>
      <c r="CO424" s="1804"/>
      <c r="CP424" s="1804"/>
      <c r="CQ424" s="1804"/>
      <c r="CR424" s="1804"/>
      <c r="CS424" s="1804"/>
      <c r="CT424" s="1804"/>
      <c r="CU424" s="1804"/>
      <c r="CV424" s="1804"/>
      <c r="CW424" s="1804"/>
      <c r="CX424" s="1804"/>
      <c r="CY424" s="1804"/>
      <c r="CZ424" s="1804"/>
      <c r="DA424" s="1804"/>
      <c r="DB424" s="1804"/>
      <c r="DC424" s="1804"/>
      <c r="DD424" s="1804"/>
      <c r="DE424" s="1804"/>
      <c r="DF424" s="1804"/>
      <c r="DG424" s="1804"/>
      <c r="DH424" s="1804"/>
      <c r="DI424" s="1804"/>
      <c r="DJ424" s="1804"/>
      <c r="DK424" s="1804"/>
      <c r="DL424" s="1804"/>
      <c r="DM424" s="1804"/>
      <c r="DN424" s="1804"/>
      <c r="DO424" s="1804"/>
      <c r="DP424" s="1804"/>
      <c r="DQ424" s="1804"/>
      <c r="DR424" s="1804"/>
      <c r="DS424" s="1804"/>
      <c r="DT424" s="1804"/>
      <c r="DU424" s="1804"/>
      <c r="DV424" s="1804"/>
      <c r="DW424" s="1804"/>
      <c r="DX424" s="1804"/>
      <c r="DY424" s="1804"/>
      <c r="DZ424" s="1804"/>
      <c r="EA424" s="1804"/>
      <c r="EB424" s="1804"/>
      <c r="EC424" s="1804"/>
      <c r="ED424" s="1804"/>
      <c r="EE424" s="1804"/>
      <c r="EF424" s="1804"/>
      <c r="EG424" s="1804"/>
      <c r="EH424" s="1804"/>
      <c r="EI424" s="1804"/>
      <c r="EJ424" s="1804"/>
      <c r="EK424" s="1804"/>
      <c r="EL424" s="1804"/>
      <c r="EM424" s="1804"/>
      <c r="EN424" s="1804"/>
      <c r="EO424" s="1804"/>
      <c r="EP424" s="1804"/>
      <c r="EQ424" s="1804"/>
      <c r="ER424" s="1804"/>
      <c r="ES424" s="1804"/>
      <c r="ET424" s="1804"/>
      <c r="EU424" s="1804"/>
      <c r="EV424" s="1804"/>
      <c r="EW424" s="1804"/>
      <c r="EX424" s="1804"/>
      <c r="EY424" s="1804"/>
      <c r="EZ424" s="1804"/>
      <c r="FA424" s="1804"/>
      <c r="FB424" s="1804"/>
      <c r="FC424" s="1804"/>
      <c r="FD424" s="1804"/>
      <c r="FE424" s="1804"/>
      <c r="FF424" s="1804"/>
      <c r="FG424" s="1804"/>
      <c r="FH424" s="1804"/>
      <c r="FI424" s="1804"/>
      <c r="FJ424" s="1804"/>
      <c r="FK424" s="1804"/>
      <c r="FL424" s="1804"/>
      <c r="FM424" s="1804"/>
      <c r="FN424" s="1804"/>
      <c r="FO424" s="1804"/>
      <c r="FP424" s="1804"/>
      <c r="FQ424" s="1804"/>
      <c r="FR424" s="1804"/>
      <c r="FS424" s="1804"/>
      <c r="FT424" s="1804"/>
      <c r="FU424" s="1804"/>
      <c r="FV424" s="1804"/>
      <c r="FW424" s="1804"/>
      <c r="FX424" s="1804"/>
      <c r="FY424" s="1804"/>
      <c r="FZ424" s="1804"/>
      <c r="GA424" s="1804"/>
      <c r="GB424" s="1804"/>
      <c r="GC424" s="1804"/>
      <c r="GD424" s="1804"/>
      <c r="GE424" s="1804"/>
      <c r="GF424" s="1804"/>
      <c r="GG424" s="1804"/>
      <c r="GH424" s="1804"/>
      <c r="GI424" s="1804"/>
      <c r="GJ424" s="1804"/>
      <c r="GK424" s="1804"/>
      <c r="GL424" s="1804"/>
      <c r="GM424" s="1804"/>
      <c r="GN424" s="1804"/>
      <c r="GO424" s="1804"/>
      <c r="GP424" s="1804"/>
      <c r="GQ424" s="1804"/>
      <c r="GR424" s="1804"/>
      <c r="GS424" s="1804"/>
      <c r="GT424" s="1804"/>
      <c r="GU424" s="1804"/>
      <c r="GV424" s="1804"/>
      <c r="GW424" s="1804"/>
      <c r="GX424" s="1804"/>
      <c r="GY424" s="1804"/>
      <c r="GZ424" s="1804"/>
      <c r="HA424" s="1804"/>
      <c r="HB424" s="1804"/>
      <c r="HC424" s="1804"/>
      <c r="HD424" s="1804"/>
      <c r="HE424" s="1804"/>
      <c r="HF424" s="1804"/>
      <c r="HG424" s="1804"/>
      <c r="HH424" s="1804"/>
      <c r="HI424" s="1804"/>
      <c r="HJ424" s="1804"/>
      <c r="HK424" s="1804"/>
      <c r="HL424" s="1804"/>
      <c r="HM424" s="1804"/>
      <c r="HN424" s="1804"/>
      <c r="HO424" s="1804"/>
      <c r="HP424" s="1804"/>
      <c r="HQ424" s="1804"/>
      <c r="HR424" s="1804"/>
      <c r="HS424" s="1804"/>
      <c r="HT424" s="1804"/>
      <c r="HU424" s="1804"/>
      <c r="HV424" s="1804"/>
      <c r="HW424" s="1804"/>
      <c r="HX424" s="1804"/>
      <c r="HY424" s="1804"/>
      <c r="HZ424" s="1804"/>
      <c r="IA424" s="1804"/>
      <c r="IB424" s="1804"/>
      <c r="IC424" s="1804"/>
      <c r="ID424" s="1804"/>
      <c r="IE424" s="1804"/>
      <c r="IF424" s="1804"/>
      <c r="IG424" s="1804"/>
      <c r="IH424" s="1804"/>
      <c r="II424" s="1804"/>
      <c r="IJ424" s="1804"/>
      <c r="IK424" s="1804"/>
      <c r="IL424" s="1804"/>
      <c r="IM424" s="1804"/>
      <c r="IN424" s="1804"/>
      <c r="IO424" s="1804"/>
      <c r="IP424" s="1804"/>
      <c r="IQ424" s="1804"/>
      <c r="IR424" s="1804"/>
      <c r="IS424" s="1804"/>
      <c r="IT424" s="1804"/>
      <c r="IU424" s="1804"/>
      <c r="IV424" s="1804"/>
      <c r="IW424" s="1804"/>
    </row>
    <row r="425" spans="3:257" s="888" customFormat="1" x14ac:dyDescent="0.45">
      <c r="C425" s="1804"/>
      <c r="D425" s="1804"/>
      <c r="E425" s="1804"/>
      <c r="F425" s="1804"/>
      <c r="G425" s="1804"/>
      <c r="H425" s="1804"/>
      <c r="I425" s="1804"/>
      <c r="J425" s="1804"/>
      <c r="K425" s="1804"/>
      <c r="L425" s="1804"/>
      <c r="M425" s="1804"/>
      <c r="N425" s="1804"/>
      <c r="O425" s="1804"/>
      <c r="P425" s="1804"/>
      <c r="Q425" s="1804"/>
      <c r="R425" s="1804"/>
      <c r="S425" s="1831"/>
      <c r="T425" s="1831"/>
      <c r="U425" s="1804"/>
      <c r="V425" s="1804"/>
      <c r="W425" s="1804"/>
      <c r="X425" s="1804"/>
      <c r="Y425" s="1804"/>
      <c r="Z425" s="1804"/>
      <c r="AA425" s="1804"/>
      <c r="AB425" s="1804"/>
      <c r="AC425" s="1804"/>
      <c r="AD425" s="1804"/>
      <c r="AE425" s="1804"/>
      <c r="AF425" s="1804"/>
      <c r="AG425" s="1804"/>
      <c r="AH425" s="1804"/>
      <c r="AI425" s="1804"/>
      <c r="AJ425" s="1804"/>
      <c r="AK425" s="1804"/>
      <c r="AL425" s="1804"/>
      <c r="AM425" s="1804"/>
      <c r="AN425" s="1804"/>
      <c r="AO425" s="1804"/>
      <c r="AP425" s="1804"/>
      <c r="AQ425" s="1804"/>
      <c r="AR425" s="1804"/>
      <c r="AS425" s="1804"/>
      <c r="AT425" s="1804"/>
      <c r="AU425" s="1804"/>
      <c r="AV425" s="1804"/>
      <c r="AW425" s="1804"/>
      <c r="AX425" s="1804"/>
      <c r="AY425" s="1804"/>
      <c r="AZ425" s="1804"/>
      <c r="BA425" s="1804"/>
      <c r="BB425" s="1804"/>
      <c r="BC425" s="1804"/>
      <c r="BD425" s="1804"/>
      <c r="BE425" s="1804"/>
      <c r="BF425" s="1804"/>
      <c r="BG425" s="1804"/>
      <c r="BH425" s="1804"/>
      <c r="BI425" s="1804"/>
      <c r="BJ425" s="1804"/>
      <c r="BK425" s="1804"/>
      <c r="BL425" s="1804"/>
      <c r="BM425" s="1804"/>
      <c r="BN425" s="1804"/>
      <c r="BO425" s="1804"/>
      <c r="BP425" s="1804"/>
      <c r="BQ425" s="1804"/>
      <c r="BR425" s="1804"/>
      <c r="BS425" s="1804"/>
      <c r="BT425" s="1804"/>
      <c r="BU425" s="1804"/>
      <c r="BV425" s="1804"/>
      <c r="BW425" s="1804"/>
      <c r="BX425" s="1804"/>
      <c r="BY425" s="1804"/>
      <c r="BZ425" s="1804"/>
      <c r="CA425" s="1804"/>
      <c r="CB425" s="1804"/>
      <c r="CC425" s="1804"/>
      <c r="CD425" s="1804"/>
      <c r="CE425" s="1804"/>
      <c r="CF425" s="1804"/>
      <c r="CG425" s="1804"/>
      <c r="CH425" s="1804"/>
      <c r="CI425" s="1804"/>
      <c r="CJ425" s="1804"/>
      <c r="CK425" s="1804"/>
      <c r="CL425" s="1804"/>
      <c r="CM425" s="1804"/>
      <c r="CN425" s="1804"/>
      <c r="CO425" s="1804"/>
      <c r="CP425" s="1804"/>
      <c r="CQ425" s="1804"/>
      <c r="CR425" s="1804"/>
      <c r="CS425" s="1804"/>
      <c r="CT425" s="1804"/>
      <c r="CU425" s="1804"/>
      <c r="CV425" s="1804"/>
      <c r="CW425" s="1804"/>
      <c r="CX425" s="1804"/>
      <c r="CY425" s="1804"/>
      <c r="CZ425" s="1804"/>
      <c r="DA425" s="1804"/>
      <c r="DB425" s="1804"/>
      <c r="DC425" s="1804"/>
      <c r="DD425" s="1804"/>
      <c r="DE425" s="1804"/>
      <c r="DF425" s="1804"/>
      <c r="DG425" s="1804"/>
      <c r="DH425" s="1804"/>
      <c r="DI425" s="1804"/>
      <c r="DJ425" s="1804"/>
      <c r="DK425" s="1804"/>
      <c r="DL425" s="1804"/>
      <c r="DM425" s="1804"/>
      <c r="DN425" s="1804"/>
      <c r="DO425" s="1804"/>
      <c r="DP425" s="1804"/>
      <c r="DQ425" s="1804"/>
      <c r="DR425" s="1804"/>
      <c r="DS425" s="1804"/>
      <c r="DT425" s="1804"/>
      <c r="DU425" s="1804"/>
      <c r="DV425" s="1804"/>
      <c r="DW425" s="1804"/>
      <c r="DX425" s="1804"/>
      <c r="DY425" s="1804"/>
      <c r="DZ425" s="1804"/>
      <c r="EA425" s="1804"/>
      <c r="EB425" s="1804"/>
      <c r="EC425" s="1804"/>
      <c r="ED425" s="1804"/>
      <c r="EE425" s="1804"/>
      <c r="EF425" s="1804"/>
      <c r="EG425" s="1804"/>
      <c r="EH425" s="1804"/>
      <c r="EI425" s="1804"/>
      <c r="EJ425" s="1804"/>
      <c r="EK425" s="1804"/>
      <c r="EL425" s="1804"/>
      <c r="EM425" s="1804"/>
      <c r="EN425" s="1804"/>
      <c r="EO425" s="1804"/>
      <c r="EP425" s="1804"/>
      <c r="EQ425" s="1804"/>
      <c r="ER425" s="1804"/>
      <c r="ES425" s="1804"/>
      <c r="ET425" s="1804"/>
      <c r="EU425" s="1804"/>
      <c r="EV425" s="1804"/>
      <c r="EW425" s="1804"/>
      <c r="EX425" s="1804"/>
      <c r="EY425" s="1804"/>
      <c r="EZ425" s="1804"/>
      <c r="FA425" s="1804"/>
      <c r="FB425" s="1804"/>
      <c r="FC425" s="1804"/>
      <c r="FD425" s="1804"/>
      <c r="FE425" s="1804"/>
      <c r="FF425" s="1804"/>
      <c r="FG425" s="1804"/>
      <c r="FH425" s="1804"/>
      <c r="FI425" s="1804"/>
      <c r="FJ425" s="1804"/>
      <c r="FK425" s="1804"/>
      <c r="FL425" s="1804"/>
      <c r="FM425" s="1804"/>
      <c r="FN425" s="1804"/>
      <c r="FO425" s="1804"/>
      <c r="FP425" s="1804"/>
      <c r="FQ425" s="1804"/>
      <c r="FR425" s="1804"/>
      <c r="FS425" s="1804"/>
      <c r="FT425" s="1804"/>
      <c r="FU425" s="1804"/>
      <c r="FV425" s="1804"/>
      <c r="FW425" s="1804"/>
      <c r="FX425" s="1804"/>
      <c r="FY425" s="1804"/>
      <c r="FZ425" s="1804"/>
      <c r="GA425" s="1804"/>
      <c r="GB425" s="1804"/>
      <c r="GC425" s="1804"/>
      <c r="GD425" s="1804"/>
      <c r="GE425" s="1804"/>
      <c r="GF425" s="1804"/>
      <c r="GG425" s="1804"/>
      <c r="GH425" s="1804"/>
      <c r="GI425" s="1804"/>
      <c r="GJ425" s="1804"/>
      <c r="GK425" s="1804"/>
      <c r="GL425" s="1804"/>
      <c r="GM425" s="1804"/>
      <c r="GN425" s="1804"/>
      <c r="GO425" s="1804"/>
      <c r="GP425" s="1804"/>
      <c r="GQ425" s="1804"/>
      <c r="GR425" s="1804"/>
      <c r="GS425" s="1804"/>
      <c r="GT425" s="1804"/>
      <c r="GU425" s="1804"/>
      <c r="GV425" s="1804"/>
      <c r="GW425" s="1804"/>
      <c r="GX425" s="1804"/>
      <c r="GY425" s="1804"/>
      <c r="GZ425" s="1804"/>
      <c r="HA425" s="1804"/>
      <c r="HB425" s="1804"/>
      <c r="HC425" s="1804"/>
      <c r="HD425" s="1804"/>
      <c r="HE425" s="1804"/>
      <c r="HF425" s="1804"/>
      <c r="HG425" s="1804"/>
      <c r="HH425" s="1804"/>
      <c r="HI425" s="1804"/>
      <c r="HJ425" s="1804"/>
      <c r="HK425" s="1804"/>
      <c r="HL425" s="1804"/>
      <c r="HM425" s="1804"/>
      <c r="HN425" s="1804"/>
      <c r="HO425" s="1804"/>
      <c r="HP425" s="1804"/>
      <c r="HQ425" s="1804"/>
      <c r="HR425" s="1804"/>
      <c r="HS425" s="1804"/>
      <c r="HT425" s="1804"/>
      <c r="HU425" s="1804"/>
      <c r="HV425" s="1804"/>
      <c r="HW425" s="1804"/>
      <c r="HX425" s="1804"/>
      <c r="HY425" s="1804"/>
      <c r="HZ425" s="1804"/>
      <c r="IA425" s="1804"/>
      <c r="IB425" s="1804"/>
      <c r="IC425" s="1804"/>
      <c r="ID425" s="1804"/>
      <c r="IE425" s="1804"/>
      <c r="IF425" s="1804"/>
      <c r="IG425" s="1804"/>
      <c r="IH425" s="1804"/>
      <c r="II425" s="1804"/>
      <c r="IJ425" s="1804"/>
      <c r="IK425" s="1804"/>
      <c r="IL425" s="1804"/>
      <c r="IM425" s="1804"/>
      <c r="IN425" s="1804"/>
      <c r="IO425" s="1804"/>
      <c r="IP425" s="1804"/>
      <c r="IQ425" s="1804"/>
      <c r="IR425" s="1804"/>
      <c r="IS425" s="1804"/>
      <c r="IT425" s="1804"/>
      <c r="IU425" s="1804"/>
      <c r="IV425" s="1804"/>
      <c r="IW425" s="1804"/>
    </row>
    <row r="426" spans="3:257" s="888" customFormat="1" ht="21" x14ac:dyDescent="0.45">
      <c r="C426" s="1803" t="s">
        <v>737</v>
      </c>
      <c r="D426" s="1803" t="s">
        <v>870</v>
      </c>
      <c r="E426" s="1804"/>
      <c r="F426" s="1828"/>
      <c r="G426" s="1828"/>
      <c r="H426" s="1828"/>
      <c r="I426" s="1828"/>
      <c r="J426" s="1830"/>
      <c r="K426" s="1830"/>
      <c r="L426" s="1828"/>
      <c r="M426" s="1828"/>
      <c r="N426" s="1830"/>
      <c r="O426" s="1830"/>
      <c r="P426" s="1804"/>
      <c r="Q426" s="1804"/>
      <c r="R426" s="1804"/>
      <c r="S426" s="1804"/>
      <c r="T426" s="1804"/>
      <c r="U426" s="1808"/>
      <c r="V426" s="1804"/>
      <c r="W426" s="1804"/>
      <c r="X426" s="1804"/>
      <c r="Y426" s="1804"/>
      <c r="Z426" s="1804"/>
      <c r="AA426" s="1804"/>
      <c r="AB426" s="1804"/>
      <c r="AC426" s="1804"/>
      <c r="AD426" s="1804"/>
      <c r="AE426" s="1804"/>
      <c r="AF426" s="1804"/>
      <c r="AG426" s="1804"/>
      <c r="AH426" s="1804"/>
      <c r="AI426" s="1804"/>
      <c r="AJ426" s="1804"/>
      <c r="AK426" s="1804"/>
      <c r="AL426" s="1804"/>
      <c r="AM426" s="1804"/>
      <c r="AN426" s="1804"/>
      <c r="AO426" s="1804"/>
      <c r="AP426" s="1804"/>
      <c r="AQ426" s="1804"/>
      <c r="AR426" s="1804"/>
      <c r="AS426" s="1804"/>
      <c r="AT426" s="1804"/>
      <c r="AU426" s="1804"/>
      <c r="AV426" s="1804"/>
      <c r="AW426" s="1804"/>
      <c r="AX426" s="1804"/>
      <c r="AY426" s="1804"/>
      <c r="AZ426" s="1804"/>
      <c r="BA426" s="1804"/>
      <c r="BB426" s="1804"/>
      <c r="BC426" s="1804"/>
      <c r="BD426" s="1804"/>
      <c r="BE426" s="1804"/>
      <c r="BF426" s="1804"/>
      <c r="BG426" s="1804"/>
      <c r="BH426" s="1804"/>
      <c r="BI426" s="1804"/>
      <c r="BJ426" s="1804"/>
      <c r="BK426" s="1804"/>
      <c r="BL426" s="1804"/>
      <c r="BM426" s="1804"/>
      <c r="BN426" s="1804"/>
      <c r="BO426" s="1804"/>
      <c r="BP426" s="1804"/>
      <c r="BQ426" s="1804"/>
      <c r="BR426" s="1804"/>
      <c r="BS426" s="1804"/>
      <c r="BT426" s="1804"/>
      <c r="BU426" s="1804"/>
      <c r="BV426" s="1804"/>
      <c r="BW426" s="1804"/>
      <c r="BX426" s="1804"/>
      <c r="BY426" s="1804"/>
      <c r="BZ426" s="1804"/>
      <c r="CA426" s="1804"/>
      <c r="CB426" s="1804"/>
      <c r="CC426" s="1804"/>
      <c r="CD426" s="1804"/>
      <c r="CE426" s="1804"/>
      <c r="CF426" s="1804"/>
      <c r="CG426" s="1804"/>
      <c r="CH426" s="1804"/>
      <c r="CI426" s="1804"/>
      <c r="CJ426" s="1804"/>
      <c r="CK426" s="1804"/>
      <c r="CL426" s="1804"/>
      <c r="CM426" s="1804"/>
      <c r="CN426" s="1804"/>
      <c r="CO426" s="1804"/>
      <c r="CP426" s="1804"/>
      <c r="CQ426" s="1804"/>
      <c r="CR426" s="1804"/>
      <c r="CS426" s="1804"/>
      <c r="CT426" s="1804"/>
      <c r="CU426" s="1804"/>
      <c r="CV426" s="1804"/>
      <c r="CW426" s="1804"/>
      <c r="CX426" s="1804"/>
      <c r="CY426" s="1804"/>
      <c r="CZ426" s="1804"/>
      <c r="DA426" s="1804"/>
      <c r="DB426" s="1804"/>
      <c r="DC426" s="1804"/>
      <c r="DD426" s="1804"/>
      <c r="DE426" s="1804"/>
      <c r="DF426" s="1804"/>
      <c r="DG426" s="1804"/>
      <c r="DH426" s="1804"/>
      <c r="DI426" s="1804"/>
      <c r="DJ426" s="1804"/>
      <c r="DK426" s="1804"/>
      <c r="DL426" s="1804"/>
      <c r="DM426" s="1804"/>
      <c r="DN426" s="1804"/>
      <c r="DO426" s="1804"/>
      <c r="DP426" s="1804"/>
      <c r="DQ426" s="1804"/>
      <c r="DR426" s="1804"/>
      <c r="DS426" s="1804"/>
      <c r="DT426" s="1804"/>
      <c r="DU426" s="1804"/>
      <c r="DV426" s="1804"/>
      <c r="DW426" s="1804"/>
      <c r="DX426" s="1804"/>
      <c r="DY426" s="1804"/>
      <c r="DZ426" s="1804"/>
      <c r="EA426" s="1804"/>
      <c r="EB426" s="1804"/>
      <c r="EC426" s="1804"/>
      <c r="ED426" s="1804"/>
      <c r="EE426" s="1804"/>
      <c r="EF426" s="1804"/>
      <c r="EG426" s="1804"/>
      <c r="EH426" s="1804"/>
      <c r="EI426" s="1804"/>
      <c r="EJ426" s="1804"/>
      <c r="EK426" s="1804"/>
      <c r="EL426" s="1804"/>
      <c r="EM426" s="1804"/>
      <c r="EN426" s="1804"/>
      <c r="EO426" s="1804"/>
      <c r="EP426" s="1804"/>
      <c r="EQ426" s="1804"/>
      <c r="ER426" s="1804"/>
      <c r="ES426" s="1804"/>
      <c r="ET426" s="1804"/>
      <c r="EU426" s="1804"/>
      <c r="EV426" s="1804"/>
      <c r="EW426" s="1804"/>
      <c r="EX426" s="1804"/>
      <c r="EY426" s="1804"/>
      <c r="EZ426" s="1804"/>
      <c r="FA426" s="1804"/>
      <c r="FB426" s="1804"/>
      <c r="FC426" s="1804"/>
      <c r="FD426" s="1804"/>
      <c r="FE426" s="1804"/>
      <c r="FF426" s="1804"/>
      <c r="FG426" s="1804"/>
      <c r="FH426" s="1804"/>
      <c r="FI426" s="1804"/>
      <c r="FJ426" s="1804"/>
      <c r="FK426" s="1804"/>
      <c r="FL426" s="1804"/>
      <c r="FM426" s="1804"/>
      <c r="FN426" s="1804"/>
      <c r="FO426" s="1804"/>
      <c r="FP426" s="1804"/>
      <c r="FQ426" s="1804"/>
      <c r="FR426" s="1804"/>
      <c r="FS426" s="1804"/>
      <c r="FT426" s="1804"/>
      <c r="FU426" s="1804"/>
      <c r="FV426" s="1804"/>
      <c r="FW426" s="1804"/>
      <c r="FX426" s="1804"/>
      <c r="FY426" s="1804"/>
      <c r="FZ426" s="1804"/>
      <c r="GA426" s="1804"/>
      <c r="GB426" s="1804"/>
      <c r="GC426" s="1804"/>
      <c r="GD426" s="1804"/>
      <c r="GE426" s="1804"/>
      <c r="GF426" s="1804"/>
      <c r="GG426" s="1804"/>
      <c r="GH426" s="1804"/>
      <c r="GI426" s="1804"/>
      <c r="GJ426" s="1804"/>
      <c r="GK426" s="1804"/>
      <c r="GL426" s="1804"/>
      <c r="GM426" s="1804"/>
      <c r="GN426" s="1804"/>
      <c r="GO426" s="1804"/>
      <c r="GP426" s="1804"/>
      <c r="GQ426" s="1804"/>
      <c r="GR426" s="1804"/>
      <c r="GS426" s="1804"/>
      <c r="GT426" s="1804"/>
      <c r="GU426" s="1804"/>
      <c r="GV426" s="1804"/>
      <c r="GW426" s="1804"/>
      <c r="GX426" s="1804"/>
      <c r="GY426" s="1804"/>
      <c r="GZ426" s="1804"/>
      <c r="HA426" s="1804"/>
      <c r="HB426" s="1804"/>
      <c r="HC426" s="1804"/>
      <c r="HD426" s="1804"/>
      <c r="HE426" s="1804"/>
      <c r="HF426" s="1804"/>
      <c r="HG426" s="1804"/>
      <c r="HH426" s="1804"/>
      <c r="HI426" s="1804"/>
      <c r="HJ426" s="1804"/>
      <c r="HK426" s="1804"/>
      <c r="HL426" s="1804"/>
      <c r="HM426" s="1804"/>
      <c r="HN426" s="1804"/>
      <c r="HO426" s="1804"/>
      <c r="HP426" s="1804"/>
      <c r="HQ426" s="1804"/>
      <c r="HR426" s="1804"/>
      <c r="HS426" s="1804"/>
      <c r="HT426" s="1804"/>
      <c r="HU426" s="1804"/>
      <c r="HV426" s="1804"/>
      <c r="HW426" s="1804"/>
      <c r="HX426" s="1804"/>
      <c r="HY426" s="1804"/>
      <c r="HZ426" s="1804"/>
      <c r="IA426" s="1804"/>
      <c r="IB426" s="1804"/>
      <c r="IC426" s="1804"/>
      <c r="ID426" s="1804"/>
      <c r="IE426" s="1804"/>
      <c r="IF426" s="1804"/>
      <c r="IG426" s="1804"/>
      <c r="IH426" s="1804"/>
      <c r="II426" s="1804"/>
      <c r="IJ426" s="1804"/>
      <c r="IK426" s="1804"/>
      <c r="IL426" s="1804"/>
      <c r="IM426" s="1804"/>
      <c r="IN426" s="1804"/>
      <c r="IO426" s="1804"/>
      <c r="IP426" s="1804"/>
      <c r="IQ426" s="1804"/>
      <c r="IR426" s="1804"/>
      <c r="IS426" s="1804"/>
      <c r="IT426" s="1804"/>
      <c r="IU426" s="1804"/>
      <c r="IV426" s="1804"/>
      <c r="IW426" s="1804"/>
    </row>
    <row r="427" spans="3:257" s="888" customFormat="1" ht="21.4" thickBot="1" x14ac:dyDescent="0.5">
      <c r="C427" s="1803"/>
      <c r="D427" s="1803"/>
      <c r="E427" s="1804"/>
      <c r="F427" s="1828"/>
      <c r="G427" s="1828"/>
      <c r="H427" s="1828"/>
      <c r="I427" s="1828"/>
      <c r="J427" s="1830"/>
      <c r="K427" s="1830"/>
      <c r="L427" s="1828"/>
      <c r="M427" s="1828"/>
      <c r="N427" s="1830"/>
      <c r="O427" s="1830"/>
      <c r="P427" s="1804"/>
      <c r="Q427" s="1804"/>
      <c r="R427" s="1804"/>
      <c r="S427" s="1804"/>
      <c r="T427" s="1808"/>
      <c r="U427" s="1804"/>
      <c r="V427" s="1804"/>
      <c r="W427" s="1804"/>
      <c r="X427" s="1804"/>
      <c r="Y427" s="1804"/>
      <c r="Z427" s="1804"/>
      <c r="AA427" s="1804"/>
      <c r="AB427" s="1804"/>
      <c r="AC427" s="1804"/>
      <c r="AD427" s="1804"/>
      <c r="AE427" s="1804"/>
      <c r="AF427" s="1804"/>
      <c r="AG427" s="1804"/>
      <c r="AH427" s="1804"/>
      <c r="AI427" s="1804"/>
      <c r="AJ427" s="1804"/>
      <c r="AK427" s="1804"/>
      <c r="AL427" s="1804"/>
      <c r="AM427" s="1804"/>
      <c r="AN427" s="1804"/>
      <c r="AO427" s="1804"/>
      <c r="AP427" s="1804"/>
      <c r="AQ427" s="1804"/>
      <c r="AR427" s="1804"/>
      <c r="AS427" s="1804"/>
      <c r="AT427" s="1804"/>
      <c r="AU427" s="1804"/>
      <c r="AV427" s="1804"/>
      <c r="AW427" s="1804"/>
      <c r="AX427" s="1804"/>
      <c r="AY427" s="1804"/>
      <c r="AZ427" s="1804"/>
      <c r="BA427" s="1804"/>
      <c r="BB427" s="1804"/>
      <c r="BC427" s="1804"/>
      <c r="BD427" s="1804"/>
      <c r="BE427" s="1804"/>
      <c r="BF427" s="1804"/>
      <c r="BG427" s="1804"/>
      <c r="BH427" s="1804"/>
      <c r="BI427" s="1804"/>
      <c r="BJ427" s="1804"/>
      <c r="BK427" s="1804"/>
      <c r="BL427" s="1804"/>
      <c r="BM427" s="1804"/>
      <c r="BN427" s="1804"/>
      <c r="BO427" s="1804"/>
      <c r="BP427" s="1804"/>
      <c r="BQ427" s="1804"/>
      <c r="BR427" s="1804"/>
      <c r="BS427" s="1804"/>
      <c r="BT427" s="1804"/>
      <c r="BU427" s="1804"/>
      <c r="BV427" s="1804"/>
      <c r="BW427" s="1804"/>
      <c r="BX427" s="1804"/>
      <c r="BY427" s="1804"/>
      <c r="BZ427" s="1804"/>
      <c r="CA427" s="1804"/>
      <c r="CB427" s="1804"/>
      <c r="CC427" s="1804"/>
      <c r="CD427" s="1804"/>
      <c r="CE427" s="1804"/>
      <c r="CF427" s="1804"/>
      <c r="CG427" s="1804"/>
      <c r="CH427" s="1804"/>
      <c r="CI427" s="1804"/>
      <c r="CJ427" s="1804"/>
      <c r="CK427" s="1804"/>
      <c r="CL427" s="1804"/>
      <c r="CM427" s="1804"/>
      <c r="CN427" s="1804"/>
      <c r="CO427" s="1804"/>
      <c r="CP427" s="1804"/>
      <c r="CQ427" s="1804"/>
      <c r="CR427" s="1804"/>
      <c r="CS427" s="1804"/>
      <c r="CT427" s="1804"/>
      <c r="CU427" s="1804"/>
      <c r="CV427" s="1804"/>
      <c r="CW427" s="1804"/>
      <c r="CX427" s="1804"/>
      <c r="CY427" s="1804"/>
      <c r="CZ427" s="1804"/>
      <c r="DA427" s="1804"/>
      <c r="DB427" s="1804"/>
      <c r="DC427" s="1804"/>
      <c r="DD427" s="1804"/>
      <c r="DE427" s="1804"/>
      <c r="DF427" s="1804"/>
      <c r="DG427" s="1804"/>
      <c r="DH427" s="1804"/>
      <c r="DI427" s="1804"/>
      <c r="DJ427" s="1804"/>
      <c r="DK427" s="1804"/>
      <c r="DL427" s="1804"/>
      <c r="DM427" s="1804"/>
      <c r="DN427" s="1804"/>
      <c r="DO427" s="1804"/>
      <c r="DP427" s="1804"/>
      <c r="DQ427" s="1804"/>
      <c r="DR427" s="1804"/>
      <c r="DS427" s="1804"/>
      <c r="DT427" s="1804"/>
      <c r="DU427" s="1804"/>
      <c r="DV427" s="1804"/>
      <c r="DW427" s="1804"/>
      <c r="DX427" s="1804"/>
      <c r="DY427" s="1804"/>
      <c r="DZ427" s="1804"/>
      <c r="EA427" s="1804"/>
      <c r="EB427" s="1804"/>
      <c r="EC427" s="1804"/>
      <c r="ED427" s="1804"/>
      <c r="EE427" s="1804"/>
      <c r="EF427" s="1804"/>
      <c r="EG427" s="1804"/>
      <c r="EH427" s="1804"/>
      <c r="EI427" s="1804"/>
      <c r="EJ427" s="1804"/>
      <c r="EK427" s="1804"/>
      <c r="EL427" s="1804"/>
      <c r="EM427" s="1804"/>
      <c r="EN427" s="1804"/>
      <c r="EO427" s="1804"/>
      <c r="EP427" s="1804"/>
      <c r="EQ427" s="1804"/>
      <c r="ER427" s="1804"/>
      <c r="ES427" s="1804"/>
      <c r="ET427" s="1804"/>
      <c r="EU427" s="1804"/>
      <c r="EV427" s="1804"/>
      <c r="EW427" s="1804"/>
      <c r="EX427" s="1804"/>
      <c r="EY427" s="1804"/>
      <c r="EZ427" s="1804"/>
      <c r="FA427" s="1804"/>
      <c r="FB427" s="1804"/>
      <c r="FC427" s="1804"/>
      <c r="FD427" s="1804"/>
      <c r="FE427" s="1804"/>
      <c r="FF427" s="1804"/>
      <c r="FG427" s="1804"/>
      <c r="FH427" s="1804"/>
      <c r="FI427" s="1804"/>
      <c r="FJ427" s="1804"/>
      <c r="FK427" s="1804"/>
      <c r="FL427" s="1804"/>
      <c r="FM427" s="1804"/>
      <c r="FN427" s="1804"/>
      <c r="FO427" s="1804"/>
      <c r="FP427" s="1804"/>
      <c r="FQ427" s="1804"/>
      <c r="FR427" s="1804"/>
      <c r="FS427" s="1804"/>
      <c r="FT427" s="1804"/>
      <c r="FU427" s="1804"/>
      <c r="FV427" s="1804"/>
      <c r="FW427" s="1804"/>
      <c r="FX427" s="1804"/>
      <c r="FY427" s="1804"/>
      <c r="FZ427" s="1804"/>
      <c r="GA427" s="1804"/>
      <c r="GB427" s="1804"/>
      <c r="GC427" s="1804"/>
      <c r="GD427" s="1804"/>
      <c r="GE427" s="1804"/>
      <c r="GF427" s="1804"/>
      <c r="GG427" s="1804"/>
      <c r="GH427" s="1804"/>
      <c r="GI427" s="1804"/>
      <c r="GJ427" s="1804"/>
      <c r="GK427" s="1804"/>
      <c r="GL427" s="1804"/>
      <c r="GM427" s="1804"/>
      <c r="GN427" s="1804"/>
      <c r="GO427" s="1804"/>
      <c r="GP427" s="1804"/>
      <c r="GQ427" s="1804"/>
      <c r="GR427" s="1804"/>
      <c r="GS427" s="1804"/>
      <c r="GT427" s="1804"/>
      <c r="GU427" s="1804"/>
      <c r="GV427" s="1804"/>
      <c r="GW427" s="1804"/>
      <c r="GX427" s="1804"/>
      <c r="GY427" s="1804"/>
      <c r="GZ427" s="1804"/>
      <c r="HA427" s="1804"/>
      <c r="HB427" s="1804"/>
      <c r="HC427" s="1804"/>
      <c r="HD427" s="1804"/>
      <c r="HE427" s="1804"/>
      <c r="HF427" s="1804"/>
      <c r="HG427" s="1804"/>
      <c r="HH427" s="1804"/>
      <c r="HI427" s="1804"/>
      <c r="HJ427" s="1804"/>
      <c r="HK427" s="1804"/>
      <c r="HL427" s="1804"/>
      <c r="HM427" s="1804"/>
      <c r="HN427" s="1804"/>
      <c r="HO427" s="1804"/>
      <c r="HP427" s="1804"/>
      <c r="HQ427" s="1804"/>
      <c r="HR427" s="1804"/>
      <c r="HS427" s="1804"/>
      <c r="HT427" s="1804"/>
      <c r="HU427" s="1804"/>
      <c r="HV427" s="1804"/>
      <c r="HW427" s="1804"/>
      <c r="HX427" s="1804"/>
      <c r="HY427" s="1804"/>
      <c r="HZ427" s="1804"/>
      <c r="IA427" s="1804"/>
      <c r="IB427" s="1804"/>
      <c r="IC427" s="1804"/>
      <c r="ID427" s="1804"/>
      <c r="IE427" s="1804"/>
      <c r="IF427" s="1804"/>
      <c r="IG427" s="1804"/>
      <c r="IH427" s="1804"/>
      <c r="II427" s="1804"/>
      <c r="IJ427" s="1804"/>
      <c r="IK427" s="1804"/>
      <c r="IL427" s="1804"/>
      <c r="IM427" s="1804"/>
      <c r="IN427" s="1804"/>
      <c r="IO427" s="1804"/>
      <c r="IP427" s="1804"/>
      <c r="IQ427" s="1804"/>
      <c r="IR427" s="1804"/>
      <c r="IS427" s="1804"/>
      <c r="IT427" s="1804"/>
      <c r="IU427" s="1804"/>
      <c r="IV427" s="1804"/>
      <c r="IW427" s="1804"/>
    </row>
    <row r="428" spans="3:257" s="888" customFormat="1" x14ac:dyDescent="0.45">
      <c r="C428" s="51" t="s">
        <v>618</v>
      </c>
      <c r="D428" s="52" t="s">
        <v>619</v>
      </c>
      <c r="E428" s="116" t="s">
        <v>620</v>
      </c>
      <c r="F428" s="2308" t="s">
        <v>728</v>
      </c>
      <c r="G428" s="2309"/>
      <c r="H428" s="2309"/>
      <c r="I428" s="2309"/>
      <c r="J428" s="2309"/>
      <c r="K428" s="2309"/>
      <c r="L428" s="2309"/>
      <c r="M428" s="2309"/>
      <c r="N428" s="2309"/>
      <c r="O428" s="2309"/>
      <c r="P428" s="2312" t="s">
        <v>667</v>
      </c>
      <c r="Q428" s="2313"/>
      <c r="R428" s="2313"/>
      <c r="S428" s="2314"/>
      <c r="T428" s="1804"/>
      <c r="U428" s="1804"/>
      <c r="V428" s="1804"/>
      <c r="W428" s="1804"/>
      <c r="X428" s="1804"/>
      <c r="Y428" s="1804"/>
      <c r="Z428" s="1804"/>
      <c r="AA428" s="1804"/>
      <c r="AB428" s="1804"/>
      <c r="AC428" s="1804"/>
      <c r="AD428" s="1804"/>
      <c r="AE428" s="1804"/>
      <c r="AF428" s="1804"/>
      <c r="AG428" s="1804"/>
      <c r="AH428" s="1804"/>
      <c r="AI428" s="1804"/>
      <c r="AJ428" s="1804"/>
      <c r="AK428" s="1804"/>
      <c r="AL428" s="1804"/>
      <c r="AM428" s="1804"/>
      <c r="AN428" s="1804"/>
      <c r="AO428" s="1804"/>
      <c r="AP428" s="1804"/>
      <c r="AQ428" s="1804"/>
      <c r="AR428" s="1804"/>
      <c r="AS428" s="1804"/>
      <c r="AT428" s="1804"/>
      <c r="AU428" s="1804"/>
      <c r="AV428" s="1804"/>
      <c r="AW428" s="1804"/>
      <c r="AX428" s="1804"/>
      <c r="AY428" s="1804"/>
      <c r="AZ428" s="1804"/>
      <c r="BA428" s="1804"/>
      <c r="BB428" s="1804"/>
      <c r="BC428" s="1804"/>
      <c r="BD428" s="1804"/>
      <c r="BE428" s="1804"/>
      <c r="BF428" s="1804"/>
      <c r="BG428" s="1804"/>
      <c r="BH428" s="1804"/>
      <c r="BI428" s="1804"/>
      <c r="BJ428" s="1804"/>
      <c r="BK428" s="1804"/>
      <c r="BL428" s="1804"/>
      <c r="BM428" s="1804"/>
      <c r="BN428" s="1804"/>
      <c r="BO428" s="1804"/>
      <c r="BP428" s="1804"/>
      <c r="BQ428" s="1804"/>
      <c r="BR428" s="1804"/>
      <c r="BS428" s="1804"/>
      <c r="BT428" s="1804"/>
      <c r="BU428" s="1804"/>
      <c r="BV428" s="1804"/>
      <c r="BW428" s="1804"/>
      <c r="BX428" s="1804"/>
      <c r="BY428" s="1804"/>
      <c r="BZ428" s="1804"/>
      <c r="CA428" s="1804"/>
      <c r="CB428" s="1804"/>
      <c r="CC428" s="1804"/>
      <c r="CD428" s="1804"/>
      <c r="CE428" s="1804"/>
      <c r="CF428" s="1804"/>
      <c r="CG428" s="1804"/>
      <c r="CH428" s="1804"/>
      <c r="CI428" s="1804"/>
      <c r="CJ428" s="1804"/>
      <c r="CK428" s="1804"/>
      <c r="CL428" s="1804"/>
      <c r="CM428" s="1804"/>
      <c r="CN428" s="1804"/>
      <c r="CO428" s="1804"/>
      <c r="CP428" s="1804"/>
      <c r="CQ428" s="1804"/>
      <c r="CR428" s="1804"/>
      <c r="CS428" s="1804"/>
      <c r="CT428" s="1804"/>
      <c r="CU428" s="1804"/>
      <c r="CV428" s="1804"/>
      <c r="CW428" s="1804"/>
      <c r="CX428" s="1804"/>
      <c r="CY428" s="1804"/>
      <c r="CZ428" s="1804"/>
      <c r="DA428" s="1804"/>
      <c r="DB428" s="1804"/>
      <c r="DC428" s="1804"/>
      <c r="DD428" s="1804"/>
      <c r="DE428" s="1804"/>
      <c r="DF428" s="1804"/>
      <c r="DG428" s="1804"/>
      <c r="DH428" s="1804"/>
      <c r="DI428" s="1804"/>
      <c r="DJ428" s="1804"/>
      <c r="DK428" s="1804"/>
      <c r="DL428" s="1804"/>
      <c r="DM428" s="1804"/>
      <c r="DN428" s="1804"/>
      <c r="DO428" s="1804"/>
      <c r="DP428" s="1804"/>
      <c r="DQ428" s="1804"/>
      <c r="DR428" s="1804"/>
      <c r="DS428" s="1804"/>
      <c r="DT428" s="1804"/>
      <c r="DU428" s="1804"/>
      <c r="DV428" s="1804"/>
      <c r="DW428" s="1804"/>
      <c r="DX428" s="1804"/>
      <c r="DY428" s="1804"/>
      <c r="DZ428" s="1804"/>
      <c r="EA428" s="1804"/>
      <c r="EB428" s="1804"/>
      <c r="EC428" s="1804"/>
      <c r="ED428" s="1804"/>
      <c r="EE428" s="1804"/>
      <c r="EF428" s="1804"/>
      <c r="EG428" s="1804"/>
      <c r="EH428" s="1804"/>
      <c r="EI428" s="1804"/>
      <c r="EJ428" s="1804"/>
      <c r="EK428" s="1804"/>
      <c r="EL428" s="1804"/>
      <c r="EM428" s="1804"/>
      <c r="EN428" s="1804"/>
      <c r="EO428" s="1804"/>
      <c r="EP428" s="1804"/>
      <c r="EQ428" s="1804"/>
      <c r="ER428" s="1804"/>
      <c r="ES428" s="1804"/>
      <c r="ET428" s="1804"/>
      <c r="EU428" s="1804"/>
      <c r="EV428" s="1804"/>
      <c r="EW428" s="1804"/>
      <c r="EX428" s="1804"/>
      <c r="EY428" s="1804"/>
      <c r="EZ428" s="1804"/>
      <c r="FA428" s="1804"/>
      <c r="FB428" s="1804"/>
      <c r="FC428" s="1804"/>
      <c r="FD428" s="1804"/>
      <c r="FE428" s="1804"/>
      <c r="FF428" s="1804"/>
      <c r="FG428" s="1804"/>
      <c r="FH428" s="1804"/>
      <c r="FI428" s="1804"/>
      <c r="FJ428" s="1804"/>
      <c r="FK428" s="1804"/>
      <c r="FL428" s="1804"/>
      <c r="FM428" s="1804"/>
      <c r="FN428" s="1804"/>
      <c r="FO428" s="1804"/>
      <c r="FP428" s="1804"/>
      <c r="FQ428" s="1804"/>
      <c r="FR428" s="1804"/>
      <c r="FS428" s="1804"/>
      <c r="FT428" s="1804"/>
      <c r="FU428" s="1804"/>
      <c r="FV428" s="1804"/>
      <c r="FW428" s="1804"/>
      <c r="FX428" s="1804"/>
      <c r="FY428" s="1804"/>
      <c r="FZ428" s="1804"/>
      <c r="GA428" s="1804"/>
      <c r="GB428" s="1804"/>
      <c r="GC428" s="1804"/>
      <c r="GD428" s="1804"/>
      <c r="GE428" s="1804"/>
      <c r="GF428" s="1804"/>
      <c r="GG428" s="1804"/>
      <c r="GH428" s="1804"/>
      <c r="GI428" s="1804"/>
      <c r="GJ428" s="1804"/>
      <c r="GK428" s="1804"/>
      <c r="GL428" s="1804"/>
      <c r="GM428" s="1804"/>
      <c r="GN428" s="1804"/>
      <c r="GO428" s="1804"/>
      <c r="GP428" s="1804"/>
      <c r="GQ428" s="1804"/>
      <c r="GR428" s="1804"/>
      <c r="GS428" s="1804"/>
      <c r="GT428" s="1804"/>
      <c r="GU428" s="1804"/>
      <c r="GV428" s="1804"/>
      <c r="GW428" s="1804"/>
      <c r="GX428" s="1804"/>
      <c r="GY428" s="1804"/>
      <c r="GZ428" s="1804"/>
      <c r="HA428" s="1804"/>
      <c r="HB428" s="1804"/>
      <c r="HC428" s="1804"/>
      <c r="HD428" s="1804"/>
      <c r="HE428" s="1804"/>
      <c r="HF428" s="1804"/>
      <c r="HG428" s="1804"/>
      <c r="HH428" s="1804"/>
      <c r="HI428" s="1804"/>
      <c r="HJ428" s="1804"/>
      <c r="HK428" s="1804"/>
      <c r="HL428" s="1804"/>
      <c r="HM428" s="1804"/>
      <c r="HN428" s="1804"/>
      <c r="HO428" s="1804"/>
      <c r="HP428" s="1804"/>
      <c r="HQ428" s="1804"/>
      <c r="HR428" s="1804"/>
      <c r="HS428" s="1804"/>
      <c r="HT428" s="1804"/>
      <c r="HU428" s="1804"/>
      <c r="HV428" s="1804"/>
      <c r="HW428" s="1804"/>
      <c r="HX428" s="1804"/>
      <c r="HY428" s="1804"/>
      <c r="HZ428" s="1804"/>
      <c r="IA428" s="1804"/>
      <c r="IB428" s="1804"/>
      <c r="IC428" s="1804"/>
      <c r="ID428" s="1804"/>
      <c r="IE428" s="1804"/>
      <c r="IF428" s="1804"/>
      <c r="IG428" s="1804"/>
      <c r="IH428" s="1804"/>
      <c r="II428" s="1804"/>
      <c r="IJ428" s="1804"/>
      <c r="IK428" s="1804"/>
      <c r="IL428" s="1804"/>
      <c r="IM428" s="1804"/>
      <c r="IN428" s="1804"/>
      <c r="IO428" s="1804"/>
      <c r="IP428" s="1804"/>
      <c r="IQ428" s="1804"/>
      <c r="IR428" s="1804"/>
      <c r="IS428" s="1804"/>
      <c r="IT428" s="1804"/>
      <c r="IU428" s="1804"/>
      <c r="IV428" s="1804"/>
      <c r="IW428" s="1804"/>
    </row>
    <row r="429" spans="3:257" s="888" customFormat="1" ht="26.65" x14ac:dyDescent="0.45">
      <c r="C429" s="54"/>
      <c r="D429" s="55"/>
      <c r="E429" s="56"/>
      <c r="F429" s="159" t="s">
        <v>738</v>
      </c>
      <c r="G429" s="160" t="s">
        <v>739</v>
      </c>
      <c r="H429" s="160" t="s">
        <v>740</v>
      </c>
      <c r="I429" s="160" t="s">
        <v>741</v>
      </c>
      <c r="J429" s="160" t="s">
        <v>742</v>
      </c>
      <c r="K429" s="160" t="s">
        <v>743</v>
      </c>
      <c r="L429" s="160" t="s">
        <v>744</v>
      </c>
      <c r="M429" s="160" t="s">
        <v>745</v>
      </c>
      <c r="N429" s="160" t="s">
        <v>746</v>
      </c>
      <c r="O429" s="161" t="s">
        <v>747</v>
      </c>
      <c r="P429" s="2315"/>
      <c r="Q429" s="2316"/>
      <c r="R429" s="2316"/>
      <c r="S429" s="2317"/>
      <c r="T429" s="1804"/>
      <c r="U429" s="1804"/>
      <c r="V429" s="1804"/>
      <c r="W429" s="1804"/>
      <c r="X429" s="1804"/>
      <c r="Y429" s="1804"/>
      <c r="Z429" s="1804"/>
      <c r="AA429" s="1804"/>
      <c r="AB429" s="1804"/>
      <c r="AC429" s="1804"/>
      <c r="AD429" s="1804"/>
      <c r="AE429" s="1804"/>
      <c r="AF429" s="1804"/>
      <c r="AG429" s="1804"/>
      <c r="AH429" s="1804"/>
      <c r="AI429" s="1804"/>
      <c r="AJ429" s="1804"/>
      <c r="AK429" s="1804"/>
      <c r="AL429" s="1804"/>
      <c r="AM429" s="1804"/>
      <c r="AN429" s="1804"/>
      <c r="AO429" s="1804"/>
      <c r="AP429" s="1804"/>
      <c r="AQ429" s="1804"/>
      <c r="AR429" s="1804"/>
      <c r="AS429" s="1804"/>
      <c r="AT429" s="1804"/>
      <c r="AU429" s="1804"/>
      <c r="AV429" s="1804"/>
      <c r="AW429" s="1804"/>
      <c r="AX429" s="1804"/>
      <c r="AY429" s="1804"/>
      <c r="AZ429" s="1804"/>
      <c r="BA429" s="1804"/>
      <c r="BB429" s="1804"/>
      <c r="BC429" s="1804"/>
      <c r="BD429" s="1804"/>
      <c r="BE429" s="1804"/>
      <c r="BF429" s="1804"/>
      <c r="BG429" s="1804"/>
      <c r="BH429" s="1804"/>
      <c r="BI429" s="1804"/>
      <c r="BJ429" s="1804"/>
      <c r="BK429" s="1804"/>
      <c r="BL429" s="1804"/>
      <c r="BM429" s="1804"/>
      <c r="BN429" s="1804"/>
      <c r="BO429" s="1804"/>
      <c r="BP429" s="1804"/>
      <c r="BQ429" s="1804"/>
      <c r="BR429" s="1804"/>
      <c r="BS429" s="1804"/>
      <c r="BT429" s="1804"/>
      <c r="BU429" s="1804"/>
      <c r="BV429" s="1804"/>
      <c r="BW429" s="1804"/>
      <c r="BX429" s="1804"/>
      <c r="BY429" s="1804"/>
      <c r="BZ429" s="1804"/>
      <c r="CA429" s="1804"/>
      <c r="CB429" s="1804"/>
      <c r="CC429" s="1804"/>
      <c r="CD429" s="1804"/>
      <c r="CE429" s="1804"/>
      <c r="CF429" s="1804"/>
      <c r="CG429" s="1804"/>
      <c r="CH429" s="1804"/>
      <c r="CI429" s="1804"/>
      <c r="CJ429" s="1804"/>
      <c r="CK429" s="1804"/>
      <c r="CL429" s="1804"/>
      <c r="CM429" s="1804"/>
      <c r="CN429" s="1804"/>
      <c r="CO429" s="1804"/>
      <c r="CP429" s="1804"/>
      <c r="CQ429" s="1804"/>
      <c r="CR429" s="1804"/>
      <c r="CS429" s="1804"/>
      <c r="CT429" s="1804"/>
      <c r="CU429" s="1804"/>
      <c r="CV429" s="1804"/>
      <c r="CW429" s="1804"/>
      <c r="CX429" s="1804"/>
      <c r="CY429" s="1804"/>
      <c r="CZ429" s="1804"/>
      <c r="DA429" s="1804"/>
      <c r="DB429" s="1804"/>
      <c r="DC429" s="1804"/>
      <c r="DD429" s="1804"/>
      <c r="DE429" s="1804"/>
      <c r="DF429" s="1804"/>
      <c r="DG429" s="1804"/>
      <c r="DH429" s="1804"/>
      <c r="DI429" s="1804"/>
      <c r="DJ429" s="1804"/>
      <c r="DK429" s="1804"/>
      <c r="DL429" s="1804"/>
      <c r="DM429" s="1804"/>
      <c r="DN429" s="1804"/>
      <c r="DO429" s="1804"/>
      <c r="DP429" s="1804"/>
      <c r="DQ429" s="1804"/>
      <c r="DR429" s="1804"/>
      <c r="DS429" s="1804"/>
      <c r="DT429" s="1804"/>
      <c r="DU429" s="1804"/>
      <c r="DV429" s="1804"/>
      <c r="DW429" s="1804"/>
      <c r="DX429" s="1804"/>
      <c r="DY429" s="1804"/>
      <c r="DZ429" s="1804"/>
      <c r="EA429" s="1804"/>
      <c r="EB429" s="1804"/>
      <c r="EC429" s="1804"/>
      <c r="ED429" s="1804"/>
      <c r="EE429" s="1804"/>
      <c r="EF429" s="1804"/>
      <c r="EG429" s="1804"/>
      <c r="EH429" s="1804"/>
      <c r="EI429" s="1804"/>
      <c r="EJ429" s="1804"/>
      <c r="EK429" s="1804"/>
      <c r="EL429" s="1804"/>
      <c r="EM429" s="1804"/>
      <c r="EN429" s="1804"/>
      <c r="EO429" s="1804"/>
      <c r="EP429" s="1804"/>
      <c r="EQ429" s="1804"/>
      <c r="ER429" s="1804"/>
      <c r="ES429" s="1804"/>
      <c r="ET429" s="1804"/>
      <c r="EU429" s="1804"/>
      <c r="EV429" s="1804"/>
      <c r="EW429" s="1804"/>
      <c r="EX429" s="1804"/>
      <c r="EY429" s="1804"/>
      <c r="EZ429" s="1804"/>
      <c r="FA429" s="1804"/>
      <c r="FB429" s="1804"/>
      <c r="FC429" s="1804"/>
      <c r="FD429" s="1804"/>
      <c r="FE429" s="1804"/>
      <c r="FF429" s="1804"/>
      <c r="FG429" s="1804"/>
      <c r="FH429" s="1804"/>
      <c r="FI429" s="1804"/>
      <c r="FJ429" s="1804"/>
      <c r="FK429" s="1804"/>
      <c r="FL429" s="1804"/>
      <c r="FM429" s="1804"/>
      <c r="FN429" s="1804"/>
      <c r="FO429" s="1804"/>
      <c r="FP429" s="1804"/>
      <c r="FQ429" s="1804"/>
      <c r="FR429" s="1804"/>
      <c r="FS429" s="1804"/>
      <c r="FT429" s="1804"/>
      <c r="FU429" s="1804"/>
      <c r="FV429" s="1804"/>
      <c r="FW429" s="1804"/>
      <c r="FX429" s="1804"/>
      <c r="FY429" s="1804"/>
      <c r="FZ429" s="1804"/>
      <c r="GA429" s="1804"/>
      <c r="GB429" s="1804"/>
      <c r="GC429" s="1804"/>
      <c r="GD429" s="1804"/>
      <c r="GE429" s="1804"/>
      <c r="GF429" s="1804"/>
      <c r="GG429" s="1804"/>
      <c r="GH429" s="1804"/>
      <c r="GI429" s="1804"/>
      <c r="GJ429" s="1804"/>
      <c r="GK429" s="1804"/>
      <c r="GL429" s="1804"/>
      <c r="GM429" s="1804"/>
      <c r="GN429" s="1804"/>
      <c r="GO429" s="1804"/>
      <c r="GP429" s="1804"/>
      <c r="GQ429" s="1804"/>
      <c r="GR429" s="1804"/>
      <c r="GS429" s="1804"/>
      <c r="GT429" s="1804"/>
      <c r="GU429" s="1804"/>
      <c r="GV429" s="1804"/>
      <c r="GW429" s="1804"/>
      <c r="GX429" s="1804"/>
      <c r="GY429" s="1804"/>
      <c r="GZ429" s="1804"/>
      <c r="HA429" s="1804"/>
      <c r="HB429" s="1804"/>
      <c r="HC429" s="1804"/>
      <c r="HD429" s="1804"/>
      <c r="HE429" s="1804"/>
      <c r="HF429" s="1804"/>
      <c r="HG429" s="1804"/>
      <c r="HH429" s="1804"/>
      <c r="HI429" s="1804"/>
      <c r="HJ429" s="1804"/>
      <c r="HK429" s="1804"/>
      <c r="HL429" s="1804"/>
      <c r="HM429" s="1804"/>
      <c r="HN429" s="1804"/>
      <c r="HO429" s="1804"/>
      <c r="HP429" s="1804"/>
      <c r="HQ429" s="1804"/>
      <c r="HR429" s="1804"/>
      <c r="HS429" s="1804"/>
      <c r="HT429" s="1804"/>
      <c r="HU429" s="1804"/>
      <c r="HV429" s="1804"/>
      <c r="HW429" s="1804"/>
      <c r="HX429" s="1804"/>
      <c r="HY429" s="1804"/>
      <c r="HZ429" s="1804"/>
      <c r="IA429" s="1804"/>
      <c r="IB429" s="1804"/>
      <c r="IC429" s="1804"/>
      <c r="ID429" s="1804"/>
      <c r="IE429" s="1804"/>
      <c r="IF429" s="1804"/>
      <c r="IG429" s="1804"/>
      <c r="IH429" s="1804"/>
      <c r="II429" s="1804"/>
      <c r="IJ429" s="1804"/>
      <c r="IK429" s="1804"/>
      <c r="IL429" s="1804"/>
      <c r="IM429" s="1804"/>
      <c r="IN429" s="1804"/>
      <c r="IO429" s="1804"/>
      <c r="IP429" s="1804"/>
      <c r="IQ429" s="1804"/>
      <c r="IR429" s="1804"/>
      <c r="IS429" s="1804"/>
      <c r="IT429" s="1804"/>
      <c r="IU429" s="1804"/>
      <c r="IV429" s="1804"/>
      <c r="IW429" s="1804"/>
    </row>
    <row r="430" spans="3:257" s="888" customFormat="1" ht="14.65" thickBot="1" x14ac:dyDescent="0.5">
      <c r="C430" s="60"/>
      <c r="D430" s="61"/>
      <c r="E430" s="62"/>
      <c r="F430" s="64" t="s">
        <v>748</v>
      </c>
      <c r="G430" s="64" t="s">
        <v>748</v>
      </c>
      <c r="H430" s="64" t="s">
        <v>748</v>
      </c>
      <c r="I430" s="64" t="s">
        <v>748</v>
      </c>
      <c r="J430" s="64" t="s">
        <v>748</v>
      </c>
      <c r="K430" s="64" t="s">
        <v>748</v>
      </c>
      <c r="L430" s="64" t="s">
        <v>748</v>
      </c>
      <c r="M430" s="64" t="s">
        <v>748</v>
      </c>
      <c r="N430" s="64" t="s">
        <v>748</v>
      </c>
      <c r="O430" s="162" t="s">
        <v>748</v>
      </c>
      <c r="P430" s="123" t="s">
        <v>749</v>
      </c>
      <c r="Q430" s="117" t="s">
        <v>750</v>
      </c>
      <c r="R430" s="163" t="s">
        <v>751</v>
      </c>
      <c r="S430" s="163" t="s">
        <v>115</v>
      </c>
      <c r="T430" s="1804"/>
      <c r="U430" s="1804"/>
      <c r="V430" s="1804"/>
      <c r="W430" s="1804"/>
      <c r="X430" s="1804"/>
      <c r="Y430" s="1804"/>
      <c r="Z430" s="1804"/>
      <c r="AA430" s="1804"/>
      <c r="AB430" s="1804"/>
      <c r="AC430" s="1804"/>
      <c r="AD430" s="1804"/>
      <c r="AE430" s="1804"/>
      <c r="AF430" s="1804"/>
      <c r="AG430" s="1804"/>
      <c r="AH430" s="1804"/>
      <c r="AI430" s="1804"/>
      <c r="AJ430" s="1804"/>
      <c r="AK430" s="1804"/>
      <c r="AL430" s="1804"/>
      <c r="AM430" s="1804"/>
      <c r="AN430" s="1804"/>
      <c r="AO430" s="1804"/>
      <c r="AP430" s="1804"/>
      <c r="AQ430" s="1804"/>
      <c r="AR430" s="1804"/>
      <c r="AS430" s="1804"/>
      <c r="AT430" s="1804"/>
      <c r="AU430" s="1804"/>
      <c r="AV430" s="1804"/>
      <c r="AW430" s="1804"/>
      <c r="AX430" s="1804"/>
      <c r="AY430" s="1804"/>
      <c r="AZ430" s="1804"/>
      <c r="BA430" s="1804"/>
      <c r="BB430" s="1804"/>
      <c r="BC430" s="1804"/>
      <c r="BD430" s="1804"/>
      <c r="BE430" s="1804"/>
      <c r="BF430" s="1804"/>
      <c r="BG430" s="1804"/>
      <c r="BH430" s="1804"/>
      <c r="BI430" s="1804"/>
      <c r="BJ430" s="1804"/>
      <c r="BK430" s="1804"/>
      <c r="BL430" s="1804"/>
      <c r="BM430" s="1804"/>
      <c r="BN430" s="1804"/>
      <c r="BO430" s="1804"/>
      <c r="BP430" s="1804"/>
      <c r="BQ430" s="1804"/>
      <c r="BR430" s="1804"/>
      <c r="BS430" s="1804"/>
      <c r="BT430" s="1804"/>
      <c r="BU430" s="1804"/>
      <c r="BV430" s="1804"/>
      <c r="BW430" s="1804"/>
      <c r="BX430" s="1804"/>
      <c r="BY430" s="1804"/>
      <c r="BZ430" s="1804"/>
      <c r="CA430" s="1804"/>
      <c r="CB430" s="1804"/>
      <c r="CC430" s="1804"/>
      <c r="CD430" s="1804"/>
      <c r="CE430" s="1804"/>
      <c r="CF430" s="1804"/>
      <c r="CG430" s="1804"/>
      <c r="CH430" s="1804"/>
      <c r="CI430" s="1804"/>
      <c r="CJ430" s="1804"/>
      <c r="CK430" s="1804"/>
      <c r="CL430" s="1804"/>
      <c r="CM430" s="1804"/>
      <c r="CN430" s="1804"/>
      <c r="CO430" s="1804"/>
      <c r="CP430" s="1804"/>
      <c r="CQ430" s="1804"/>
      <c r="CR430" s="1804"/>
      <c r="CS430" s="1804"/>
      <c r="CT430" s="1804"/>
      <c r="CU430" s="1804"/>
      <c r="CV430" s="1804"/>
      <c r="CW430" s="1804"/>
      <c r="CX430" s="1804"/>
      <c r="CY430" s="1804"/>
      <c r="CZ430" s="1804"/>
      <c r="DA430" s="1804"/>
      <c r="DB430" s="1804"/>
      <c r="DC430" s="1804"/>
      <c r="DD430" s="1804"/>
      <c r="DE430" s="1804"/>
      <c r="DF430" s="1804"/>
      <c r="DG430" s="1804"/>
      <c r="DH430" s="1804"/>
      <c r="DI430" s="1804"/>
      <c r="DJ430" s="1804"/>
      <c r="DK430" s="1804"/>
      <c r="DL430" s="1804"/>
      <c r="DM430" s="1804"/>
      <c r="DN430" s="1804"/>
      <c r="DO430" s="1804"/>
      <c r="DP430" s="1804"/>
      <c r="DQ430" s="1804"/>
      <c r="DR430" s="1804"/>
      <c r="DS430" s="1804"/>
      <c r="DT430" s="1804"/>
      <c r="DU430" s="1804"/>
      <c r="DV430" s="1804"/>
      <c r="DW430" s="1804"/>
      <c r="DX430" s="1804"/>
      <c r="DY430" s="1804"/>
      <c r="DZ430" s="1804"/>
      <c r="EA430" s="1804"/>
      <c r="EB430" s="1804"/>
      <c r="EC430" s="1804"/>
      <c r="ED430" s="1804"/>
      <c r="EE430" s="1804"/>
      <c r="EF430" s="1804"/>
      <c r="EG430" s="1804"/>
      <c r="EH430" s="1804"/>
      <c r="EI430" s="1804"/>
      <c r="EJ430" s="1804"/>
      <c r="EK430" s="1804"/>
      <c r="EL430" s="1804"/>
      <c r="EM430" s="1804"/>
      <c r="EN430" s="1804"/>
      <c r="EO430" s="1804"/>
      <c r="EP430" s="1804"/>
      <c r="EQ430" s="1804"/>
      <c r="ER430" s="1804"/>
      <c r="ES430" s="1804"/>
      <c r="ET430" s="1804"/>
      <c r="EU430" s="1804"/>
      <c r="EV430" s="1804"/>
      <c r="EW430" s="1804"/>
      <c r="EX430" s="1804"/>
      <c r="EY430" s="1804"/>
      <c r="EZ430" s="1804"/>
      <c r="FA430" s="1804"/>
      <c r="FB430" s="1804"/>
      <c r="FC430" s="1804"/>
      <c r="FD430" s="1804"/>
      <c r="FE430" s="1804"/>
      <c r="FF430" s="1804"/>
      <c r="FG430" s="1804"/>
      <c r="FH430" s="1804"/>
      <c r="FI430" s="1804"/>
      <c r="FJ430" s="1804"/>
      <c r="FK430" s="1804"/>
      <c r="FL430" s="1804"/>
      <c r="FM430" s="1804"/>
      <c r="FN430" s="1804"/>
      <c r="FO430" s="1804"/>
      <c r="FP430" s="1804"/>
      <c r="FQ430" s="1804"/>
      <c r="FR430" s="1804"/>
      <c r="FS430" s="1804"/>
      <c r="FT430" s="1804"/>
      <c r="FU430" s="1804"/>
      <c r="FV430" s="1804"/>
      <c r="FW430" s="1804"/>
      <c r="FX430" s="1804"/>
      <c r="FY430" s="1804"/>
      <c r="FZ430" s="1804"/>
      <c r="GA430" s="1804"/>
      <c r="GB430" s="1804"/>
      <c r="GC430" s="1804"/>
      <c r="GD430" s="1804"/>
      <c r="GE430" s="1804"/>
      <c r="GF430" s="1804"/>
      <c r="GG430" s="1804"/>
      <c r="GH430" s="1804"/>
      <c r="GI430" s="1804"/>
      <c r="GJ430" s="1804"/>
      <c r="GK430" s="1804"/>
      <c r="GL430" s="1804"/>
      <c r="GM430" s="1804"/>
      <c r="GN430" s="1804"/>
      <c r="GO430" s="1804"/>
      <c r="GP430" s="1804"/>
      <c r="GQ430" s="1804"/>
      <c r="GR430" s="1804"/>
      <c r="GS430" s="1804"/>
      <c r="GT430" s="1804"/>
      <c r="GU430" s="1804"/>
      <c r="GV430" s="1804"/>
      <c r="GW430" s="1804"/>
      <c r="GX430" s="1804"/>
      <c r="GY430" s="1804"/>
      <c r="GZ430" s="1804"/>
      <c r="HA430" s="1804"/>
      <c r="HB430" s="1804"/>
      <c r="HC430" s="1804"/>
      <c r="HD430" s="1804"/>
      <c r="HE430" s="1804"/>
      <c r="HF430" s="1804"/>
      <c r="HG430" s="1804"/>
      <c r="HH430" s="1804"/>
      <c r="HI430" s="1804"/>
      <c r="HJ430" s="1804"/>
      <c r="HK430" s="1804"/>
      <c r="HL430" s="1804"/>
      <c r="HM430" s="1804"/>
      <c r="HN430" s="1804"/>
      <c r="HO430" s="1804"/>
      <c r="HP430" s="1804"/>
      <c r="HQ430" s="1804"/>
      <c r="HR430" s="1804"/>
      <c r="HS430" s="1804"/>
      <c r="HT430" s="1804"/>
      <c r="HU430" s="1804"/>
      <c r="HV430" s="1804"/>
      <c r="HW430" s="1804"/>
      <c r="HX430" s="1804"/>
      <c r="HY430" s="1804"/>
      <c r="HZ430" s="1804"/>
      <c r="IA430" s="1804"/>
      <c r="IB430" s="1804"/>
      <c r="IC430" s="1804"/>
      <c r="ID430" s="1804"/>
      <c r="IE430" s="1804"/>
      <c r="IF430" s="1804"/>
      <c r="IG430" s="1804"/>
      <c r="IH430" s="1804"/>
      <c r="II430" s="1804"/>
      <c r="IJ430" s="1804"/>
      <c r="IK430" s="1804"/>
      <c r="IL430" s="1804"/>
      <c r="IM430" s="1804"/>
      <c r="IN430" s="1804"/>
      <c r="IO430" s="1804"/>
      <c r="IP430" s="1804"/>
      <c r="IQ430" s="1804"/>
      <c r="IR430" s="1804"/>
      <c r="IS430" s="1804"/>
      <c r="IT430" s="1804"/>
      <c r="IU430" s="1804"/>
      <c r="IV430" s="1804"/>
      <c r="IW430" s="1804"/>
    </row>
    <row r="431" spans="3:257" s="888" customFormat="1" x14ac:dyDescent="0.45">
      <c r="C431" s="67" t="s">
        <v>528</v>
      </c>
      <c r="D431" s="68" t="s">
        <v>630</v>
      </c>
      <c r="E431" s="69"/>
      <c r="F431" s="153">
        <v>336440</v>
      </c>
      <c r="G431" s="153">
        <v>559150</v>
      </c>
      <c r="H431" s="164">
        <v>25586876</v>
      </c>
      <c r="I431" s="164">
        <v>14176973</v>
      </c>
      <c r="J431" s="164">
        <v>80490</v>
      </c>
      <c r="K431" s="164">
        <v>5108581</v>
      </c>
      <c r="L431" s="164">
        <v>4152007</v>
      </c>
      <c r="M431" s="164">
        <v>1166552</v>
      </c>
      <c r="N431" s="164">
        <v>3427191</v>
      </c>
      <c r="O431" s="154">
        <v>1187503</v>
      </c>
      <c r="P431" s="165">
        <f>L431+N431+O431+G431+I431+K431+M431</f>
        <v>29777957</v>
      </c>
      <c r="Q431" s="166">
        <f>F431+H431+J431</f>
        <v>26003806</v>
      </c>
      <c r="R431" s="167">
        <f t="shared" ref="R431:R463" si="75">SUM(F431:O431)</f>
        <v>55781763</v>
      </c>
      <c r="S431" s="155">
        <f>((F431+H431+J431)*$D$467)+((G431+I431+K431+L431+M431+N431+O431)*$D$468)</f>
        <v>561110119.88499999</v>
      </c>
      <c r="T431" s="1804"/>
      <c r="U431" s="1804"/>
      <c r="V431" s="1804"/>
      <c r="W431" s="1804"/>
      <c r="X431" s="1804"/>
      <c r="Y431" s="1804"/>
      <c r="Z431" s="1804"/>
      <c r="AA431" s="1804"/>
      <c r="AB431" s="1804"/>
      <c r="AC431" s="1804"/>
      <c r="AD431" s="1804"/>
      <c r="AE431" s="1804"/>
      <c r="AF431" s="1804"/>
      <c r="AG431" s="1804"/>
      <c r="AH431" s="1804"/>
      <c r="AI431" s="1804"/>
      <c r="AJ431" s="1804"/>
      <c r="AK431" s="1804"/>
      <c r="AL431" s="1804"/>
      <c r="AM431" s="1804"/>
      <c r="AN431" s="1804"/>
      <c r="AO431" s="1804"/>
      <c r="AP431" s="1804"/>
      <c r="AQ431" s="1804"/>
      <c r="AR431" s="1804"/>
      <c r="AS431" s="1804"/>
      <c r="AT431" s="1804"/>
      <c r="AU431" s="1804"/>
      <c r="AV431" s="1804"/>
      <c r="AW431" s="1804"/>
      <c r="AX431" s="1804"/>
      <c r="AY431" s="1804"/>
      <c r="AZ431" s="1804"/>
      <c r="BA431" s="1804"/>
      <c r="BB431" s="1804"/>
      <c r="BC431" s="1804"/>
      <c r="BD431" s="1804"/>
      <c r="BE431" s="1804"/>
      <c r="BF431" s="1804"/>
      <c r="BG431" s="1804"/>
      <c r="BH431" s="1804"/>
      <c r="BI431" s="1804"/>
      <c r="BJ431" s="1804"/>
      <c r="BK431" s="1804"/>
      <c r="BL431" s="1804"/>
      <c r="BM431" s="1804"/>
      <c r="BN431" s="1804"/>
      <c r="BO431" s="1804"/>
      <c r="BP431" s="1804"/>
      <c r="BQ431" s="1804"/>
      <c r="BR431" s="1804"/>
      <c r="BS431" s="1804"/>
      <c r="BT431" s="1804"/>
      <c r="BU431" s="1804"/>
      <c r="BV431" s="1804"/>
      <c r="BW431" s="1804"/>
      <c r="BX431" s="1804"/>
      <c r="BY431" s="1804"/>
      <c r="BZ431" s="1804"/>
      <c r="CA431" s="1804"/>
      <c r="CB431" s="1804"/>
      <c r="CC431" s="1804"/>
      <c r="CD431" s="1804"/>
      <c r="CE431" s="1804"/>
      <c r="CF431" s="1804"/>
      <c r="CG431" s="1804"/>
      <c r="CH431" s="1804"/>
      <c r="CI431" s="1804"/>
      <c r="CJ431" s="1804"/>
      <c r="CK431" s="1804"/>
      <c r="CL431" s="1804"/>
      <c r="CM431" s="1804"/>
      <c r="CN431" s="1804"/>
      <c r="CO431" s="1804"/>
      <c r="CP431" s="1804"/>
      <c r="CQ431" s="1804"/>
      <c r="CR431" s="1804"/>
      <c r="CS431" s="1804"/>
      <c r="CT431" s="1804"/>
      <c r="CU431" s="1804"/>
      <c r="CV431" s="1804"/>
      <c r="CW431" s="1804"/>
      <c r="CX431" s="1804"/>
      <c r="CY431" s="1804"/>
      <c r="CZ431" s="1804"/>
      <c r="DA431" s="1804"/>
      <c r="DB431" s="1804"/>
      <c r="DC431" s="1804"/>
      <c r="DD431" s="1804"/>
      <c r="DE431" s="1804"/>
      <c r="DF431" s="1804"/>
      <c r="DG431" s="1804"/>
      <c r="DH431" s="1804"/>
      <c r="DI431" s="1804"/>
      <c r="DJ431" s="1804"/>
      <c r="DK431" s="1804"/>
      <c r="DL431" s="1804"/>
      <c r="DM431" s="1804"/>
      <c r="DN431" s="1804"/>
      <c r="DO431" s="1804"/>
      <c r="DP431" s="1804"/>
      <c r="DQ431" s="1804"/>
      <c r="DR431" s="1804"/>
      <c r="DS431" s="1804"/>
      <c r="DT431" s="1804"/>
      <c r="DU431" s="1804"/>
      <c r="DV431" s="1804"/>
      <c r="DW431" s="1804"/>
      <c r="DX431" s="1804"/>
      <c r="DY431" s="1804"/>
      <c r="DZ431" s="1804"/>
      <c r="EA431" s="1804"/>
      <c r="EB431" s="1804"/>
      <c r="EC431" s="1804"/>
      <c r="ED431" s="1804"/>
      <c r="EE431" s="1804"/>
      <c r="EF431" s="1804"/>
      <c r="EG431" s="1804"/>
      <c r="EH431" s="1804"/>
      <c r="EI431" s="1804"/>
      <c r="EJ431" s="1804"/>
      <c r="EK431" s="1804"/>
      <c r="EL431" s="1804"/>
      <c r="EM431" s="1804"/>
      <c r="EN431" s="1804"/>
      <c r="EO431" s="1804"/>
      <c r="EP431" s="1804"/>
      <c r="EQ431" s="1804"/>
      <c r="ER431" s="1804"/>
      <c r="ES431" s="1804"/>
      <c r="ET431" s="1804"/>
      <c r="EU431" s="1804"/>
      <c r="EV431" s="1804"/>
      <c r="EW431" s="1804"/>
      <c r="EX431" s="1804"/>
      <c r="EY431" s="1804"/>
      <c r="EZ431" s="1804"/>
      <c r="FA431" s="1804"/>
      <c r="FB431" s="1804"/>
      <c r="FC431" s="1804"/>
      <c r="FD431" s="1804"/>
      <c r="FE431" s="1804"/>
      <c r="FF431" s="1804"/>
      <c r="FG431" s="1804"/>
      <c r="FH431" s="1804"/>
      <c r="FI431" s="1804"/>
      <c r="FJ431" s="1804"/>
      <c r="FK431" s="1804"/>
      <c r="FL431" s="1804"/>
      <c r="FM431" s="1804"/>
      <c r="FN431" s="1804"/>
      <c r="FO431" s="1804"/>
      <c r="FP431" s="1804"/>
      <c r="FQ431" s="1804"/>
      <c r="FR431" s="1804"/>
      <c r="FS431" s="1804"/>
      <c r="FT431" s="1804"/>
      <c r="FU431" s="1804"/>
      <c r="FV431" s="1804"/>
      <c r="FW431" s="1804"/>
      <c r="FX431" s="1804"/>
      <c r="FY431" s="1804"/>
      <c r="FZ431" s="1804"/>
      <c r="GA431" s="1804"/>
      <c r="GB431" s="1804"/>
      <c r="GC431" s="1804"/>
      <c r="GD431" s="1804"/>
      <c r="GE431" s="1804"/>
      <c r="GF431" s="1804"/>
      <c r="GG431" s="1804"/>
      <c r="GH431" s="1804"/>
      <c r="GI431" s="1804"/>
      <c r="GJ431" s="1804"/>
      <c r="GK431" s="1804"/>
      <c r="GL431" s="1804"/>
      <c r="GM431" s="1804"/>
      <c r="GN431" s="1804"/>
      <c r="GO431" s="1804"/>
      <c r="GP431" s="1804"/>
      <c r="GQ431" s="1804"/>
      <c r="GR431" s="1804"/>
      <c r="GS431" s="1804"/>
      <c r="GT431" s="1804"/>
      <c r="GU431" s="1804"/>
      <c r="GV431" s="1804"/>
      <c r="GW431" s="1804"/>
      <c r="GX431" s="1804"/>
      <c r="GY431" s="1804"/>
      <c r="GZ431" s="1804"/>
      <c r="HA431" s="1804"/>
      <c r="HB431" s="1804"/>
      <c r="HC431" s="1804"/>
      <c r="HD431" s="1804"/>
      <c r="HE431" s="1804"/>
      <c r="HF431" s="1804"/>
      <c r="HG431" s="1804"/>
      <c r="HH431" s="1804"/>
      <c r="HI431" s="1804"/>
      <c r="HJ431" s="1804"/>
      <c r="HK431" s="1804"/>
      <c r="HL431" s="1804"/>
      <c r="HM431" s="1804"/>
      <c r="HN431" s="1804"/>
      <c r="HO431" s="1804"/>
      <c r="HP431" s="1804"/>
      <c r="HQ431" s="1804"/>
      <c r="HR431" s="1804"/>
      <c r="HS431" s="1804"/>
      <c r="HT431" s="1804"/>
      <c r="HU431" s="1804"/>
      <c r="HV431" s="1804"/>
      <c r="HW431" s="1804"/>
      <c r="HX431" s="1804"/>
      <c r="HY431" s="1804"/>
      <c r="HZ431" s="1804"/>
      <c r="IA431" s="1804"/>
      <c r="IB431" s="1804"/>
      <c r="IC431" s="1804"/>
      <c r="ID431" s="1804"/>
      <c r="IE431" s="1804"/>
      <c r="IF431" s="1804"/>
      <c r="IG431" s="1804"/>
      <c r="IH431" s="1804"/>
      <c r="II431" s="1804"/>
      <c r="IJ431" s="1804"/>
      <c r="IK431" s="1804"/>
      <c r="IL431" s="1804"/>
      <c r="IM431" s="1804"/>
      <c r="IN431" s="1804"/>
      <c r="IO431" s="1804"/>
      <c r="IP431" s="1804"/>
      <c r="IQ431" s="1804"/>
      <c r="IR431" s="1804"/>
      <c r="IS431" s="1804"/>
      <c r="IT431" s="1804"/>
      <c r="IU431" s="1804"/>
      <c r="IV431" s="1804"/>
      <c r="IW431" s="1804"/>
    </row>
    <row r="432" spans="3:257" s="888" customFormat="1" x14ac:dyDescent="0.45">
      <c r="C432" s="67" t="s">
        <v>529</v>
      </c>
      <c r="D432" s="68" t="s">
        <v>631</v>
      </c>
      <c r="E432" s="69"/>
      <c r="F432" s="153">
        <v>674365</v>
      </c>
      <c r="G432" s="153">
        <v>1279884</v>
      </c>
      <c r="H432" s="153">
        <v>46426723</v>
      </c>
      <c r="I432" s="153">
        <v>30694813</v>
      </c>
      <c r="J432" s="153">
        <v>305851</v>
      </c>
      <c r="K432" s="153">
        <v>14508062</v>
      </c>
      <c r="L432" s="153">
        <v>6199499</v>
      </c>
      <c r="M432" s="153">
        <v>2889298</v>
      </c>
      <c r="N432" s="153">
        <v>12265352</v>
      </c>
      <c r="O432" s="154">
        <v>22085547</v>
      </c>
      <c r="P432" s="165">
        <f t="shared" ref="P432:P463" si="76">L432+N432+O432+G432+I432+K432+M432</f>
        <v>89922455</v>
      </c>
      <c r="Q432" s="166">
        <f t="shared" ref="Q432:Q463" si="77">F432+H432+J432</f>
        <v>47406939</v>
      </c>
      <c r="R432" s="168">
        <f t="shared" si="75"/>
        <v>137329394</v>
      </c>
      <c r="S432" s="155">
        <f t="shared" ref="S432:S463" si="78">((F432+H432+J432)*$D$467)+((G432+I432+K432+L432+M432+N432+O432)*$D$468)</f>
        <v>1400071577.266</v>
      </c>
      <c r="T432" s="1804"/>
      <c r="U432" s="1804"/>
      <c r="V432" s="1804"/>
      <c r="W432" s="1804"/>
      <c r="X432" s="1804"/>
      <c r="Y432" s="1804"/>
      <c r="Z432" s="1804"/>
      <c r="AA432" s="1804"/>
      <c r="AB432" s="1804"/>
      <c r="AC432" s="1804"/>
      <c r="AD432" s="1804"/>
      <c r="AE432" s="1804"/>
      <c r="AF432" s="1804"/>
      <c r="AG432" s="1804"/>
      <c r="AH432" s="1804"/>
      <c r="AI432" s="1804"/>
      <c r="AJ432" s="1804"/>
      <c r="AK432" s="1804"/>
      <c r="AL432" s="1804"/>
      <c r="AM432" s="1804"/>
      <c r="AN432" s="1804"/>
      <c r="AO432" s="1804"/>
      <c r="AP432" s="1804"/>
      <c r="AQ432" s="1804"/>
      <c r="AR432" s="1804"/>
      <c r="AS432" s="1804"/>
      <c r="AT432" s="1804"/>
      <c r="AU432" s="1804"/>
      <c r="AV432" s="1804"/>
      <c r="AW432" s="1804"/>
      <c r="AX432" s="1804"/>
      <c r="AY432" s="1804"/>
      <c r="AZ432" s="1804"/>
      <c r="BA432" s="1804"/>
      <c r="BB432" s="1804"/>
      <c r="BC432" s="1804"/>
      <c r="BD432" s="1804"/>
      <c r="BE432" s="1804"/>
      <c r="BF432" s="1804"/>
      <c r="BG432" s="1804"/>
      <c r="BH432" s="1804"/>
      <c r="BI432" s="1804"/>
      <c r="BJ432" s="1804"/>
      <c r="BK432" s="1804"/>
      <c r="BL432" s="1804"/>
      <c r="BM432" s="1804"/>
      <c r="BN432" s="1804"/>
      <c r="BO432" s="1804"/>
      <c r="BP432" s="1804"/>
      <c r="BQ432" s="1804"/>
      <c r="BR432" s="1804"/>
      <c r="BS432" s="1804"/>
      <c r="BT432" s="1804"/>
      <c r="BU432" s="1804"/>
      <c r="BV432" s="1804"/>
      <c r="BW432" s="1804"/>
      <c r="BX432" s="1804"/>
      <c r="BY432" s="1804"/>
      <c r="BZ432" s="1804"/>
      <c r="CA432" s="1804"/>
      <c r="CB432" s="1804"/>
      <c r="CC432" s="1804"/>
      <c r="CD432" s="1804"/>
      <c r="CE432" s="1804"/>
      <c r="CF432" s="1804"/>
      <c r="CG432" s="1804"/>
      <c r="CH432" s="1804"/>
      <c r="CI432" s="1804"/>
      <c r="CJ432" s="1804"/>
      <c r="CK432" s="1804"/>
      <c r="CL432" s="1804"/>
      <c r="CM432" s="1804"/>
      <c r="CN432" s="1804"/>
      <c r="CO432" s="1804"/>
      <c r="CP432" s="1804"/>
      <c r="CQ432" s="1804"/>
      <c r="CR432" s="1804"/>
      <c r="CS432" s="1804"/>
      <c r="CT432" s="1804"/>
      <c r="CU432" s="1804"/>
      <c r="CV432" s="1804"/>
      <c r="CW432" s="1804"/>
      <c r="CX432" s="1804"/>
      <c r="CY432" s="1804"/>
      <c r="CZ432" s="1804"/>
      <c r="DA432" s="1804"/>
      <c r="DB432" s="1804"/>
      <c r="DC432" s="1804"/>
      <c r="DD432" s="1804"/>
      <c r="DE432" s="1804"/>
      <c r="DF432" s="1804"/>
      <c r="DG432" s="1804"/>
      <c r="DH432" s="1804"/>
      <c r="DI432" s="1804"/>
      <c r="DJ432" s="1804"/>
      <c r="DK432" s="1804"/>
      <c r="DL432" s="1804"/>
      <c r="DM432" s="1804"/>
      <c r="DN432" s="1804"/>
      <c r="DO432" s="1804"/>
      <c r="DP432" s="1804"/>
      <c r="DQ432" s="1804"/>
      <c r="DR432" s="1804"/>
      <c r="DS432" s="1804"/>
      <c r="DT432" s="1804"/>
      <c r="DU432" s="1804"/>
      <c r="DV432" s="1804"/>
      <c r="DW432" s="1804"/>
      <c r="DX432" s="1804"/>
      <c r="DY432" s="1804"/>
      <c r="DZ432" s="1804"/>
      <c r="EA432" s="1804"/>
      <c r="EB432" s="1804"/>
      <c r="EC432" s="1804"/>
      <c r="ED432" s="1804"/>
      <c r="EE432" s="1804"/>
      <c r="EF432" s="1804"/>
      <c r="EG432" s="1804"/>
      <c r="EH432" s="1804"/>
      <c r="EI432" s="1804"/>
      <c r="EJ432" s="1804"/>
      <c r="EK432" s="1804"/>
      <c r="EL432" s="1804"/>
      <c r="EM432" s="1804"/>
      <c r="EN432" s="1804"/>
      <c r="EO432" s="1804"/>
      <c r="EP432" s="1804"/>
      <c r="EQ432" s="1804"/>
      <c r="ER432" s="1804"/>
      <c r="ES432" s="1804"/>
      <c r="ET432" s="1804"/>
      <c r="EU432" s="1804"/>
      <c r="EV432" s="1804"/>
      <c r="EW432" s="1804"/>
      <c r="EX432" s="1804"/>
      <c r="EY432" s="1804"/>
      <c r="EZ432" s="1804"/>
      <c r="FA432" s="1804"/>
      <c r="FB432" s="1804"/>
      <c r="FC432" s="1804"/>
      <c r="FD432" s="1804"/>
      <c r="FE432" s="1804"/>
      <c r="FF432" s="1804"/>
      <c r="FG432" s="1804"/>
      <c r="FH432" s="1804"/>
      <c r="FI432" s="1804"/>
      <c r="FJ432" s="1804"/>
      <c r="FK432" s="1804"/>
      <c r="FL432" s="1804"/>
      <c r="FM432" s="1804"/>
      <c r="FN432" s="1804"/>
      <c r="FO432" s="1804"/>
      <c r="FP432" s="1804"/>
      <c r="FQ432" s="1804"/>
      <c r="FR432" s="1804"/>
      <c r="FS432" s="1804"/>
      <c r="FT432" s="1804"/>
      <c r="FU432" s="1804"/>
      <c r="FV432" s="1804"/>
      <c r="FW432" s="1804"/>
      <c r="FX432" s="1804"/>
      <c r="FY432" s="1804"/>
      <c r="FZ432" s="1804"/>
      <c r="GA432" s="1804"/>
      <c r="GB432" s="1804"/>
      <c r="GC432" s="1804"/>
      <c r="GD432" s="1804"/>
      <c r="GE432" s="1804"/>
      <c r="GF432" s="1804"/>
      <c r="GG432" s="1804"/>
      <c r="GH432" s="1804"/>
      <c r="GI432" s="1804"/>
      <c r="GJ432" s="1804"/>
      <c r="GK432" s="1804"/>
      <c r="GL432" s="1804"/>
      <c r="GM432" s="1804"/>
      <c r="GN432" s="1804"/>
      <c r="GO432" s="1804"/>
      <c r="GP432" s="1804"/>
      <c r="GQ432" s="1804"/>
      <c r="GR432" s="1804"/>
      <c r="GS432" s="1804"/>
      <c r="GT432" s="1804"/>
      <c r="GU432" s="1804"/>
      <c r="GV432" s="1804"/>
      <c r="GW432" s="1804"/>
      <c r="GX432" s="1804"/>
      <c r="GY432" s="1804"/>
      <c r="GZ432" s="1804"/>
      <c r="HA432" s="1804"/>
      <c r="HB432" s="1804"/>
      <c r="HC432" s="1804"/>
      <c r="HD432" s="1804"/>
      <c r="HE432" s="1804"/>
      <c r="HF432" s="1804"/>
      <c r="HG432" s="1804"/>
      <c r="HH432" s="1804"/>
      <c r="HI432" s="1804"/>
      <c r="HJ432" s="1804"/>
      <c r="HK432" s="1804"/>
      <c r="HL432" s="1804"/>
      <c r="HM432" s="1804"/>
      <c r="HN432" s="1804"/>
      <c r="HO432" s="1804"/>
      <c r="HP432" s="1804"/>
      <c r="HQ432" s="1804"/>
      <c r="HR432" s="1804"/>
      <c r="HS432" s="1804"/>
      <c r="HT432" s="1804"/>
      <c r="HU432" s="1804"/>
      <c r="HV432" s="1804"/>
      <c r="HW432" s="1804"/>
      <c r="HX432" s="1804"/>
      <c r="HY432" s="1804"/>
      <c r="HZ432" s="1804"/>
      <c r="IA432" s="1804"/>
      <c r="IB432" s="1804"/>
      <c r="IC432" s="1804"/>
      <c r="ID432" s="1804"/>
      <c r="IE432" s="1804"/>
      <c r="IF432" s="1804"/>
      <c r="IG432" s="1804"/>
      <c r="IH432" s="1804"/>
      <c r="II432" s="1804"/>
      <c r="IJ432" s="1804"/>
      <c r="IK432" s="1804"/>
      <c r="IL432" s="1804"/>
      <c r="IM432" s="1804"/>
      <c r="IN432" s="1804"/>
      <c r="IO432" s="1804"/>
      <c r="IP432" s="1804"/>
      <c r="IQ432" s="1804"/>
      <c r="IR432" s="1804"/>
      <c r="IS432" s="1804"/>
      <c r="IT432" s="1804"/>
      <c r="IU432" s="1804"/>
      <c r="IV432" s="1804"/>
      <c r="IW432" s="1804"/>
    </row>
    <row r="433" spans="3:257" s="888" customFormat="1" x14ac:dyDescent="0.45">
      <c r="C433" s="67" t="s">
        <v>530</v>
      </c>
      <c r="D433" s="68" t="s">
        <v>632</v>
      </c>
      <c r="E433" s="69"/>
      <c r="F433" s="153">
        <v>960143</v>
      </c>
      <c r="G433" s="153">
        <v>2939341</v>
      </c>
      <c r="H433" s="153">
        <v>68492973</v>
      </c>
      <c r="I433" s="153">
        <v>40128676</v>
      </c>
      <c r="J433" s="153">
        <v>268466</v>
      </c>
      <c r="K433" s="153">
        <v>15602734</v>
      </c>
      <c r="L433" s="153">
        <v>6558780</v>
      </c>
      <c r="M433" s="153">
        <v>7532962</v>
      </c>
      <c r="N433" s="153">
        <v>13499473</v>
      </c>
      <c r="O433" s="154">
        <v>7287044</v>
      </c>
      <c r="P433" s="165">
        <f t="shared" si="76"/>
        <v>93549010</v>
      </c>
      <c r="Q433" s="166">
        <f t="shared" si="77"/>
        <v>69721582</v>
      </c>
      <c r="R433" s="168">
        <f t="shared" si="75"/>
        <v>163270592</v>
      </c>
      <c r="S433" s="155">
        <f t="shared" si="78"/>
        <v>1649525616.9679999</v>
      </c>
      <c r="T433" s="1804"/>
      <c r="U433" s="1804"/>
      <c r="V433" s="1804"/>
      <c r="W433" s="1804"/>
      <c r="X433" s="1804"/>
      <c r="Y433" s="1804"/>
      <c r="Z433" s="1804"/>
      <c r="AA433" s="1804"/>
      <c r="AB433" s="1804"/>
      <c r="AC433" s="1804"/>
      <c r="AD433" s="1804"/>
      <c r="AE433" s="1804"/>
      <c r="AF433" s="1804"/>
      <c r="AG433" s="1804"/>
      <c r="AH433" s="1804"/>
      <c r="AI433" s="1804"/>
      <c r="AJ433" s="1804"/>
      <c r="AK433" s="1804"/>
      <c r="AL433" s="1804"/>
      <c r="AM433" s="1804"/>
      <c r="AN433" s="1804"/>
      <c r="AO433" s="1804"/>
      <c r="AP433" s="1804"/>
      <c r="AQ433" s="1804"/>
      <c r="AR433" s="1804"/>
      <c r="AS433" s="1804"/>
      <c r="AT433" s="1804"/>
      <c r="AU433" s="1804"/>
      <c r="AV433" s="1804"/>
      <c r="AW433" s="1804"/>
      <c r="AX433" s="1804"/>
      <c r="AY433" s="1804"/>
      <c r="AZ433" s="1804"/>
      <c r="BA433" s="1804"/>
      <c r="BB433" s="1804"/>
      <c r="BC433" s="1804"/>
      <c r="BD433" s="1804"/>
      <c r="BE433" s="1804"/>
      <c r="BF433" s="1804"/>
      <c r="BG433" s="1804"/>
      <c r="BH433" s="1804"/>
      <c r="BI433" s="1804"/>
      <c r="BJ433" s="1804"/>
      <c r="BK433" s="1804"/>
      <c r="BL433" s="1804"/>
      <c r="BM433" s="1804"/>
      <c r="BN433" s="1804"/>
      <c r="BO433" s="1804"/>
      <c r="BP433" s="1804"/>
      <c r="BQ433" s="1804"/>
      <c r="BR433" s="1804"/>
      <c r="BS433" s="1804"/>
      <c r="BT433" s="1804"/>
      <c r="BU433" s="1804"/>
      <c r="BV433" s="1804"/>
      <c r="BW433" s="1804"/>
      <c r="BX433" s="1804"/>
      <c r="BY433" s="1804"/>
      <c r="BZ433" s="1804"/>
      <c r="CA433" s="1804"/>
      <c r="CB433" s="1804"/>
      <c r="CC433" s="1804"/>
      <c r="CD433" s="1804"/>
      <c r="CE433" s="1804"/>
      <c r="CF433" s="1804"/>
      <c r="CG433" s="1804"/>
      <c r="CH433" s="1804"/>
      <c r="CI433" s="1804"/>
      <c r="CJ433" s="1804"/>
      <c r="CK433" s="1804"/>
      <c r="CL433" s="1804"/>
      <c r="CM433" s="1804"/>
      <c r="CN433" s="1804"/>
      <c r="CO433" s="1804"/>
      <c r="CP433" s="1804"/>
      <c r="CQ433" s="1804"/>
      <c r="CR433" s="1804"/>
      <c r="CS433" s="1804"/>
      <c r="CT433" s="1804"/>
      <c r="CU433" s="1804"/>
      <c r="CV433" s="1804"/>
      <c r="CW433" s="1804"/>
      <c r="CX433" s="1804"/>
      <c r="CY433" s="1804"/>
      <c r="CZ433" s="1804"/>
      <c r="DA433" s="1804"/>
      <c r="DB433" s="1804"/>
      <c r="DC433" s="1804"/>
      <c r="DD433" s="1804"/>
      <c r="DE433" s="1804"/>
      <c r="DF433" s="1804"/>
      <c r="DG433" s="1804"/>
      <c r="DH433" s="1804"/>
      <c r="DI433" s="1804"/>
      <c r="DJ433" s="1804"/>
      <c r="DK433" s="1804"/>
      <c r="DL433" s="1804"/>
      <c r="DM433" s="1804"/>
      <c r="DN433" s="1804"/>
      <c r="DO433" s="1804"/>
      <c r="DP433" s="1804"/>
      <c r="DQ433" s="1804"/>
      <c r="DR433" s="1804"/>
      <c r="DS433" s="1804"/>
      <c r="DT433" s="1804"/>
      <c r="DU433" s="1804"/>
      <c r="DV433" s="1804"/>
      <c r="DW433" s="1804"/>
      <c r="DX433" s="1804"/>
      <c r="DY433" s="1804"/>
      <c r="DZ433" s="1804"/>
      <c r="EA433" s="1804"/>
      <c r="EB433" s="1804"/>
      <c r="EC433" s="1804"/>
      <c r="ED433" s="1804"/>
      <c r="EE433" s="1804"/>
      <c r="EF433" s="1804"/>
      <c r="EG433" s="1804"/>
      <c r="EH433" s="1804"/>
      <c r="EI433" s="1804"/>
      <c r="EJ433" s="1804"/>
      <c r="EK433" s="1804"/>
      <c r="EL433" s="1804"/>
      <c r="EM433" s="1804"/>
      <c r="EN433" s="1804"/>
      <c r="EO433" s="1804"/>
      <c r="EP433" s="1804"/>
      <c r="EQ433" s="1804"/>
      <c r="ER433" s="1804"/>
      <c r="ES433" s="1804"/>
      <c r="ET433" s="1804"/>
      <c r="EU433" s="1804"/>
      <c r="EV433" s="1804"/>
      <c r="EW433" s="1804"/>
      <c r="EX433" s="1804"/>
      <c r="EY433" s="1804"/>
      <c r="EZ433" s="1804"/>
      <c r="FA433" s="1804"/>
      <c r="FB433" s="1804"/>
      <c r="FC433" s="1804"/>
      <c r="FD433" s="1804"/>
      <c r="FE433" s="1804"/>
      <c r="FF433" s="1804"/>
      <c r="FG433" s="1804"/>
      <c r="FH433" s="1804"/>
      <c r="FI433" s="1804"/>
      <c r="FJ433" s="1804"/>
      <c r="FK433" s="1804"/>
      <c r="FL433" s="1804"/>
      <c r="FM433" s="1804"/>
      <c r="FN433" s="1804"/>
      <c r="FO433" s="1804"/>
      <c r="FP433" s="1804"/>
      <c r="FQ433" s="1804"/>
      <c r="FR433" s="1804"/>
      <c r="FS433" s="1804"/>
      <c r="FT433" s="1804"/>
      <c r="FU433" s="1804"/>
      <c r="FV433" s="1804"/>
      <c r="FW433" s="1804"/>
      <c r="FX433" s="1804"/>
      <c r="FY433" s="1804"/>
      <c r="FZ433" s="1804"/>
      <c r="GA433" s="1804"/>
      <c r="GB433" s="1804"/>
      <c r="GC433" s="1804"/>
      <c r="GD433" s="1804"/>
      <c r="GE433" s="1804"/>
      <c r="GF433" s="1804"/>
      <c r="GG433" s="1804"/>
      <c r="GH433" s="1804"/>
      <c r="GI433" s="1804"/>
      <c r="GJ433" s="1804"/>
      <c r="GK433" s="1804"/>
      <c r="GL433" s="1804"/>
      <c r="GM433" s="1804"/>
      <c r="GN433" s="1804"/>
      <c r="GO433" s="1804"/>
      <c r="GP433" s="1804"/>
      <c r="GQ433" s="1804"/>
      <c r="GR433" s="1804"/>
      <c r="GS433" s="1804"/>
      <c r="GT433" s="1804"/>
      <c r="GU433" s="1804"/>
      <c r="GV433" s="1804"/>
      <c r="GW433" s="1804"/>
      <c r="GX433" s="1804"/>
      <c r="GY433" s="1804"/>
      <c r="GZ433" s="1804"/>
      <c r="HA433" s="1804"/>
      <c r="HB433" s="1804"/>
      <c r="HC433" s="1804"/>
      <c r="HD433" s="1804"/>
      <c r="HE433" s="1804"/>
      <c r="HF433" s="1804"/>
      <c r="HG433" s="1804"/>
      <c r="HH433" s="1804"/>
      <c r="HI433" s="1804"/>
      <c r="HJ433" s="1804"/>
      <c r="HK433" s="1804"/>
      <c r="HL433" s="1804"/>
      <c r="HM433" s="1804"/>
      <c r="HN433" s="1804"/>
      <c r="HO433" s="1804"/>
      <c r="HP433" s="1804"/>
      <c r="HQ433" s="1804"/>
      <c r="HR433" s="1804"/>
      <c r="HS433" s="1804"/>
      <c r="HT433" s="1804"/>
      <c r="HU433" s="1804"/>
      <c r="HV433" s="1804"/>
      <c r="HW433" s="1804"/>
      <c r="HX433" s="1804"/>
      <c r="HY433" s="1804"/>
      <c r="HZ433" s="1804"/>
      <c r="IA433" s="1804"/>
      <c r="IB433" s="1804"/>
      <c r="IC433" s="1804"/>
      <c r="ID433" s="1804"/>
      <c r="IE433" s="1804"/>
      <c r="IF433" s="1804"/>
      <c r="IG433" s="1804"/>
      <c r="IH433" s="1804"/>
      <c r="II433" s="1804"/>
      <c r="IJ433" s="1804"/>
      <c r="IK433" s="1804"/>
      <c r="IL433" s="1804"/>
      <c r="IM433" s="1804"/>
      <c r="IN433" s="1804"/>
      <c r="IO433" s="1804"/>
      <c r="IP433" s="1804"/>
      <c r="IQ433" s="1804"/>
      <c r="IR433" s="1804"/>
      <c r="IS433" s="1804"/>
      <c r="IT433" s="1804"/>
      <c r="IU433" s="1804"/>
      <c r="IV433" s="1804"/>
      <c r="IW433" s="1804"/>
    </row>
    <row r="434" spans="3:257" s="888" customFormat="1" x14ac:dyDescent="0.45">
      <c r="C434" s="67" t="s">
        <v>531</v>
      </c>
      <c r="D434" s="68" t="s">
        <v>633</v>
      </c>
      <c r="E434" s="69"/>
      <c r="F434" s="153">
        <v>1056256</v>
      </c>
      <c r="G434" s="153">
        <v>3847596</v>
      </c>
      <c r="H434" s="153">
        <v>48317060</v>
      </c>
      <c r="I434" s="153">
        <v>26288465</v>
      </c>
      <c r="J434" s="153">
        <v>184224</v>
      </c>
      <c r="K434" s="153">
        <v>12052707</v>
      </c>
      <c r="L434" s="153">
        <v>6446944</v>
      </c>
      <c r="M434" s="153">
        <v>3346053</v>
      </c>
      <c r="N434" s="153">
        <v>8765627</v>
      </c>
      <c r="O434" s="154">
        <v>2948516</v>
      </c>
      <c r="P434" s="165">
        <f t="shared" si="76"/>
        <v>63695908</v>
      </c>
      <c r="Q434" s="166">
        <f t="shared" si="77"/>
        <v>49557540</v>
      </c>
      <c r="R434" s="168">
        <f t="shared" si="75"/>
        <v>113253448</v>
      </c>
      <c r="S434" s="155">
        <f t="shared" si="78"/>
        <v>1142858565.224</v>
      </c>
      <c r="T434" s="1804"/>
      <c r="U434" s="1804"/>
      <c r="V434" s="1804"/>
      <c r="W434" s="1804"/>
      <c r="X434" s="1804"/>
      <c r="Y434" s="1804"/>
      <c r="Z434" s="1804"/>
      <c r="AA434" s="1804"/>
      <c r="AB434" s="1804"/>
      <c r="AC434" s="1804"/>
      <c r="AD434" s="1804"/>
      <c r="AE434" s="1804"/>
      <c r="AF434" s="1804"/>
      <c r="AG434" s="1804"/>
      <c r="AH434" s="1804"/>
      <c r="AI434" s="1804"/>
      <c r="AJ434" s="1804"/>
      <c r="AK434" s="1804"/>
      <c r="AL434" s="1804"/>
      <c r="AM434" s="1804"/>
      <c r="AN434" s="1804"/>
      <c r="AO434" s="1804"/>
      <c r="AP434" s="1804"/>
      <c r="AQ434" s="1804"/>
      <c r="AR434" s="1804"/>
      <c r="AS434" s="1804"/>
      <c r="AT434" s="1804"/>
      <c r="AU434" s="1804"/>
      <c r="AV434" s="1804"/>
      <c r="AW434" s="1804"/>
      <c r="AX434" s="1804"/>
      <c r="AY434" s="1804"/>
      <c r="AZ434" s="1804"/>
      <c r="BA434" s="1804"/>
      <c r="BB434" s="1804"/>
      <c r="BC434" s="1804"/>
      <c r="BD434" s="1804"/>
      <c r="BE434" s="1804"/>
      <c r="BF434" s="1804"/>
      <c r="BG434" s="1804"/>
      <c r="BH434" s="1804"/>
      <c r="BI434" s="1804"/>
      <c r="BJ434" s="1804"/>
      <c r="BK434" s="1804"/>
      <c r="BL434" s="1804"/>
      <c r="BM434" s="1804"/>
      <c r="BN434" s="1804"/>
      <c r="BO434" s="1804"/>
      <c r="BP434" s="1804"/>
      <c r="BQ434" s="1804"/>
      <c r="BR434" s="1804"/>
      <c r="BS434" s="1804"/>
      <c r="BT434" s="1804"/>
      <c r="BU434" s="1804"/>
      <c r="BV434" s="1804"/>
      <c r="BW434" s="1804"/>
      <c r="BX434" s="1804"/>
      <c r="BY434" s="1804"/>
      <c r="BZ434" s="1804"/>
      <c r="CA434" s="1804"/>
      <c r="CB434" s="1804"/>
      <c r="CC434" s="1804"/>
      <c r="CD434" s="1804"/>
      <c r="CE434" s="1804"/>
      <c r="CF434" s="1804"/>
      <c r="CG434" s="1804"/>
      <c r="CH434" s="1804"/>
      <c r="CI434" s="1804"/>
      <c r="CJ434" s="1804"/>
      <c r="CK434" s="1804"/>
      <c r="CL434" s="1804"/>
      <c r="CM434" s="1804"/>
      <c r="CN434" s="1804"/>
      <c r="CO434" s="1804"/>
      <c r="CP434" s="1804"/>
      <c r="CQ434" s="1804"/>
      <c r="CR434" s="1804"/>
      <c r="CS434" s="1804"/>
      <c r="CT434" s="1804"/>
      <c r="CU434" s="1804"/>
      <c r="CV434" s="1804"/>
      <c r="CW434" s="1804"/>
      <c r="CX434" s="1804"/>
      <c r="CY434" s="1804"/>
      <c r="CZ434" s="1804"/>
      <c r="DA434" s="1804"/>
      <c r="DB434" s="1804"/>
      <c r="DC434" s="1804"/>
      <c r="DD434" s="1804"/>
      <c r="DE434" s="1804"/>
      <c r="DF434" s="1804"/>
      <c r="DG434" s="1804"/>
      <c r="DH434" s="1804"/>
      <c r="DI434" s="1804"/>
      <c r="DJ434" s="1804"/>
      <c r="DK434" s="1804"/>
      <c r="DL434" s="1804"/>
      <c r="DM434" s="1804"/>
      <c r="DN434" s="1804"/>
      <c r="DO434" s="1804"/>
      <c r="DP434" s="1804"/>
      <c r="DQ434" s="1804"/>
      <c r="DR434" s="1804"/>
      <c r="DS434" s="1804"/>
      <c r="DT434" s="1804"/>
      <c r="DU434" s="1804"/>
      <c r="DV434" s="1804"/>
      <c r="DW434" s="1804"/>
      <c r="DX434" s="1804"/>
      <c r="DY434" s="1804"/>
      <c r="DZ434" s="1804"/>
      <c r="EA434" s="1804"/>
      <c r="EB434" s="1804"/>
      <c r="EC434" s="1804"/>
      <c r="ED434" s="1804"/>
      <c r="EE434" s="1804"/>
      <c r="EF434" s="1804"/>
      <c r="EG434" s="1804"/>
      <c r="EH434" s="1804"/>
      <c r="EI434" s="1804"/>
      <c r="EJ434" s="1804"/>
      <c r="EK434" s="1804"/>
      <c r="EL434" s="1804"/>
      <c r="EM434" s="1804"/>
      <c r="EN434" s="1804"/>
      <c r="EO434" s="1804"/>
      <c r="EP434" s="1804"/>
      <c r="EQ434" s="1804"/>
      <c r="ER434" s="1804"/>
      <c r="ES434" s="1804"/>
      <c r="ET434" s="1804"/>
      <c r="EU434" s="1804"/>
      <c r="EV434" s="1804"/>
      <c r="EW434" s="1804"/>
      <c r="EX434" s="1804"/>
      <c r="EY434" s="1804"/>
      <c r="EZ434" s="1804"/>
      <c r="FA434" s="1804"/>
      <c r="FB434" s="1804"/>
      <c r="FC434" s="1804"/>
      <c r="FD434" s="1804"/>
      <c r="FE434" s="1804"/>
      <c r="FF434" s="1804"/>
      <c r="FG434" s="1804"/>
      <c r="FH434" s="1804"/>
      <c r="FI434" s="1804"/>
      <c r="FJ434" s="1804"/>
      <c r="FK434" s="1804"/>
      <c r="FL434" s="1804"/>
      <c r="FM434" s="1804"/>
      <c r="FN434" s="1804"/>
      <c r="FO434" s="1804"/>
      <c r="FP434" s="1804"/>
      <c r="FQ434" s="1804"/>
      <c r="FR434" s="1804"/>
      <c r="FS434" s="1804"/>
      <c r="FT434" s="1804"/>
      <c r="FU434" s="1804"/>
      <c r="FV434" s="1804"/>
      <c r="FW434" s="1804"/>
      <c r="FX434" s="1804"/>
      <c r="FY434" s="1804"/>
      <c r="FZ434" s="1804"/>
      <c r="GA434" s="1804"/>
      <c r="GB434" s="1804"/>
      <c r="GC434" s="1804"/>
      <c r="GD434" s="1804"/>
      <c r="GE434" s="1804"/>
      <c r="GF434" s="1804"/>
      <c r="GG434" s="1804"/>
      <c r="GH434" s="1804"/>
      <c r="GI434" s="1804"/>
      <c r="GJ434" s="1804"/>
      <c r="GK434" s="1804"/>
      <c r="GL434" s="1804"/>
      <c r="GM434" s="1804"/>
      <c r="GN434" s="1804"/>
      <c r="GO434" s="1804"/>
      <c r="GP434" s="1804"/>
      <c r="GQ434" s="1804"/>
      <c r="GR434" s="1804"/>
      <c r="GS434" s="1804"/>
      <c r="GT434" s="1804"/>
      <c r="GU434" s="1804"/>
      <c r="GV434" s="1804"/>
      <c r="GW434" s="1804"/>
      <c r="GX434" s="1804"/>
      <c r="GY434" s="1804"/>
      <c r="GZ434" s="1804"/>
      <c r="HA434" s="1804"/>
      <c r="HB434" s="1804"/>
      <c r="HC434" s="1804"/>
      <c r="HD434" s="1804"/>
      <c r="HE434" s="1804"/>
      <c r="HF434" s="1804"/>
      <c r="HG434" s="1804"/>
      <c r="HH434" s="1804"/>
      <c r="HI434" s="1804"/>
      <c r="HJ434" s="1804"/>
      <c r="HK434" s="1804"/>
      <c r="HL434" s="1804"/>
      <c r="HM434" s="1804"/>
      <c r="HN434" s="1804"/>
      <c r="HO434" s="1804"/>
      <c r="HP434" s="1804"/>
      <c r="HQ434" s="1804"/>
      <c r="HR434" s="1804"/>
      <c r="HS434" s="1804"/>
      <c r="HT434" s="1804"/>
      <c r="HU434" s="1804"/>
      <c r="HV434" s="1804"/>
      <c r="HW434" s="1804"/>
      <c r="HX434" s="1804"/>
      <c r="HY434" s="1804"/>
      <c r="HZ434" s="1804"/>
      <c r="IA434" s="1804"/>
      <c r="IB434" s="1804"/>
      <c r="IC434" s="1804"/>
      <c r="ID434" s="1804"/>
      <c r="IE434" s="1804"/>
      <c r="IF434" s="1804"/>
      <c r="IG434" s="1804"/>
      <c r="IH434" s="1804"/>
      <c r="II434" s="1804"/>
      <c r="IJ434" s="1804"/>
      <c r="IK434" s="1804"/>
      <c r="IL434" s="1804"/>
      <c r="IM434" s="1804"/>
      <c r="IN434" s="1804"/>
      <c r="IO434" s="1804"/>
      <c r="IP434" s="1804"/>
      <c r="IQ434" s="1804"/>
      <c r="IR434" s="1804"/>
      <c r="IS434" s="1804"/>
      <c r="IT434" s="1804"/>
      <c r="IU434" s="1804"/>
      <c r="IV434" s="1804"/>
      <c r="IW434" s="1804"/>
    </row>
    <row r="435" spans="3:257" s="888" customFormat="1" x14ac:dyDescent="0.45">
      <c r="C435" s="67" t="s">
        <v>532</v>
      </c>
      <c r="D435" s="68" t="s">
        <v>634</v>
      </c>
      <c r="E435" s="69"/>
      <c r="F435" s="153">
        <v>835412</v>
      </c>
      <c r="G435" s="153">
        <v>2785523</v>
      </c>
      <c r="H435" s="153">
        <v>11485103</v>
      </c>
      <c r="I435" s="153">
        <v>6380819</v>
      </c>
      <c r="J435" s="153">
        <v>74955</v>
      </c>
      <c r="K435" s="153">
        <v>4591518</v>
      </c>
      <c r="L435" s="153">
        <v>6781303</v>
      </c>
      <c r="M435" s="153">
        <v>703360</v>
      </c>
      <c r="N435" s="153">
        <v>3949002</v>
      </c>
      <c r="O435" s="154">
        <v>949157</v>
      </c>
      <c r="P435" s="165">
        <f t="shared" si="76"/>
        <v>26140682</v>
      </c>
      <c r="Q435" s="166">
        <f t="shared" si="77"/>
        <v>12395470</v>
      </c>
      <c r="R435" s="168">
        <f t="shared" si="75"/>
        <v>38536152</v>
      </c>
      <c r="S435" s="155">
        <f t="shared" si="78"/>
        <v>393895588.33599997</v>
      </c>
      <c r="T435" s="1804"/>
      <c r="U435" s="1804"/>
      <c r="V435" s="1804"/>
      <c r="W435" s="1804"/>
      <c r="X435" s="1804"/>
      <c r="Y435" s="1804"/>
      <c r="Z435" s="1804"/>
      <c r="AA435" s="1804"/>
      <c r="AB435" s="1804"/>
      <c r="AC435" s="1804"/>
      <c r="AD435" s="1804"/>
      <c r="AE435" s="1804"/>
      <c r="AF435" s="1804"/>
      <c r="AG435" s="1804"/>
      <c r="AH435" s="1804"/>
      <c r="AI435" s="1804"/>
      <c r="AJ435" s="1804"/>
      <c r="AK435" s="1804"/>
      <c r="AL435" s="1804"/>
      <c r="AM435" s="1804"/>
      <c r="AN435" s="1804"/>
      <c r="AO435" s="1804"/>
      <c r="AP435" s="1804"/>
      <c r="AQ435" s="1804"/>
      <c r="AR435" s="1804"/>
      <c r="AS435" s="1804"/>
      <c r="AT435" s="1804"/>
      <c r="AU435" s="1804"/>
      <c r="AV435" s="1804"/>
      <c r="AW435" s="1804"/>
      <c r="AX435" s="1804"/>
      <c r="AY435" s="1804"/>
      <c r="AZ435" s="1804"/>
      <c r="BA435" s="1804"/>
      <c r="BB435" s="1804"/>
      <c r="BC435" s="1804"/>
      <c r="BD435" s="1804"/>
      <c r="BE435" s="1804"/>
      <c r="BF435" s="1804"/>
      <c r="BG435" s="1804"/>
      <c r="BH435" s="1804"/>
      <c r="BI435" s="1804"/>
      <c r="BJ435" s="1804"/>
      <c r="BK435" s="1804"/>
      <c r="BL435" s="1804"/>
      <c r="BM435" s="1804"/>
      <c r="BN435" s="1804"/>
      <c r="BO435" s="1804"/>
      <c r="BP435" s="1804"/>
      <c r="BQ435" s="1804"/>
      <c r="BR435" s="1804"/>
      <c r="BS435" s="1804"/>
      <c r="BT435" s="1804"/>
      <c r="BU435" s="1804"/>
      <c r="BV435" s="1804"/>
      <c r="BW435" s="1804"/>
      <c r="BX435" s="1804"/>
      <c r="BY435" s="1804"/>
      <c r="BZ435" s="1804"/>
      <c r="CA435" s="1804"/>
      <c r="CB435" s="1804"/>
      <c r="CC435" s="1804"/>
      <c r="CD435" s="1804"/>
      <c r="CE435" s="1804"/>
      <c r="CF435" s="1804"/>
      <c r="CG435" s="1804"/>
      <c r="CH435" s="1804"/>
      <c r="CI435" s="1804"/>
      <c r="CJ435" s="1804"/>
      <c r="CK435" s="1804"/>
      <c r="CL435" s="1804"/>
      <c r="CM435" s="1804"/>
      <c r="CN435" s="1804"/>
      <c r="CO435" s="1804"/>
      <c r="CP435" s="1804"/>
      <c r="CQ435" s="1804"/>
      <c r="CR435" s="1804"/>
      <c r="CS435" s="1804"/>
      <c r="CT435" s="1804"/>
      <c r="CU435" s="1804"/>
      <c r="CV435" s="1804"/>
      <c r="CW435" s="1804"/>
      <c r="CX435" s="1804"/>
      <c r="CY435" s="1804"/>
      <c r="CZ435" s="1804"/>
      <c r="DA435" s="1804"/>
      <c r="DB435" s="1804"/>
      <c r="DC435" s="1804"/>
      <c r="DD435" s="1804"/>
      <c r="DE435" s="1804"/>
      <c r="DF435" s="1804"/>
      <c r="DG435" s="1804"/>
      <c r="DH435" s="1804"/>
      <c r="DI435" s="1804"/>
      <c r="DJ435" s="1804"/>
      <c r="DK435" s="1804"/>
      <c r="DL435" s="1804"/>
      <c r="DM435" s="1804"/>
      <c r="DN435" s="1804"/>
      <c r="DO435" s="1804"/>
      <c r="DP435" s="1804"/>
      <c r="DQ435" s="1804"/>
      <c r="DR435" s="1804"/>
      <c r="DS435" s="1804"/>
      <c r="DT435" s="1804"/>
      <c r="DU435" s="1804"/>
      <c r="DV435" s="1804"/>
      <c r="DW435" s="1804"/>
      <c r="DX435" s="1804"/>
      <c r="DY435" s="1804"/>
      <c r="DZ435" s="1804"/>
      <c r="EA435" s="1804"/>
      <c r="EB435" s="1804"/>
      <c r="EC435" s="1804"/>
      <c r="ED435" s="1804"/>
      <c r="EE435" s="1804"/>
      <c r="EF435" s="1804"/>
      <c r="EG435" s="1804"/>
      <c r="EH435" s="1804"/>
      <c r="EI435" s="1804"/>
      <c r="EJ435" s="1804"/>
      <c r="EK435" s="1804"/>
      <c r="EL435" s="1804"/>
      <c r="EM435" s="1804"/>
      <c r="EN435" s="1804"/>
      <c r="EO435" s="1804"/>
      <c r="EP435" s="1804"/>
      <c r="EQ435" s="1804"/>
      <c r="ER435" s="1804"/>
      <c r="ES435" s="1804"/>
      <c r="ET435" s="1804"/>
      <c r="EU435" s="1804"/>
      <c r="EV435" s="1804"/>
      <c r="EW435" s="1804"/>
      <c r="EX435" s="1804"/>
      <c r="EY435" s="1804"/>
      <c r="EZ435" s="1804"/>
      <c r="FA435" s="1804"/>
      <c r="FB435" s="1804"/>
      <c r="FC435" s="1804"/>
      <c r="FD435" s="1804"/>
      <c r="FE435" s="1804"/>
      <c r="FF435" s="1804"/>
      <c r="FG435" s="1804"/>
      <c r="FH435" s="1804"/>
      <c r="FI435" s="1804"/>
      <c r="FJ435" s="1804"/>
      <c r="FK435" s="1804"/>
      <c r="FL435" s="1804"/>
      <c r="FM435" s="1804"/>
      <c r="FN435" s="1804"/>
      <c r="FO435" s="1804"/>
      <c r="FP435" s="1804"/>
      <c r="FQ435" s="1804"/>
      <c r="FR435" s="1804"/>
      <c r="FS435" s="1804"/>
      <c r="FT435" s="1804"/>
      <c r="FU435" s="1804"/>
      <c r="FV435" s="1804"/>
      <c r="FW435" s="1804"/>
      <c r="FX435" s="1804"/>
      <c r="FY435" s="1804"/>
      <c r="FZ435" s="1804"/>
      <c r="GA435" s="1804"/>
      <c r="GB435" s="1804"/>
      <c r="GC435" s="1804"/>
      <c r="GD435" s="1804"/>
      <c r="GE435" s="1804"/>
      <c r="GF435" s="1804"/>
      <c r="GG435" s="1804"/>
      <c r="GH435" s="1804"/>
      <c r="GI435" s="1804"/>
      <c r="GJ435" s="1804"/>
      <c r="GK435" s="1804"/>
      <c r="GL435" s="1804"/>
      <c r="GM435" s="1804"/>
      <c r="GN435" s="1804"/>
      <c r="GO435" s="1804"/>
      <c r="GP435" s="1804"/>
      <c r="GQ435" s="1804"/>
      <c r="GR435" s="1804"/>
      <c r="GS435" s="1804"/>
      <c r="GT435" s="1804"/>
      <c r="GU435" s="1804"/>
      <c r="GV435" s="1804"/>
      <c r="GW435" s="1804"/>
      <c r="GX435" s="1804"/>
      <c r="GY435" s="1804"/>
      <c r="GZ435" s="1804"/>
      <c r="HA435" s="1804"/>
      <c r="HB435" s="1804"/>
      <c r="HC435" s="1804"/>
      <c r="HD435" s="1804"/>
      <c r="HE435" s="1804"/>
      <c r="HF435" s="1804"/>
      <c r="HG435" s="1804"/>
      <c r="HH435" s="1804"/>
      <c r="HI435" s="1804"/>
      <c r="HJ435" s="1804"/>
      <c r="HK435" s="1804"/>
      <c r="HL435" s="1804"/>
      <c r="HM435" s="1804"/>
      <c r="HN435" s="1804"/>
      <c r="HO435" s="1804"/>
      <c r="HP435" s="1804"/>
      <c r="HQ435" s="1804"/>
      <c r="HR435" s="1804"/>
      <c r="HS435" s="1804"/>
      <c r="HT435" s="1804"/>
      <c r="HU435" s="1804"/>
      <c r="HV435" s="1804"/>
      <c r="HW435" s="1804"/>
      <c r="HX435" s="1804"/>
      <c r="HY435" s="1804"/>
      <c r="HZ435" s="1804"/>
      <c r="IA435" s="1804"/>
      <c r="IB435" s="1804"/>
      <c r="IC435" s="1804"/>
      <c r="ID435" s="1804"/>
      <c r="IE435" s="1804"/>
      <c r="IF435" s="1804"/>
      <c r="IG435" s="1804"/>
      <c r="IH435" s="1804"/>
      <c r="II435" s="1804"/>
      <c r="IJ435" s="1804"/>
      <c r="IK435" s="1804"/>
      <c r="IL435" s="1804"/>
      <c r="IM435" s="1804"/>
      <c r="IN435" s="1804"/>
      <c r="IO435" s="1804"/>
      <c r="IP435" s="1804"/>
      <c r="IQ435" s="1804"/>
      <c r="IR435" s="1804"/>
      <c r="IS435" s="1804"/>
      <c r="IT435" s="1804"/>
      <c r="IU435" s="1804"/>
      <c r="IV435" s="1804"/>
      <c r="IW435" s="1804"/>
    </row>
    <row r="436" spans="3:257" s="888" customFormat="1" x14ac:dyDescent="0.45">
      <c r="C436" s="67" t="s">
        <v>533</v>
      </c>
      <c r="D436" s="68" t="s">
        <v>635</v>
      </c>
      <c r="E436" s="69"/>
      <c r="F436" s="153">
        <v>1183154</v>
      </c>
      <c r="G436" s="153">
        <v>3685940</v>
      </c>
      <c r="H436" s="153">
        <v>64500199</v>
      </c>
      <c r="I436" s="153">
        <v>35042256</v>
      </c>
      <c r="J436" s="153">
        <v>254769</v>
      </c>
      <c r="K436" s="153">
        <v>16985635</v>
      </c>
      <c r="L436" s="153">
        <v>9606548</v>
      </c>
      <c r="M436" s="153">
        <v>4003263</v>
      </c>
      <c r="N436" s="153">
        <v>12410001</v>
      </c>
      <c r="O436" s="154">
        <v>5535811</v>
      </c>
      <c r="P436" s="165">
        <f t="shared" si="76"/>
        <v>87269454</v>
      </c>
      <c r="Q436" s="166">
        <f t="shared" si="77"/>
        <v>65938122</v>
      </c>
      <c r="R436" s="168">
        <f t="shared" si="75"/>
        <v>153207576</v>
      </c>
      <c r="S436" s="155">
        <f t="shared" si="78"/>
        <v>1547281327.6800001</v>
      </c>
      <c r="T436" s="1804"/>
      <c r="U436" s="1804"/>
      <c r="V436" s="1804"/>
      <c r="W436" s="1804"/>
      <c r="X436" s="1804"/>
      <c r="Y436" s="1804"/>
      <c r="Z436" s="1804"/>
      <c r="AA436" s="1804"/>
      <c r="AB436" s="1804"/>
      <c r="AC436" s="1804"/>
      <c r="AD436" s="1804"/>
      <c r="AE436" s="1804"/>
      <c r="AF436" s="1804"/>
      <c r="AG436" s="1804"/>
      <c r="AH436" s="1804"/>
      <c r="AI436" s="1804"/>
      <c r="AJ436" s="1804"/>
      <c r="AK436" s="1804"/>
      <c r="AL436" s="1804"/>
      <c r="AM436" s="1804"/>
      <c r="AN436" s="1804"/>
      <c r="AO436" s="1804"/>
      <c r="AP436" s="1804"/>
      <c r="AQ436" s="1804"/>
      <c r="AR436" s="1804"/>
      <c r="AS436" s="1804"/>
      <c r="AT436" s="1804"/>
      <c r="AU436" s="1804"/>
      <c r="AV436" s="1804"/>
      <c r="AW436" s="1804"/>
      <c r="AX436" s="1804"/>
      <c r="AY436" s="1804"/>
      <c r="AZ436" s="1804"/>
      <c r="BA436" s="1804"/>
      <c r="BB436" s="1804"/>
      <c r="BC436" s="1804"/>
      <c r="BD436" s="1804"/>
      <c r="BE436" s="1804"/>
      <c r="BF436" s="1804"/>
      <c r="BG436" s="1804"/>
      <c r="BH436" s="1804"/>
      <c r="BI436" s="1804"/>
      <c r="BJ436" s="1804"/>
      <c r="BK436" s="1804"/>
      <c r="BL436" s="1804"/>
      <c r="BM436" s="1804"/>
      <c r="BN436" s="1804"/>
      <c r="BO436" s="1804"/>
      <c r="BP436" s="1804"/>
      <c r="BQ436" s="1804"/>
      <c r="BR436" s="1804"/>
      <c r="BS436" s="1804"/>
      <c r="BT436" s="1804"/>
      <c r="BU436" s="1804"/>
      <c r="BV436" s="1804"/>
      <c r="BW436" s="1804"/>
      <c r="BX436" s="1804"/>
      <c r="BY436" s="1804"/>
      <c r="BZ436" s="1804"/>
      <c r="CA436" s="1804"/>
      <c r="CB436" s="1804"/>
      <c r="CC436" s="1804"/>
      <c r="CD436" s="1804"/>
      <c r="CE436" s="1804"/>
      <c r="CF436" s="1804"/>
      <c r="CG436" s="1804"/>
      <c r="CH436" s="1804"/>
      <c r="CI436" s="1804"/>
      <c r="CJ436" s="1804"/>
      <c r="CK436" s="1804"/>
      <c r="CL436" s="1804"/>
      <c r="CM436" s="1804"/>
      <c r="CN436" s="1804"/>
      <c r="CO436" s="1804"/>
      <c r="CP436" s="1804"/>
      <c r="CQ436" s="1804"/>
      <c r="CR436" s="1804"/>
      <c r="CS436" s="1804"/>
      <c r="CT436" s="1804"/>
      <c r="CU436" s="1804"/>
      <c r="CV436" s="1804"/>
      <c r="CW436" s="1804"/>
      <c r="CX436" s="1804"/>
      <c r="CY436" s="1804"/>
      <c r="CZ436" s="1804"/>
      <c r="DA436" s="1804"/>
      <c r="DB436" s="1804"/>
      <c r="DC436" s="1804"/>
      <c r="DD436" s="1804"/>
      <c r="DE436" s="1804"/>
      <c r="DF436" s="1804"/>
      <c r="DG436" s="1804"/>
      <c r="DH436" s="1804"/>
      <c r="DI436" s="1804"/>
      <c r="DJ436" s="1804"/>
      <c r="DK436" s="1804"/>
      <c r="DL436" s="1804"/>
      <c r="DM436" s="1804"/>
      <c r="DN436" s="1804"/>
      <c r="DO436" s="1804"/>
      <c r="DP436" s="1804"/>
      <c r="DQ436" s="1804"/>
      <c r="DR436" s="1804"/>
      <c r="DS436" s="1804"/>
      <c r="DT436" s="1804"/>
      <c r="DU436" s="1804"/>
      <c r="DV436" s="1804"/>
      <c r="DW436" s="1804"/>
      <c r="DX436" s="1804"/>
      <c r="DY436" s="1804"/>
      <c r="DZ436" s="1804"/>
      <c r="EA436" s="1804"/>
      <c r="EB436" s="1804"/>
      <c r="EC436" s="1804"/>
      <c r="ED436" s="1804"/>
      <c r="EE436" s="1804"/>
      <c r="EF436" s="1804"/>
      <c r="EG436" s="1804"/>
      <c r="EH436" s="1804"/>
      <c r="EI436" s="1804"/>
      <c r="EJ436" s="1804"/>
      <c r="EK436" s="1804"/>
      <c r="EL436" s="1804"/>
      <c r="EM436" s="1804"/>
      <c r="EN436" s="1804"/>
      <c r="EO436" s="1804"/>
      <c r="EP436" s="1804"/>
      <c r="EQ436" s="1804"/>
      <c r="ER436" s="1804"/>
      <c r="ES436" s="1804"/>
      <c r="ET436" s="1804"/>
      <c r="EU436" s="1804"/>
      <c r="EV436" s="1804"/>
      <c r="EW436" s="1804"/>
      <c r="EX436" s="1804"/>
      <c r="EY436" s="1804"/>
      <c r="EZ436" s="1804"/>
      <c r="FA436" s="1804"/>
      <c r="FB436" s="1804"/>
      <c r="FC436" s="1804"/>
      <c r="FD436" s="1804"/>
      <c r="FE436" s="1804"/>
      <c r="FF436" s="1804"/>
      <c r="FG436" s="1804"/>
      <c r="FH436" s="1804"/>
      <c r="FI436" s="1804"/>
      <c r="FJ436" s="1804"/>
      <c r="FK436" s="1804"/>
      <c r="FL436" s="1804"/>
      <c r="FM436" s="1804"/>
      <c r="FN436" s="1804"/>
      <c r="FO436" s="1804"/>
      <c r="FP436" s="1804"/>
      <c r="FQ436" s="1804"/>
      <c r="FR436" s="1804"/>
      <c r="FS436" s="1804"/>
      <c r="FT436" s="1804"/>
      <c r="FU436" s="1804"/>
      <c r="FV436" s="1804"/>
      <c r="FW436" s="1804"/>
      <c r="FX436" s="1804"/>
      <c r="FY436" s="1804"/>
      <c r="FZ436" s="1804"/>
      <c r="GA436" s="1804"/>
      <c r="GB436" s="1804"/>
      <c r="GC436" s="1804"/>
      <c r="GD436" s="1804"/>
      <c r="GE436" s="1804"/>
      <c r="GF436" s="1804"/>
      <c r="GG436" s="1804"/>
      <c r="GH436" s="1804"/>
      <c r="GI436" s="1804"/>
      <c r="GJ436" s="1804"/>
      <c r="GK436" s="1804"/>
      <c r="GL436" s="1804"/>
      <c r="GM436" s="1804"/>
      <c r="GN436" s="1804"/>
      <c r="GO436" s="1804"/>
      <c r="GP436" s="1804"/>
      <c r="GQ436" s="1804"/>
      <c r="GR436" s="1804"/>
      <c r="GS436" s="1804"/>
      <c r="GT436" s="1804"/>
      <c r="GU436" s="1804"/>
      <c r="GV436" s="1804"/>
      <c r="GW436" s="1804"/>
      <c r="GX436" s="1804"/>
      <c r="GY436" s="1804"/>
      <c r="GZ436" s="1804"/>
      <c r="HA436" s="1804"/>
      <c r="HB436" s="1804"/>
      <c r="HC436" s="1804"/>
      <c r="HD436" s="1804"/>
      <c r="HE436" s="1804"/>
      <c r="HF436" s="1804"/>
      <c r="HG436" s="1804"/>
      <c r="HH436" s="1804"/>
      <c r="HI436" s="1804"/>
      <c r="HJ436" s="1804"/>
      <c r="HK436" s="1804"/>
      <c r="HL436" s="1804"/>
      <c r="HM436" s="1804"/>
      <c r="HN436" s="1804"/>
      <c r="HO436" s="1804"/>
      <c r="HP436" s="1804"/>
      <c r="HQ436" s="1804"/>
      <c r="HR436" s="1804"/>
      <c r="HS436" s="1804"/>
      <c r="HT436" s="1804"/>
      <c r="HU436" s="1804"/>
      <c r="HV436" s="1804"/>
      <c r="HW436" s="1804"/>
      <c r="HX436" s="1804"/>
      <c r="HY436" s="1804"/>
      <c r="HZ436" s="1804"/>
      <c r="IA436" s="1804"/>
      <c r="IB436" s="1804"/>
      <c r="IC436" s="1804"/>
      <c r="ID436" s="1804"/>
      <c r="IE436" s="1804"/>
      <c r="IF436" s="1804"/>
      <c r="IG436" s="1804"/>
      <c r="IH436" s="1804"/>
      <c r="II436" s="1804"/>
      <c r="IJ436" s="1804"/>
      <c r="IK436" s="1804"/>
      <c r="IL436" s="1804"/>
      <c r="IM436" s="1804"/>
      <c r="IN436" s="1804"/>
      <c r="IO436" s="1804"/>
      <c r="IP436" s="1804"/>
      <c r="IQ436" s="1804"/>
      <c r="IR436" s="1804"/>
      <c r="IS436" s="1804"/>
      <c r="IT436" s="1804"/>
      <c r="IU436" s="1804"/>
      <c r="IV436" s="1804"/>
      <c r="IW436" s="1804"/>
    </row>
    <row r="437" spans="3:257" s="888" customFormat="1" x14ac:dyDescent="0.45">
      <c r="C437" s="67" t="s">
        <v>534</v>
      </c>
      <c r="D437" s="68" t="s">
        <v>636</v>
      </c>
      <c r="E437" s="69"/>
      <c r="F437" s="153">
        <v>304494</v>
      </c>
      <c r="G437" s="153">
        <v>481879</v>
      </c>
      <c r="H437" s="153">
        <v>20071384</v>
      </c>
      <c r="I437" s="153">
        <v>10975805</v>
      </c>
      <c r="J437" s="153">
        <v>84702</v>
      </c>
      <c r="K437" s="153">
        <v>5450640</v>
      </c>
      <c r="L437" s="153">
        <v>3990995</v>
      </c>
      <c r="M437" s="153">
        <v>819517</v>
      </c>
      <c r="N437" s="153">
        <v>6328439</v>
      </c>
      <c r="O437" s="154">
        <v>3150696</v>
      </c>
      <c r="P437" s="165">
        <f t="shared" si="76"/>
        <v>31197971</v>
      </c>
      <c r="Q437" s="166">
        <f t="shared" si="77"/>
        <v>20460580</v>
      </c>
      <c r="R437" s="168">
        <f t="shared" si="75"/>
        <v>51658551</v>
      </c>
      <c r="S437" s="155">
        <f t="shared" si="78"/>
        <v>523704753.31299996</v>
      </c>
      <c r="T437" s="1804"/>
      <c r="U437" s="1804"/>
      <c r="V437" s="1804"/>
      <c r="W437" s="1804"/>
      <c r="X437" s="1804"/>
      <c r="Y437" s="1804"/>
      <c r="Z437" s="1804"/>
      <c r="AA437" s="1804"/>
      <c r="AB437" s="1804"/>
      <c r="AC437" s="1804"/>
      <c r="AD437" s="1804"/>
      <c r="AE437" s="1804"/>
      <c r="AF437" s="1804"/>
      <c r="AG437" s="1804"/>
      <c r="AH437" s="1804"/>
      <c r="AI437" s="1804"/>
      <c r="AJ437" s="1804"/>
      <c r="AK437" s="1804"/>
      <c r="AL437" s="1804"/>
      <c r="AM437" s="1804"/>
      <c r="AN437" s="1804"/>
      <c r="AO437" s="1804"/>
      <c r="AP437" s="1804"/>
      <c r="AQ437" s="1804"/>
      <c r="AR437" s="1804"/>
      <c r="AS437" s="1804"/>
      <c r="AT437" s="1804"/>
      <c r="AU437" s="1804"/>
      <c r="AV437" s="1804"/>
      <c r="AW437" s="1804"/>
      <c r="AX437" s="1804"/>
      <c r="AY437" s="1804"/>
      <c r="AZ437" s="1804"/>
      <c r="BA437" s="1804"/>
      <c r="BB437" s="1804"/>
      <c r="BC437" s="1804"/>
      <c r="BD437" s="1804"/>
      <c r="BE437" s="1804"/>
      <c r="BF437" s="1804"/>
      <c r="BG437" s="1804"/>
      <c r="BH437" s="1804"/>
      <c r="BI437" s="1804"/>
      <c r="BJ437" s="1804"/>
      <c r="BK437" s="1804"/>
      <c r="BL437" s="1804"/>
      <c r="BM437" s="1804"/>
      <c r="BN437" s="1804"/>
      <c r="BO437" s="1804"/>
      <c r="BP437" s="1804"/>
      <c r="BQ437" s="1804"/>
      <c r="BR437" s="1804"/>
      <c r="BS437" s="1804"/>
      <c r="BT437" s="1804"/>
      <c r="BU437" s="1804"/>
      <c r="BV437" s="1804"/>
      <c r="BW437" s="1804"/>
      <c r="BX437" s="1804"/>
      <c r="BY437" s="1804"/>
      <c r="BZ437" s="1804"/>
      <c r="CA437" s="1804"/>
      <c r="CB437" s="1804"/>
      <c r="CC437" s="1804"/>
      <c r="CD437" s="1804"/>
      <c r="CE437" s="1804"/>
      <c r="CF437" s="1804"/>
      <c r="CG437" s="1804"/>
      <c r="CH437" s="1804"/>
      <c r="CI437" s="1804"/>
      <c r="CJ437" s="1804"/>
      <c r="CK437" s="1804"/>
      <c r="CL437" s="1804"/>
      <c r="CM437" s="1804"/>
      <c r="CN437" s="1804"/>
      <c r="CO437" s="1804"/>
      <c r="CP437" s="1804"/>
      <c r="CQ437" s="1804"/>
      <c r="CR437" s="1804"/>
      <c r="CS437" s="1804"/>
      <c r="CT437" s="1804"/>
      <c r="CU437" s="1804"/>
      <c r="CV437" s="1804"/>
      <c r="CW437" s="1804"/>
      <c r="CX437" s="1804"/>
      <c r="CY437" s="1804"/>
      <c r="CZ437" s="1804"/>
      <c r="DA437" s="1804"/>
      <c r="DB437" s="1804"/>
      <c r="DC437" s="1804"/>
      <c r="DD437" s="1804"/>
      <c r="DE437" s="1804"/>
      <c r="DF437" s="1804"/>
      <c r="DG437" s="1804"/>
      <c r="DH437" s="1804"/>
      <c r="DI437" s="1804"/>
      <c r="DJ437" s="1804"/>
      <c r="DK437" s="1804"/>
      <c r="DL437" s="1804"/>
      <c r="DM437" s="1804"/>
      <c r="DN437" s="1804"/>
      <c r="DO437" s="1804"/>
      <c r="DP437" s="1804"/>
      <c r="DQ437" s="1804"/>
      <c r="DR437" s="1804"/>
      <c r="DS437" s="1804"/>
      <c r="DT437" s="1804"/>
      <c r="DU437" s="1804"/>
      <c r="DV437" s="1804"/>
      <c r="DW437" s="1804"/>
      <c r="DX437" s="1804"/>
      <c r="DY437" s="1804"/>
      <c r="DZ437" s="1804"/>
      <c r="EA437" s="1804"/>
      <c r="EB437" s="1804"/>
      <c r="EC437" s="1804"/>
      <c r="ED437" s="1804"/>
      <c r="EE437" s="1804"/>
      <c r="EF437" s="1804"/>
      <c r="EG437" s="1804"/>
      <c r="EH437" s="1804"/>
      <c r="EI437" s="1804"/>
      <c r="EJ437" s="1804"/>
      <c r="EK437" s="1804"/>
      <c r="EL437" s="1804"/>
      <c r="EM437" s="1804"/>
      <c r="EN437" s="1804"/>
      <c r="EO437" s="1804"/>
      <c r="EP437" s="1804"/>
      <c r="EQ437" s="1804"/>
      <c r="ER437" s="1804"/>
      <c r="ES437" s="1804"/>
      <c r="ET437" s="1804"/>
      <c r="EU437" s="1804"/>
      <c r="EV437" s="1804"/>
      <c r="EW437" s="1804"/>
      <c r="EX437" s="1804"/>
      <c r="EY437" s="1804"/>
      <c r="EZ437" s="1804"/>
      <c r="FA437" s="1804"/>
      <c r="FB437" s="1804"/>
      <c r="FC437" s="1804"/>
      <c r="FD437" s="1804"/>
      <c r="FE437" s="1804"/>
      <c r="FF437" s="1804"/>
      <c r="FG437" s="1804"/>
      <c r="FH437" s="1804"/>
      <c r="FI437" s="1804"/>
      <c r="FJ437" s="1804"/>
      <c r="FK437" s="1804"/>
      <c r="FL437" s="1804"/>
      <c r="FM437" s="1804"/>
      <c r="FN437" s="1804"/>
      <c r="FO437" s="1804"/>
      <c r="FP437" s="1804"/>
      <c r="FQ437" s="1804"/>
      <c r="FR437" s="1804"/>
      <c r="FS437" s="1804"/>
      <c r="FT437" s="1804"/>
      <c r="FU437" s="1804"/>
      <c r="FV437" s="1804"/>
      <c r="FW437" s="1804"/>
      <c r="FX437" s="1804"/>
      <c r="FY437" s="1804"/>
      <c r="FZ437" s="1804"/>
      <c r="GA437" s="1804"/>
      <c r="GB437" s="1804"/>
      <c r="GC437" s="1804"/>
      <c r="GD437" s="1804"/>
      <c r="GE437" s="1804"/>
      <c r="GF437" s="1804"/>
      <c r="GG437" s="1804"/>
      <c r="GH437" s="1804"/>
      <c r="GI437" s="1804"/>
      <c r="GJ437" s="1804"/>
      <c r="GK437" s="1804"/>
      <c r="GL437" s="1804"/>
      <c r="GM437" s="1804"/>
      <c r="GN437" s="1804"/>
      <c r="GO437" s="1804"/>
      <c r="GP437" s="1804"/>
      <c r="GQ437" s="1804"/>
      <c r="GR437" s="1804"/>
      <c r="GS437" s="1804"/>
      <c r="GT437" s="1804"/>
      <c r="GU437" s="1804"/>
      <c r="GV437" s="1804"/>
      <c r="GW437" s="1804"/>
      <c r="GX437" s="1804"/>
      <c r="GY437" s="1804"/>
      <c r="GZ437" s="1804"/>
      <c r="HA437" s="1804"/>
      <c r="HB437" s="1804"/>
      <c r="HC437" s="1804"/>
      <c r="HD437" s="1804"/>
      <c r="HE437" s="1804"/>
      <c r="HF437" s="1804"/>
      <c r="HG437" s="1804"/>
      <c r="HH437" s="1804"/>
      <c r="HI437" s="1804"/>
      <c r="HJ437" s="1804"/>
      <c r="HK437" s="1804"/>
      <c r="HL437" s="1804"/>
      <c r="HM437" s="1804"/>
      <c r="HN437" s="1804"/>
      <c r="HO437" s="1804"/>
      <c r="HP437" s="1804"/>
      <c r="HQ437" s="1804"/>
      <c r="HR437" s="1804"/>
      <c r="HS437" s="1804"/>
      <c r="HT437" s="1804"/>
      <c r="HU437" s="1804"/>
      <c r="HV437" s="1804"/>
      <c r="HW437" s="1804"/>
      <c r="HX437" s="1804"/>
      <c r="HY437" s="1804"/>
      <c r="HZ437" s="1804"/>
      <c r="IA437" s="1804"/>
      <c r="IB437" s="1804"/>
      <c r="IC437" s="1804"/>
      <c r="ID437" s="1804"/>
      <c r="IE437" s="1804"/>
      <c r="IF437" s="1804"/>
      <c r="IG437" s="1804"/>
      <c r="IH437" s="1804"/>
      <c r="II437" s="1804"/>
      <c r="IJ437" s="1804"/>
      <c r="IK437" s="1804"/>
      <c r="IL437" s="1804"/>
      <c r="IM437" s="1804"/>
      <c r="IN437" s="1804"/>
      <c r="IO437" s="1804"/>
      <c r="IP437" s="1804"/>
      <c r="IQ437" s="1804"/>
      <c r="IR437" s="1804"/>
      <c r="IS437" s="1804"/>
      <c r="IT437" s="1804"/>
      <c r="IU437" s="1804"/>
      <c r="IV437" s="1804"/>
      <c r="IW437" s="1804"/>
    </row>
    <row r="438" spans="3:257" s="888" customFormat="1" x14ac:dyDescent="0.45">
      <c r="C438" s="67" t="s">
        <v>535</v>
      </c>
      <c r="D438" s="68" t="s">
        <v>637</v>
      </c>
      <c r="E438" s="69"/>
      <c r="F438" s="153">
        <v>948759</v>
      </c>
      <c r="G438" s="153">
        <v>6595482</v>
      </c>
      <c r="H438" s="153">
        <v>12956665</v>
      </c>
      <c r="I438" s="153">
        <v>6890328</v>
      </c>
      <c r="J438" s="153">
        <v>83513</v>
      </c>
      <c r="K438" s="153">
        <v>5133625</v>
      </c>
      <c r="L438" s="153">
        <v>5802402</v>
      </c>
      <c r="M438" s="153">
        <v>1965643</v>
      </c>
      <c r="N438" s="153">
        <v>3670521</v>
      </c>
      <c r="O438" s="154">
        <v>637302</v>
      </c>
      <c r="P438" s="165">
        <f t="shared" si="76"/>
        <v>30695303</v>
      </c>
      <c r="Q438" s="166">
        <f t="shared" si="77"/>
        <v>13988937</v>
      </c>
      <c r="R438" s="168">
        <f t="shared" si="75"/>
        <v>44684240</v>
      </c>
      <c r="S438" s="155">
        <f t="shared" si="78"/>
        <v>457169746.73199999</v>
      </c>
      <c r="T438" s="1804"/>
      <c r="U438" s="1804"/>
      <c r="V438" s="1804"/>
      <c r="W438" s="1804"/>
      <c r="X438" s="1804"/>
      <c r="Y438" s="1804"/>
      <c r="Z438" s="1804"/>
      <c r="AA438" s="1804"/>
      <c r="AB438" s="1804"/>
      <c r="AC438" s="1804"/>
      <c r="AD438" s="1804"/>
      <c r="AE438" s="1804"/>
      <c r="AF438" s="1804"/>
      <c r="AG438" s="1804"/>
      <c r="AH438" s="1804"/>
      <c r="AI438" s="1804"/>
      <c r="AJ438" s="1804"/>
      <c r="AK438" s="1804"/>
      <c r="AL438" s="1804"/>
      <c r="AM438" s="1804"/>
      <c r="AN438" s="1804"/>
      <c r="AO438" s="1804"/>
      <c r="AP438" s="1804"/>
      <c r="AQ438" s="1804"/>
      <c r="AR438" s="1804"/>
      <c r="AS438" s="1804"/>
      <c r="AT438" s="1804"/>
      <c r="AU438" s="1804"/>
      <c r="AV438" s="1804"/>
      <c r="AW438" s="1804"/>
      <c r="AX438" s="1804"/>
      <c r="AY438" s="1804"/>
      <c r="AZ438" s="1804"/>
      <c r="BA438" s="1804"/>
      <c r="BB438" s="1804"/>
      <c r="BC438" s="1804"/>
      <c r="BD438" s="1804"/>
      <c r="BE438" s="1804"/>
      <c r="BF438" s="1804"/>
      <c r="BG438" s="1804"/>
      <c r="BH438" s="1804"/>
      <c r="BI438" s="1804"/>
      <c r="BJ438" s="1804"/>
      <c r="BK438" s="1804"/>
      <c r="BL438" s="1804"/>
      <c r="BM438" s="1804"/>
      <c r="BN438" s="1804"/>
      <c r="BO438" s="1804"/>
      <c r="BP438" s="1804"/>
      <c r="BQ438" s="1804"/>
      <c r="BR438" s="1804"/>
      <c r="BS438" s="1804"/>
      <c r="BT438" s="1804"/>
      <c r="BU438" s="1804"/>
      <c r="BV438" s="1804"/>
      <c r="BW438" s="1804"/>
      <c r="BX438" s="1804"/>
      <c r="BY438" s="1804"/>
      <c r="BZ438" s="1804"/>
      <c r="CA438" s="1804"/>
      <c r="CB438" s="1804"/>
      <c r="CC438" s="1804"/>
      <c r="CD438" s="1804"/>
      <c r="CE438" s="1804"/>
      <c r="CF438" s="1804"/>
      <c r="CG438" s="1804"/>
      <c r="CH438" s="1804"/>
      <c r="CI438" s="1804"/>
      <c r="CJ438" s="1804"/>
      <c r="CK438" s="1804"/>
      <c r="CL438" s="1804"/>
      <c r="CM438" s="1804"/>
      <c r="CN438" s="1804"/>
      <c r="CO438" s="1804"/>
      <c r="CP438" s="1804"/>
      <c r="CQ438" s="1804"/>
      <c r="CR438" s="1804"/>
      <c r="CS438" s="1804"/>
      <c r="CT438" s="1804"/>
      <c r="CU438" s="1804"/>
      <c r="CV438" s="1804"/>
      <c r="CW438" s="1804"/>
      <c r="CX438" s="1804"/>
      <c r="CY438" s="1804"/>
      <c r="CZ438" s="1804"/>
      <c r="DA438" s="1804"/>
      <c r="DB438" s="1804"/>
      <c r="DC438" s="1804"/>
      <c r="DD438" s="1804"/>
      <c r="DE438" s="1804"/>
      <c r="DF438" s="1804"/>
      <c r="DG438" s="1804"/>
      <c r="DH438" s="1804"/>
      <c r="DI438" s="1804"/>
      <c r="DJ438" s="1804"/>
      <c r="DK438" s="1804"/>
      <c r="DL438" s="1804"/>
      <c r="DM438" s="1804"/>
      <c r="DN438" s="1804"/>
      <c r="DO438" s="1804"/>
      <c r="DP438" s="1804"/>
      <c r="DQ438" s="1804"/>
      <c r="DR438" s="1804"/>
      <c r="DS438" s="1804"/>
      <c r="DT438" s="1804"/>
      <c r="DU438" s="1804"/>
      <c r="DV438" s="1804"/>
      <c r="DW438" s="1804"/>
      <c r="DX438" s="1804"/>
      <c r="DY438" s="1804"/>
      <c r="DZ438" s="1804"/>
      <c r="EA438" s="1804"/>
      <c r="EB438" s="1804"/>
      <c r="EC438" s="1804"/>
      <c r="ED438" s="1804"/>
      <c r="EE438" s="1804"/>
      <c r="EF438" s="1804"/>
      <c r="EG438" s="1804"/>
      <c r="EH438" s="1804"/>
      <c r="EI438" s="1804"/>
      <c r="EJ438" s="1804"/>
      <c r="EK438" s="1804"/>
      <c r="EL438" s="1804"/>
      <c r="EM438" s="1804"/>
      <c r="EN438" s="1804"/>
      <c r="EO438" s="1804"/>
      <c r="EP438" s="1804"/>
      <c r="EQ438" s="1804"/>
      <c r="ER438" s="1804"/>
      <c r="ES438" s="1804"/>
      <c r="ET438" s="1804"/>
      <c r="EU438" s="1804"/>
      <c r="EV438" s="1804"/>
      <c r="EW438" s="1804"/>
      <c r="EX438" s="1804"/>
      <c r="EY438" s="1804"/>
      <c r="EZ438" s="1804"/>
      <c r="FA438" s="1804"/>
      <c r="FB438" s="1804"/>
      <c r="FC438" s="1804"/>
      <c r="FD438" s="1804"/>
      <c r="FE438" s="1804"/>
      <c r="FF438" s="1804"/>
      <c r="FG438" s="1804"/>
      <c r="FH438" s="1804"/>
      <c r="FI438" s="1804"/>
      <c r="FJ438" s="1804"/>
      <c r="FK438" s="1804"/>
      <c r="FL438" s="1804"/>
      <c r="FM438" s="1804"/>
      <c r="FN438" s="1804"/>
      <c r="FO438" s="1804"/>
      <c r="FP438" s="1804"/>
      <c r="FQ438" s="1804"/>
      <c r="FR438" s="1804"/>
      <c r="FS438" s="1804"/>
      <c r="FT438" s="1804"/>
      <c r="FU438" s="1804"/>
      <c r="FV438" s="1804"/>
      <c r="FW438" s="1804"/>
      <c r="FX438" s="1804"/>
      <c r="FY438" s="1804"/>
      <c r="FZ438" s="1804"/>
      <c r="GA438" s="1804"/>
      <c r="GB438" s="1804"/>
      <c r="GC438" s="1804"/>
      <c r="GD438" s="1804"/>
      <c r="GE438" s="1804"/>
      <c r="GF438" s="1804"/>
      <c r="GG438" s="1804"/>
      <c r="GH438" s="1804"/>
      <c r="GI438" s="1804"/>
      <c r="GJ438" s="1804"/>
      <c r="GK438" s="1804"/>
      <c r="GL438" s="1804"/>
      <c r="GM438" s="1804"/>
      <c r="GN438" s="1804"/>
      <c r="GO438" s="1804"/>
      <c r="GP438" s="1804"/>
      <c r="GQ438" s="1804"/>
      <c r="GR438" s="1804"/>
      <c r="GS438" s="1804"/>
      <c r="GT438" s="1804"/>
      <c r="GU438" s="1804"/>
      <c r="GV438" s="1804"/>
      <c r="GW438" s="1804"/>
      <c r="GX438" s="1804"/>
      <c r="GY438" s="1804"/>
      <c r="GZ438" s="1804"/>
      <c r="HA438" s="1804"/>
      <c r="HB438" s="1804"/>
      <c r="HC438" s="1804"/>
      <c r="HD438" s="1804"/>
      <c r="HE438" s="1804"/>
      <c r="HF438" s="1804"/>
      <c r="HG438" s="1804"/>
      <c r="HH438" s="1804"/>
      <c r="HI438" s="1804"/>
      <c r="HJ438" s="1804"/>
      <c r="HK438" s="1804"/>
      <c r="HL438" s="1804"/>
      <c r="HM438" s="1804"/>
      <c r="HN438" s="1804"/>
      <c r="HO438" s="1804"/>
      <c r="HP438" s="1804"/>
      <c r="HQ438" s="1804"/>
      <c r="HR438" s="1804"/>
      <c r="HS438" s="1804"/>
      <c r="HT438" s="1804"/>
      <c r="HU438" s="1804"/>
      <c r="HV438" s="1804"/>
      <c r="HW438" s="1804"/>
      <c r="HX438" s="1804"/>
      <c r="HY438" s="1804"/>
      <c r="HZ438" s="1804"/>
      <c r="IA438" s="1804"/>
      <c r="IB438" s="1804"/>
      <c r="IC438" s="1804"/>
      <c r="ID438" s="1804"/>
      <c r="IE438" s="1804"/>
      <c r="IF438" s="1804"/>
      <c r="IG438" s="1804"/>
      <c r="IH438" s="1804"/>
      <c r="II438" s="1804"/>
      <c r="IJ438" s="1804"/>
      <c r="IK438" s="1804"/>
      <c r="IL438" s="1804"/>
      <c r="IM438" s="1804"/>
      <c r="IN438" s="1804"/>
      <c r="IO438" s="1804"/>
      <c r="IP438" s="1804"/>
      <c r="IQ438" s="1804"/>
      <c r="IR438" s="1804"/>
      <c r="IS438" s="1804"/>
      <c r="IT438" s="1804"/>
      <c r="IU438" s="1804"/>
      <c r="IV438" s="1804"/>
      <c r="IW438" s="1804"/>
    </row>
    <row r="439" spans="3:257" s="888" customFormat="1" x14ac:dyDescent="0.45">
      <c r="C439" s="67" t="s">
        <v>536</v>
      </c>
      <c r="D439" s="68" t="s">
        <v>638</v>
      </c>
      <c r="E439" s="69"/>
      <c r="F439" s="153">
        <v>637849</v>
      </c>
      <c r="G439" s="153">
        <v>688153</v>
      </c>
      <c r="H439" s="153">
        <v>28167568</v>
      </c>
      <c r="I439" s="153">
        <v>15268680</v>
      </c>
      <c r="J439" s="153">
        <v>102746</v>
      </c>
      <c r="K439" s="153">
        <v>6682312</v>
      </c>
      <c r="L439" s="153">
        <v>4322371</v>
      </c>
      <c r="M439" s="153">
        <v>1481492</v>
      </c>
      <c r="N439" s="153">
        <v>4227556</v>
      </c>
      <c r="O439" s="154">
        <v>1218966</v>
      </c>
      <c r="P439" s="165">
        <f t="shared" si="76"/>
        <v>33889530</v>
      </c>
      <c r="Q439" s="166">
        <f t="shared" si="77"/>
        <v>28908163</v>
      </c>
      <c r="R439" s="168">
        <f t="shared" si="75"/>
        <v>62797693</v>
      </c>
      <c r="S439" s="155">
        <f t="shared" si="78"/>
        <v>632095209.80699992</v>
      </c>
      <c r="T439" s="1804"/>
      <c r="U439" s="1804"/>
      <c r="V439" s="1804"/>
      <c r="W439" s="1804"/>
      <c r="X439" s="1804"/>
      <c r="Y439" s="1804"/>
      <c r="Z439" s="1804"/>
      <c r="AA439" s="1804"/>
      <c r="AB439" s="1804"/>
      <c r="AC439" s="1804"/>
      <c r="AD439" s="1804"/>
      <c r="AE439" s="1804"/>
      <c r="AF439" s="1804"/>
      <c r="AG439" s="1804"/>
      <c r="AH439" s="1804"/>
      <c r="AI439" s="1804"/>
      <c r="AJ439" s="1804"/>
      <c r="AK439" s="1804"/>
      <c r="AL439" s="1804"/>
      <c r="AM439" s="1804"/>
      <c r="AN439" s="1804"/>
      <c r="AO439" s="1804"/>
      <c r="AP439" s="1804"/>
      <c r="AQ439" s="1804"/>
      <c r="AR439" s="1804"/>
      <c r="AS439" s="1804"/>
      <c r="AT439" s="1804"/>
      <c r="AU439" s="1804"/>
      <c r="AV439" s="1804"/>
      <c r="AW439" s="1804"/>
      <c r="AX439" s="1804"/>
      <c r="AY439" s="1804"/>
      <c r="AZ439" s="1804"/>
      <c r="BA439" s="1804"/>
      <c r="BB439" s="1804"/>
      <c r="BC439" s="1804"/>
      <c r="BD439" s="1804"/>
      <c r="BE439" s="1804"/>
      <c r="BF439" s="1804"/>
      <c r="BG439" s="1804"/>
      <c r="BH439" s="1804"/>
      <c r="BI439" s="1804"/>
      <c r="BJ439" s="1804"/>
      <c r="BK439" s="1804"/>
      <c r="BL439" s="1804"/>
      <c r="BM439" s="1804"/>
      <c r="BN439" s="1804"/>
      <c r="BO439" s="1804"/>
      <c r="BP439" s="1804"/>
      <c r="BQ439" s="1804"/>
      <c r="BR439" s="1804"/>
      <c r="BS439" s="1804"/>
      <c r="BT439" s="1804"/>
      <c r="BU439" s="1804"/>
      <c r="BV439" s="1804"/>
      <c r="BW439" s="1804"/>
      <c r="BX439" s="1804"/>
      <c r="BY439" s="1804"/>
      <c r="BZ439" s="1804"/>
      <c r="CA439" s="1804"/>
      <c r="CB439" s="1804"/>
      <c r="CC439" s="1804"/>
      <c r="CD439" s="1804"/>
      <c r="CE439" s="1804"/>
      <c r="CF439" s="1804"/>
      <c r="CG439" s="1804"/>
      <c r="CH439" s="1804"/>
      <c r="CI439" s="1804"/>
      <c r="CJ439" s="1804"/>
      <c r="CK439" s="1804"/>
      <c r="CL439" s="1804"/>
      <c r="CM439" s="1804"/>
      <c r="CN439" s="1804"/>
      <c r="CO439" s="1804"/>
      <c r="CP439" s="1804"/>
      <c r="CQ439" s="1804"/>
      <c r="CR439" s="1804"/>
      <c r="CS439" s="1804"/>
      <c r="CT439" s="1804"/>
      <c r="CU439" s="1804"/>
      <c r="CV439" s="1804"/>
      <c r="CW439" s="1804"/>
      <c r="CX439" s="1804"/>
      <c r="CY439" s="1804"/>
      <c r="CZ439" s="1804"/>
      <c r="DA439" s="1804"/>
      <c r="DB439" s="1804"/>
      <c r="DC439" s="1804"/>
      <c r="DD439" s="1804"/>
      <c r="DE439" s="1804"/>
      <c r="DF439" s="1804"/>
      <c r="DG439" s="1804"/>
      <c r="DH439" s="1804"/>
      <c r="DI439" s="1804"/>
      <c r="DJ439" s="1804"/>
      <c r="DK439" s="1804"/>
      <c r="DL439" s="1804"/>
      <c r="DM439" s="1804"/>
      <c r="DN439" s="1804"/>
      <c r="DO439" s="1804"/>
      <c r="DP439" s="1804"/>
      <c r="DQ439" s="1804"/>
      <c r="DR439" s="1804"/>
      <c r="DS439" s="1804"/>
      <c r="DT439" s="1804"/>
      <c r="DU439" s="1804"/>
      <c r="DV439" s="1804"/>
      <c r="DW439" s="1804"/>
      <c r="DX439" s="1804"/>
      <c r="DY439" s="1804"/>
      <c r="DZ439" s="1804"/>
      <c r="EA439" s="1804"/>
      <c r="EB439" s="1804"/>
      <c r="EC439" s="1804"/>
      <c r="ED439" s="1804"/>
      <c r="EE439" s="1804"/>
      <c r="EF439" s="1804"/>
      <c r="EG439" s="1804"/>
      <c r="EH439" s="1804"/>
      <c r="EI439" s="1804"/>
      <c r="EJ439" s="1804"/>
      <c r="EK439" s="1804"/>
      <c r="EL439" s="1804"/>
      <c r="EM439" s="1804"/>
      <c r="EN439" s="1804"/>
      <c r="EO439" s="1804"/>
      <c r="EP439" s="1804"/>
      <c r="EQ439" s="1804"/>
      <c r="ER439" s="1804"/>
      <c r="ES439" s="1804"/>
      <c r="ET439" s="1804"/>
      <c r="EU439" s="1804"/>
      <c r="EV439" s="1804"/>
      <c r="EW439" s="1804"/>
      <c r="EX439" s="1804"/>
      <c r="EY439" s="1804"/>
      <c r="EZ439" s="1804"/>
      <c r="FA439" s="1804"/>
      <c r="FB439" s="1804"/>
      <c r="FC439" s="1804"/>
      <c r="FD439" s="1804"/>
      <c r="FE439" s="1804"/>
      <c r="FF439" s="1804"/>
      <c r="FG439" s="1804"/>
      <c r="FH439" s="1804"/>
      <c r="FI439" s="1804"/>
      <c r="FJ439" s="1804"/>
      <c r="FK439" s="1804"/>
      <c r="FL439" s="1804"/>
      <c r="FM439" s="1804"/>
      <c r="FN439" s="1804"/>
      <c r="FO439" s="1804"/>
      <c r="FP439" s="1804"/>
      <c r="FQ439" s="1804"/>
      <c r="FR439" s="1804"/>
      <c r="FS439" s="1804"/>
      <c r="FT439" s="1804"/>
      <c r="FU439" s="1804"/>
      <c r="FV439" s="1804"/>
      <c r="FW439" s="1804"/>
      <c r="FX439" s="1804"/>
      <c r="FY439" s="1804"/>
      <c r="FZ439" s="1804"/>
      <c r="GA439" s="1804"/>
      <c r="GB439" s="1804"/>
      <c r="GC439" s="1804"/>
      <c r="GD439" s="1804"/>
      <c r="GE439" s="1804"/>
      <c r="GF439" s="1804"/>
      <c r="GG439" s="1804"/>
      <c r="GH439" s="1804"/>
      <c r="GI439" s="1804"/>
      <c r="GJ439" s="1804"/>
      <c r="GK439" s="1804"/>
      <c r="GL439" s="1804"/>
      <c r="GM439" s="1804"/>
      <c r="GN439" s="1804"/>
      <c r="GO439" s="1804"/>
      <c r="GP439" s="1804"/>
      <c r="GQ439" s="1804"/>
      <c r="GR439" s="1804"/>
      <c r="GS439" s="1804"/>
      <c r="GT439" s="1804"/>
      <c r="GU439" s="1804"/>
      <c r="GV439" s="1804"/>
      <c r="GW439" s="1804"/>
      <c r="GX439" s="1804"/>
      <c r="GY439" s="1804"/>
      <c r="GZ439" s="1804"/>
      <c r="HA439" s="1804"/>
      <c r="HB439" s="1804"/>
      <c r="HC439" s="1804"/>
      <c r="HD439" s="1804"/>
      <c r="HE439" s="1804"/>
      <c r="HF439" s="1804"/>
      <c r="HG439" s="1804"/>
      <c r="HH439" s="1804"/>
      <c r="HI439" s="1804"/>
      <c r="HJ439" s="1804"/>
      <c r="HK439" s="1804"/>
      <c r="HL439" s="1804"/>
      <c r="HM439" s="1804"/>
      <c r="HN439" s="1804"/>
      <c r="HO439" s="1804"/>
      <c r="HP439" s="1804"/>
      <c r="HQ439" s="1804"/>
      <c r="HR439" s="1804"/>
      <c r="HS439" s="1804"/>
      <c r="HT439" s="1804"/>
      <c r="HU439" s="1804"/>
      <c r="HV439" s="1804"/>
      <c r="HW439" s="1804"/>
      <c r="HX439" s="1804"/>
      <c r="HY439" s="1804"/>
      <c r="HZ439" s="1804"/>
      <c r="IA439" s="1804"/>
      <c r="IB439" s="1804"/>
      <c r="IC439" s="1804"/>
      <c r="ID439" s="1804"/>
      <c r="IE439" s="1804"/>
      <c r="IF439" s="1804"/>
      <c r="IG439" s="1804"/>
      <c r="IH439" s="1804"/>
      <c r="II439" s="1804"/>
      <c r="IJ439" s="1804"/>
      <c r="IK439" s="1804"/>
      <c r="IL439" s="1804"/>
      <c r="IM439" s="1804"/>
      <c r="IN439" s="1804"/>
      <c r="IO439" s="1804"/>
      <c r="IP439" s="1804"/>
      <c r="IQ439" s="1804"/>
      <c r="IR439" s="1804"/>
      <c r="IS439" s="1804"/>
      <c r="IT439" s="1804"/>
      <c r="IU439" s="1804"/>
      <c r="IV439" s="1804"/>
      <c r="IW439" s="1804"/>
    </row>
    <row r="440" spans="3:257" s="888" customFormat="1" x14ac:dyDescent="0.45">
      <c r="C440" s="67" t="s">
        <v>537</v>
      </c>
      <c r="D440" s="68" t="s">
        <v>639</v>
      </c>
      <c r="E440" s="69"/>
      <c r="F440" s="153">
        <v>1348459</v>
      </c>
      <c r="G440" s="153">
        <v>3592731</v>
      </c>
      <c r="H440" s="153">
        <v>19833468</v>
      </c>
      <c r="I440" s="153">
        <v>11011846</v>
      </c>
      <c r="J440" s="153">
        <v>118346</v>
      </c>
      <c r="K440" s="153">
        <v>7270881</v>
      </c>
      <c r="L440" s="153">
        <v>11260892</v>
      </c>
      <c r="M440" s="153">
        <v>1876595</v>
      </c>
      <c r="N440" s="153">
        <v>5623406</v>
      </c>
      <c r="O440" s="154">
        <v>1261971</v>
      </c>
      <c r="P440" s="165">
        <f t="shared" si="76"/>
        <v>41898322</v>
      </c>
      <c r="Q440" s="166">
        <f t="shared" si="77"/>
        <v>21300273</v>
      </c>
      <c r="R440" s="168">
        <f t="shared" si="75"/>
        <v>63198595</v>
      </c>
      <c r="S440" s="155">
        <f t="shared" si="78"/>
        <v>644889224.03299999</v>
      </c>
      <c r="T440" s="1804"/>
      <c r="U440" s="1804"/>
      <c r="V440" s="1804"/>
      <c r="W440" s="1804"/>
      <c r="X440" s="1804"/>
      <c r="Y440" s="1804"/>
      <c r="Z440" s="1804"/>
      <c r="AA440" s="1804"/>
      <c r="AB440" s="1804"/>
      <c r="AC440" s="1804"/>
      <c r="AD440" s="1804"/>
      <c r="AE440" s="1804"/>
      <c r="AF440" s="1804"/>
      <c r="AG440" s="1804"/>
      <c r="AH440" s="1804"/>
      <c r="AI440" s="1804"/>
      <c r="AJ440" s="1804"/>
      <c r="AK440" s="1804"/>
      <c r="AL440" s="1804"/>
      <c r="AM440" s="1804"/>
      <c r="AN440" s="1804"/>
      <c r="AO440" s="1804"/>
      <c r="AP440" s="1804"/>
      <c r="AQ440" s="1804"/>
      <c r="AR440" s="1804"/>
      <c r="AS440" s="1804"/>
      <c r="AT440" s="1804"/>
      <c r="AU440" s="1804"/>
      <c r="AV440" s="1804"/>
      <c r="AW440" s="1804"/>
      <c r="AX440" s="1804"/>
      <c r="AY440" s="1804"/>
      <c r="AZ440" s="1804"/>
      <c r="BA440" s="1804"/>
      <c r="BB440" s="1804"/>
      <c r="BC440" s="1804"/>
      <c r="BD440" s="1804"/>
      <c r="BE440" s="1804"/>
      <c r="BF440" s="1804"/>
      <c r="BG440" s="1804"/>
      <c r="BH440" s="1804"/>
      <c r="BI440" s="1804"/>
      <c r="BJ440" s="1804"/>
      <c r="BK440" s="1804"/>
      <c r="BL440" s="1804"/>
      <c r="BM440" s="1804"/>
      <c r="BN440" s="1804"/>
      <c r="BO440" s="1804"/>
      <c r="BP440" s="1804"/>
      <c r="BQ440" s="1804"/>
      <c r="BR440" s="1804"/>
      <c r="BS440" s="1804"/>
      <c r="BT440" s="1804"/>
      <c r="BU440" s="1804"/>
      <c r="BV440" s="1804"/>
      <c r="BW440" s="1804"/>
      <c r="BX440" s="1804"/>
      <c r="BY440" s="1804"/>
      <c r="BZ440" s="1804"/>
      <c r="CA440" s="1804"/>
      <c r="CB440" s="1804"/>
      <c r="CC440" s="1804"/>
      <c r="CD440" s="1804"/>
      <c r="CE440" s="1804"/>
      <c r="CF440" s="1804"/>
      <c r="CG440" s="1804"/>
      <c r="CH440" s="1804"/>
      <c r="CI440" s="1804"/>
      <c r="CJ440" s="1804"/>
      <c r="CK440" s="1804"/>
      <c r="CL440" s="1804"/>
      <c r="CM440" s="1804"/>
      <c r="CN440" s="1804"/>
      <c r="CO440" s="1804"/>
      <c r="CP440" s="1804"/>
      <c r="CQ440" s="1804"/>
      <c r="CR440" s="1804"/>
      <c r="CS440" s="1804"/>
      <c r="CT440" s="1804"/>
      <c r="CU440" s="1804"/>
      <c r="CV440" s="1804"/>
      <c r="CW440" s="1804"/>
      <c r="CX440" s="1804"/>
      <c r="CY440" s="1804"/>
      <c r="CZ440" s="1804"/>
      <c r="DA440" s="1804"/>
      <c r="DB440" s="1804"/>
      <c r="DC440" s="1804"/>
      <c r="DD440" s="1804"/>
      <c r="DE440" s="1804"/>
      <c r="DF440" s="1804"/>
      <c r="DG440" s="1804"/>
      <c r="DH440" s="1804"/>
      <c r="DI440" s="1804"/>
      <c r="DJ440" s="1804"/>
      <c r="DK440" s="1804"/>
      <c r="DL440" s="1804"/>
      <c r="DM440" s="1804"/>
      <c r="DN440" s="1804"/>
      <c r="DO440" s="1804"/>
      <c r="DP440" s="1804"/>
      <c r="DQ440" s="1804"/>
      <c r="DR440" s="1804"/>
      <c r="DS440" s="1804"/>
      <c r="DT440" s="1804"/>
      <c r="DU440" s="1804"/>
      <c r="DV440" s="1804"/>
      <c r="DW440" s="1804"/>
      <c r="DX440" s="1804"/>
      <c r="DY440" s="1804"/>
      <c r="DZ440" s="1804"/>
      <c r="EA440" s="1804"/>
      <c r="EB440" s="1804"/>
      <c r="EC440" s="1804"/>
      <c r="ED440" s="1804"/>
      <c r="EE440" s="1804"/>
      <c r="EF440" s="1804"/>
      <c r="EG440" s="1804"/>
      <c r="EH440" s="1804"/>
      <c r="EI440" s="1804"/>
      <c r="EJ440" s="1804"/>
      <c r="EK440" s="1804"/>
      <c r="EL440" s="1804"/>
      <c r="EM440" s="1804"/>
      <c r="EN440" s="1804"/>
      <c r="EO440" s="1804"/>
      <c r="EP440" s="1804"/>
      <c r="EQ440" s="1804"/>
      <c r="ER440" s="1804"/>
      <c r="ES440" s="1804"/>
      <c r="ET440" s="1804"/>
      <c r="EU440" s="1804"/>
      <c r="EV440" s="1804"/>
      <c r="EW440" s="1804"/>
      <c r="EX440" s="1804"/>
      <c r="EY440" s="1804"/>
      <c r="EZ440" s="1804"/>
      <c r="FA440" s="1804"/>
      <c r="FB440" s="1804"/>
      <c r="FC440" s="1804"/>
      <c r="FD440" s="1804"/>
      <c r="FE440" s="1804"/>
      <c r="FF440" s="1804"/>
      <c r="FG440" s="1804"/>
      <c r="FH440" s="1804"/>
      <c r="FI440" s="1804"/>
      <c r="FJ440" s="1804"/>
      <c r="FK440" s="1804"/>
      <c r="FL440" s="1804"/>
      <c r="FM440" s="1804"/>
      <c r="FN440" s="1804"/>
      <c r="FO440" s="1804"/>
      <c r="FP440" s="1804"/>
      <c r="FQ440" s="1804"/>
      <c r="FR440" s="1804"/>
      <c r="FS440" s="1804"/>
      <c r="FT440" s="1804"/>
      <c r="FU440" s="1804"/>
      <c r="FV440" s="1804"/>
      <c r="FW440" s="1804"/>
      <c r="FX440" s="1804"/>
      <c r="FY440" s="1804"/>
      <c r="FZ440" s="1804"/>
      <c r="GA440" s="1804"/>
      <c r="GB440" s="1804"/>
      <c r="GC440" s="1804"/>
      <c r="GD440" s="1804"/>
      <c r="GE440" s="1804"/>
      <c r="GF440" s="1804"/>
      <c r="GG440" s="1804"/>
      <c r="GH440" s="1804"/>
      <c r="GI440" s="1804"/>
      <c r="GJ440" s="1804"/>
      <c r="GK440" s="1804"/>
      <c r="GL440" s="1804"/>
      <c r="GM440" s="1804"/>
      <c r="GN440" s="1804"/>
      <c r="GO440" s="1804"/>
      <c r="GP440" s="1804"/>
      <c r="GQ440" s="1804"/>
      <c r="GR440" s="1804"/>
      <c r="GS440" s="1804"/>
      <c r="GT440" s="1804"/>
      <c r="GU440" s="1804"/>
      <c r="GV440" s="1804"/>
      <c r="GW440" s="1804"/>
      <c r="GX440" s="1804"/>
      <c r="GY440" s="1804"/>
      <c r="GZ440" s="1804"/>
      <c r="HA440" s="1804"/>
      <c r="HB440" s="1804"/>
      <c r="HC440" s="1804"/>
      <c r="HD440" s="1804"/>
      <c r="HE440" s="1804"/>
      <c r="HF440" s="1804"/>
      <c r="HG440" s="1804"/>
      <c r="HH440" s="1804"/>
      <c r="HI440" s="1804"/>
      <c r="HJ440" s="1804"/>
      <c r="HK440" s="1804"/>
      <c r="HL440" s="1804"/>
      <c r="HM440" s="1804"/>
      <c r="HN440" s="1804"/>
      <c r="HO440" s="1804"/>
      <c r="HP440" s="1804"/>
      <c r="HQ440" s="1804"/>
      <c r="HR440" s="1804"/>
      <c r="HS440" s="1804"/>
      <c r="HT440" s="1804"/>
      <c r="HU440" s="1804"/>
      <c r="HV440" s="1804"/>
      <c r="HW440" s="1804"/>
      <c r="HX440" s="1804"/>
      <c r="HY440" s="1804"/>
      <c r="HZ440" s="1804"/>
      <c r="IA440" s="1804"/>
      <c r="IB440" s="1804"/>
      <c r="IC440" s="1804"/>
      <c r="ID440" s="1804"/>
      <c r="IE440" s="1804"/>
      <c r="IF440" s="1804"/>
      <c r="IG440" s="1804"/>
      <c r="IH440" s="1804"/>
      <c r="II440" s="1804"/>
      <c r="IJ440" s="1804"/>
      <c r="IK440" s="1804"/>
      <c r="IL440" s="1804"/>
      <c r="IM440" s="1804"/>
      <c r="IN440" s="1804"/>
      <c r="IO440" s="1804"/>
      <c r="IP440" s="1804"/>
      <c r="IQ440" s="1804"/>
      <c r="IR440" s="1804"/>
      <c r="IS440" s="1804"/>
      <c r="IT440" s="1804"/>
      <c r="IU440" s="1804"/>
      <c r="IV440" s="1804"/>
      <c r="IW440" s="1804"/>
    </row>
    <row r="441" spans="3:257" s="888" customFormat="1" x14ac:dyDescent="0.45">
      <c r="C441" s="67" t="s">
        <v>538</v>
      </c>
      <c r="D441" s="68" t="s">
        <v>640</v>
      </c>
      <c r="E441" s="69"/>
      <c r="F441" s="153">
        <v>816888</v>
      </c>
      <c r="G441" s="153">
        <v>2064355</v>
      </c>
      <c r="H441" s="153">
        <v>22196079</v>
      </c>
      <c r="I441" s="153">
        <v>12161663</v>
      </c>
      <c r="J441" s="153">
        <v>105977</v>
      </c>
      <c r="K441" s="153">
        <v>6512655</v>
      </c>
      <c r="L441" s="153">
        <v>7635431</v>
      </c>
      <c r="M441" s="153">
        <v>1457093</v>
      </c>
      <c r="N441" s="153">
        <v>5273368</v>
      </c>
      <c r="O441" s="154">
        <v>1668059</v>
      </c>
      <c r="P441" s="165">
        <f t="shared" si="76"/>
        <v>36772624</v>
      </c>
      <c r="Q441" s="166">
        <f t="shared" si="77"/>
        <v>23118944</v>
      </c>
      <c r="R441" s="168">
        <f t="shared" si="75"/>
        <v>59891568</v>
      </c>
      <c r="S441" s="155">
        <f t="shared" si="78"/>
        <v>607846771.08800006</v>
      </c>
      <c r="T441" s="1804"/>
      <c r="U441" s="1804"/>
      <c r="V441" s="1804"/>
      <c r="W441" s="1804"/>
      <c r="X441" s="1804"/>
      <c r="Y441" s="1804"/>
      <c r="Z441" s="1804"/>
      <c r="AA441" s="1804"/>
      <c r="AB441" s="1804"/>
      <c r="AC441" s="1804"/>
      <c r="AD441" s="1804"/>
      <c r="AE441" s="1804"/>
      <c r="AF441" s="1804"/>
      <c r="AG441" s="1804"/>
      <c r="AH441" s="1804"/>
      <c r="AI441" s="1804"/>
      <c r="AJ441" s="1804"/>
      <c r="AK441" s="1804"/>
      <c r="AL441" s="1804"/>
      <c r="AM441" s="1804"/>
      <c r="AN441" s="1804"/>
      <c r="AO441" s="1804"/>
      <c r="AP441" s="1804"/>
      <c r="AQ441" s="1804"/>
      <c r="AR441" s="1804"/>
      <c r="AS441" s="1804"/>
      <c r="AT441" s="1804"/>
      <c r="AU441" s="1804"/>
      <c r="AV441" s="1804"/>
      <c r="AW441" s="1804"/>
      <c r="AX441" s="1804"/>
      <c r="AY441" s="1804"/>
      <c r="AZ441" s="1804"/>
      <c r="BA441" s="1804"/>
      <c r="BB441" s="1804"/>
      <c r="BC441" s="1804"/>
      <c r="BD441" s="1804"/>
      <c r="BE441" s="1804"/>
      <c r="BF441" s="1804"/>
      <c r="BG441" s="1804"/>
      <c r="BH441" s="1804"/>
      <c r="BI441" s="1804"/>
      <c r="BJ441" s="1804"/>
      <c r="BK441" s="1804"/>
      <c r="BL441" s="1804"/>
      <c r="BM441" s="1804"/>
      <c r="BN441" s="1804"/>
      <c r="BO441" s="1804"/>
      <c r="BP441" s="1804"/>
      <c r="BQ441" s="1804"/>
      <c r="BR441" s="1804"/>
      <c r="BS441" s="1804"/>
      <c r="BT441" s="1804"/>
      <c r="BU441" s="1804"/>
      <c r="BV441" s="1804"/>
      <c r="BW441" s="1804"/>
      <c r="BX441" s="1804"/>
      <c r="BY441" s="1804"/>
      <c r="BZ441" s="1804"/>
      <c r="CA441" s="1804"/>
      <c r="CB441" s="1804"/>
      <c r="CC441" s="1804"/>
      <c r="CD441" s="1804"/>
      <c r="CE441" s="1804"/>
      <c r="CF441" s="1804"/>
      <c r="CG441" s="1804"/>
      <c r="CH441" s="1804"/>
      <c r="CI441" s="1804"/>
      <c r="CJ441" s="1804"/>
      <c r="CK441" s="1804"/>
      <c r="CL441" s="1804"/>
      <c r="CM441" s="1804"/>
      <c r="CN441" s="1804"/>
      <c r="CO441" s="1804"/>
      <c r="CP441" s="1804"/>
      <c r="CQ441" s="1804"/>
      <c r="CR441" s="1804"/>
      <c r="CS441" s="1804"/>
      <c r="CT441" s="1804"/>
      <c r="CU441" s="1804"/>
      <c r="CV441" s="1804"/>
      <c r="CW441" s="1804"/>
      <c r="CX441" s="1804"/>
      <c r="CY441" s="1804"/>
      <c r="CZ441" s="1804"/>
      <c r="DA441" s="1804"/>
      <c r="DB441" s="1804"/>
      <c r="DC441" s="1804"/>
      <c r="DD441" s="1804"/>
      <c r="DE441" s="1804"/>
      <c r="DF441" s="1804"/>
      <c r="DG441" s="1804"/>
      <c r="DH441" s="1804"/>
      <c r="DI441" s="1804"/>
      <c r="DJ441" s="1804"/>
      <c r="DK441" s="1804"/>
      <c r="DL441" s="1804"/>
      <c r="DM441" s="1804"/>
      <c r="DN441" s="1804"/>
      <c r="DO441" s="1804"/>
      <c r="DP441" s="1804"/>
      <c r="DQ441" s="1804"/>
      <c r="DR441" s="1804"/>
      <c r="DS441" s="1804"/>
      <c r="DT441" s="1804"/>
      <c r="DU441" s="1804"/>
      <c r="DV441" s="1804"/>
      <c r="DW441" s="1804"/>
      <c r="DX441" s="1804"/>
      <c r="DY441" s="1804"/>
      <c r="DZ441" s="1804"/>
      <c r="EA441" s="1804"/>
      <c r="EB441" s="1804"/>
      <c r="EC441" s="1804"/>
      <c r="ED441" s="1804"/>
      <c r="EE441" s="1804"/>
      <c r="EF441" s="1804"/>
      <c r="EG441" s="1804"/>
      <c r="EH441" s="1804"/>
      <c r="EI441" s="1804"/>
      <c r="EJ441" s="1804"/>
      <c r="EK441" s="1804"/>
      <c r="EL441" s="1804"/>
      <c r="EM441" s="1804"/>
      <c r="EN441" s="1804"/>
      <c r="EO441" s="1804"/>
      <c r="EP441" s="1804"/>
      <c r="EQ441" s="1804"/>
      <c r="ER441" s="1804"/>
      <c r="ES441" s="1804"/>
      <c r="ET441" s="1804"/>
      <c r="EU441" s="1804"/>
      <c r="EV441" s="1804"/>
      <c r="EW441" s="1804"/>
      <c r="EX441" s="1804"/>
      <c r="EY441" s="1804"/>
      <c r="EZ441" s="1804"/>
      <c r="FA441" s="1804"/>
      <c r="FB441" s="1804"/>
      <c r="FC441" s="1804"/>
      <c r="FD441" s="1804"/>
      <c r="FE441" s="1804"/>
      <c r="FF441" s="1804"/>
      <c r="FG441" s="1804"/>
      <c r="FH441" s="1804"/>
      <c r="FI441" s="1804"/>
      <c r="FJ441" s="1804"/>
      <c r="FK441" s="1804"/>
      <c r="FL441" s="1804"/>
      <c r="FM441" s="1804"/>
      <c r="FN441" s="1804"/>
      <c r="FO441" s="1804"/>
      <c r="FP441" s="1804"/>
      <c r="FQ441" s="1804"/>
      <c r="FR441" s="1804"/>
      <c r="FS441" s="1804"/>
      <c r="FT441" s="1804"/>
      <c r="FU441" s="1804"/>
      <c r="FV441" s="1804"/>
      <c r="FW441" s="1804"/>
      <c r="FX441" s="1804"/>
      <c r="FY441" s="1804"/>
      <c r="FZ441" s="1804"/>
      <c r="GA441" s="1804"/>
      <c r="GB441" s="1804"/>
      <c r="GC441" s="1804"/>
      <c r="GD441" s="1804"/>
      <c r="GE441" s="1804"/>
      <c r="GF441" s="1804"/>
      <c r="GG441" s="1804"/>
      <c r="GH441" s="1804"/>
      <c r="GI441" s="1804"/>
      <c r="GJ441" s="1804"/>
      <c r="GK441" s="1804"/>
      <c r="GL441" s="1804"/>
      <c r="GM441" s="1804"/>
      <c r="GN441" s="1804"/>
      <c r="GO441" s="1804"/>
      <c r="GP441" s="1804"/>
      <c r="GQ441" s="1804"/>
      <c r="GR441" s="1804"/>
      <c r="GS441" s="1804"/>
      <c r="GT441" s="1804"/>
      <c r="GU441" s="1804"/>
      <c r="GV441" s="1804"/>
      <c r="GW441" s="1804"/>
      <c r="GX441" s="1804"/>
      <c r="GY441" s="1804"/>
      <c r="GZ441" s="1804"/>
      <c r="HA441" s="1804"/>
      <c r="HB441" s="1804"/>
      <c r="HC441" s="1804"/>
      <c r="HD441" s="1804"/>
      <c r="HE441" s="1804"/>
      <c r="HF441" s="1804"/>
      <c r="HG441" s="1804"/>
      <c r="HH441" s="1804"/>
      <c r="HI441" s="1804"/>
      <c r="HJ441" s="1804"/>
      <c r="HK441" s="1804"/>
      <c r="HL441" s="1804"/>
      <c r="HM441" s="1804"/>
      <c r="HN441" s="1804"/>
      <c r="HO441" s="1804"/>
      <c r="HP441" s="1804"/>
      <c r="HQ441" s="1804"/>
      <c r="HR441" s="1804"/>
      <c r="HS441" s="1804"/>
      <c r="HT441" s="1804"/>
      <c r="HU441" s="1804"/>
      <c r="HV441" s="1804"/>
      <c r="HW441" s="1804"/>
      <c r="HX441" s="1804"/>
      <c r="HY441" s="1804"/>
      <c r="HZ441" s="1804"/>
      <c r="IA441" s="1804"/>
      <c r="IB441" s="1804"/>
      <c r="IC441" s="1804"/>
      <c r="ID441" s="1804"/>
      <c r="IE441" s="1804"/>
      <c r="IF441" s="1804"/>
      <c r="IG441" s="1804"/>
      <c r="IH441" s="1804"/>
      <c r="II441" s="1804"/>
      <c r="IJ441" s="1804"/>
      <c r="IK441" s="1804"/>
      <c r="IL441" s="1804"/>
      <c r="IM441" s="1804"/>
      <c r="IN441" s="1804"/>
      <c r="IO441" s="1804"/>
      <c r="IP441" s="1804"/>
      <c r="IQ441" s="1804"/>
      <c r="IR441" s="1804"/>
      <c r="IS441" s="1804"/>
      <c r="IT441" s="1804"/>
      <c r="IU441" s="1804"/>
      <c r="IV441" s="1804"/>
      <c r="IW441" s="1804"/>
    </row>
    <row r="442" spans="3:257" s="888" customFormat="1" x14ac:dyDescent="0.45">
      <c r="C442" s="67" t="s">
        <v>539</v>
      </c>
      <c r="D442" s="68" t="s">
        <v>641</v>
      </c>
      <c r="E442" s="69"/>
      <c r="F442" s="153">
        <v>552775</v>
      </c>
      <c r="G442" s="153">
        <v>712590</v>
      </c>
      <c r="H442" s="153">
        <v>31496200</v>
      </c>
      <c r="I442" s="153">
        <v>17166534</v>
      </c>
      <c r="J442" s="153">
        <v>129408</v>
      </c>
      <c r="K442" s="153">
        <v>8487180</v>
      </c>
      <c r="L442" s="153">
        <v>5001601</v>
      </c>
      <c r="M442" s="153">
        <v>1992232</v>
      </c>
      <c r="N442" s="153">
        <v>5872393</v>
      </c>
      <c r="O442" s="154">
        <v>2973775</v>
      </c>
      <c r="P442" s="165">
        <f t="shared" si="76"/>
        <v>42206305</v>
      </c>
      <c r="Q442" s="166">
        <f t="shared" si="77"/>
        <v>32178383</v>
      </c>
      <c r="R442" s="168">
        <f t="shared" si="75"/>
        <v>74384688</v>
      </c>
      <c r="S442" s="155">
        <f t="shared" si="78"/>
        <v>751044650.61199999</v>
      </c>
      <c r="T442" s="1804"/>
      <c r="U442" s="1804"/>
      <c r="V442" s="1804"/>
      <c r="W442" s="1804"/>
      <c r="X442" s="1804"/>
      <c r="Y442" s="1804"/>
      <c r="Z442" s="1804"/>
      <c r="AA442" s="1804"/>
      <c r="AB442" s="1804"/>
      <c r="AC442" s="1804"/>
      <c r="AD442" s="1804"/>
      <c r="AE442" s="1804"/>
      <c r="AF442" s="1804"/>
      <c r="AG442" s="1804"/>
      <c r="AH442" s="1804"/>
      <c r="AI442" s="1804"/>
      <c r="AJ442" s="1804"/>
      <c r="AK442" s="1804"/>
      <c r="AL442" s="1804"/>
      <c r="AM442" s="1804"/>
      <c r="AN442" s="1804"/>
      <c r="AO442" s="1804"/>
      <c r="AP442" s="1804"/>
      <c r="AQ442" s="1804"/>
      <c r="AR442" s="1804"/>
      <c r="AS442" s="1804"/>
      <c r="AT442" s="1804"/>
      <c r="AU442" s="1804"/>
      <c r="AV442" s="1804"/>
      <c r="AW442" s="1804"/>
      <c r="AX442" s="1804"/>
      <c r="AY442" s="1804"/>
      <c r="AZ442" s="1804"/>
      <c r="BA442" s="1804"/>
      <c r="BB442" s="1804"/>
      <c r="BC442" s="1804"/>
      <c r="BD442" s="1804"/>
      <c r="BE442" s="1804"/>
      <c r="BF442" s="1804"/>
      <c r="BG442" s="1804"/>
      <c r="BH442" s="1804"/>
      <c r="BI442" s="1804"/>
      <c r="BJ442" s="1804"/>
      <c r="BK442" s="1804"/>
      <c r="BL442" s="1804"/>
      <c r="BM442" s="1804"/>
      <c r="BN442" s="1804"/>
      <c r="BO442" s="1804"/>
      <c r="BP442" s="1804"/>
      <c r="BQ442" s="1804"/>
      <c r="BR442" s="1804"/>
      <c r="BS442" s="1804"/>
      <c r="BT442" s="1804"/>
      <c r="BU442" s="1804"/>
      <c r="BV442" s="1804"/>
      <c r="BW442" s="1804"/>
      <c r="BX442" s="1804"/>
      <c r="BY442" s="1804"/>
      <c r="BZ442" s="1804"/>
      <c r="CA442" s="1804"/>
      <c r="CB442" s="1804"/>
      <c r="CC442" s="1804"/>
      <c r="CD442" s="1804"/>
      <c r="CE442" s="1804"/>
      <c r="CF442" s="1804"/>
      <c r="CG442" s="1804"/>
      <c r="CH442" s="1804"/>
      <c r="CI442" s="1804"/>
      <c r="CJ442" s="1804"/>
      <c r="CK442" s="1804"/>
      <c r="CL442" s="1804"/>
      <c r="CM442" s="1804"/>
      <c r="CN442" s="1804"/>
      <c r="CO442" s="1804"/>
      <c r="CP442" s="1804"/>
      <c r="CQ442" s="1804"/>
      <c r="CR442" s="1804"/>
      <c r="CS442" s="1804"/>
      <c r="CT442" s="1804"/>
      <c r="CU442" s="1804"/>
      <c r="CV442" s="1804"/>
      <c r="CW442" s="1804"/>
      <c r="CX442" s="1804"/>
      <c r="CY442" s="1804"/>
      <c r="CZ442" s="1804"/>
      <c r="DA442" s="1804"/>
      <c r="DB442" s="1804"/>
      <c r="DC442" s="1804"/>
      <c r="DD442" s="1804"/>
      <c r="DE442" s="1804"/>
      <c r="DF442" s="1804"/>
      <c r="DG442" s="1804"/>
      <c r="DH442" s="1804"/>
      <c r="DI442" s="1804"/>
      <c r="DJ442" s="1804"/>
      <c r="DK442" s="1804"/>
      <c r="DL442" s="1804"/>
      <c r="DM442" s="1804"/>
      <c r="DN442" s="1804"/>
      <c r="DO442" s="1804"/>
      <c r="DP442" s="1804"/>
      <c r="DQ442" s="1804"/>
      <c r="DR442" s="1804"/>
      <c r="DS442" s="1804"/>
      <c r="DT442" s="1804"/>
      <c r="DU442" s="1804"/>
      <c r="DV442" s="1804"/>
      <c r="DW442" s="1804"/>
      <c r="DX442" s="1804"/>
      <c r="DY442" s="1804"/>
      <c r="DZ442" s="1804"/>
      <c r="EA442" s="1804"/>
      <c r="EB442" s="1804"/>
      <c r="EC442" s="1804"/>
      <c r="ED442" s="1804"/>
      <c r="EE442" s="1804"/>
      <c r="EF442" s="1804"/>
      <c r="EG442" s="1804"/>
      <c r="EH442" s="1804"/>
      <c r="EI442" s="1804"/>
      <c r="EJ442" s="1804"/>
      <c r="EK442" s="1804"/>
      <c r="EL442" s="1804"/>
      <c r="EM442" s="1804"/>
      <c r="EN442" s="1804"/>
      <c r="EO442" s="1804"/>
      <c r="EP442" s="1804"/>
      <c r="EQ442" s="1804"/>
      <c r="ER442" s="1804"/>
      <c r="ES442" s="1804"/>
      <c r="ET442" s="1804"/>
      <c r="EU442" s="1804"/>
      <c r="EV442" s="1804"/>
      <c r="EW442" s="1804"/>
      <c r="EX442" s="1804"/>
      <c r="EY442" s="1804"/>
      <c r="EZ442" s="1804"/>
      <c r="FA442" s="1804"/>
      <c r="FB442" s="1804"/>
      <c r="FC442" s="1804"/>
      <c r="FD442" s="1804"/>
      <c r="FE442" s="1804"/>
      <c r="FF442" s="1804"/>
      <c r="FG442" s="1804"/>
      <c r="FH442" s="1804"/>
      <c r="FI442" s="1804"/>
      <c r="FJ442" s="1804"/>
      <c r="FK442" s="1804"/>
      <c r="FL442" s="1804"/>
      <c r="FM442" s="1804"/>
      <c r="FN442" s="1804"/>
      <c r="FO442" s="1804"/>
      <c r="FP442" s="1804"/>
      <c r="FQ442" s="1804"/>
      <c r="FR442" s="1804"/>
      <c r="FS442" s="1804"/>
      <c r="FT442" s="1804"/>
      <c r="FU442" s="1804"/>
      <c r="FV442" s="1804"/>
      <c r="FW442" s="1804"/>
      <c r="FX442" s="1804"/>
      <c r="FY442" s="1804"/>
      <c r="FZ442" s="1804"/>
      <c r="GA442" s="1804"/>
      <c r="GB442" s="1804"/>
      <c r="GC442" s="1804"/>
      <c r="GD442" s="1804"/>
      <c r="GE442" s="1804"/>
      <c r="GF442" s="1804"/>
      <c r="GG442" s="1804"/>
      <c r="GH442" s="1804"/>
      <c r="GI442" s="1804"/>
      <c r="GJ442" s="1804"/>
      <c r="GK442" s="1804"/>
      <c r="GL442" s="1804"/>
      <c r="GM442" s="1804"/>
      <c r="GN442" s="1804"/>
      <c r="GO442" s="1804"/>
      <c r="GP442" s="1804"/>
      <c r="GQ442" s="1804"/>
      <c r="GR442" s="1804"/>
      <c r="GS442" s="1804"/>
      <c r="GT442" s="1804"/>
      <c r="GU442" s="1804"/>
      <c r="GV442" s="1804"/>
      <c r="GW442" s="1804"/>
      <c r="GX442" s="1804"/>
      <c r="GY442" s="1804"/>
      <c r="GZ442" s="1804"/>
      <c r="HA442" s="1804"/>
      <c r="HB442" s="1804"/>
      <c r="HC442" s="1804"/>
      <c r="HD442" s="1804"/>
      <c r="HE442" s="1804"/>
      <c r="HF442" s="1804"/>
      <c r="HG442" s="1804"/>
      <c r="HH442" s="1804"/>
      <c r="HI442" s="1804"/>
      <c r="HJ442" s="1804"/>
      <c r="HK442" s="1804"/>
      <c r="HL442" s="1804"/>
      <c r="HM442" s="1804"/>
      <c r="HN442" s="1804"/>
      <c r="HO442" s="1804"/>
      <c r="HP442" s="1804"/>
      <c r="HQ442" s="1804"/>
      <c r="HR442" s="1804"/>
      <c r="HS442" s="1804"/>
      <c r="HT442" s="1804"/>
      <c r="HU442" s="1804"/>
      <c r="HV442" s="1804"/>
      <c r="HW442" s="1804"/>
      <c r="HX442" s="1804"/>
      <c r="HY442" s="1804"/>
      <c r="HZ442" s="1804"/>
      <c r="IA442" s="1804"/>
      <c r="IB442" s="1804"/>
      <c r="IC442" s="1804"/>
      <c r="ID442" s="1804"/>
      <c r="IE442" s="1804"/>
      <c r="IF442" s="1804"/>
      <c r="IG442" s="1804"/>
      <c r="IH442" s="1804"/>
      <c r="II442" s="1804"/>
      <c r="IJ442" s="1804"/>
      <c r="IK442" s="1804"/>
      <c r="IL442" s="1804"/>
      <c r="IM442" s="1804"/>
      <c r="IN442" s="1804"/>
      <c r="IO442" s="1804"/>
      <c r="IP442" s="1804"/>
      <c r="IQ442" s="1804"/>
      <c r="IR442" s="1804"/>
      <c r="IS442" s="1804"/>
      <c r="IT442" s="1804"/>
      <c r="IU442" s="1804"/>
      <c r="IV442" s="1804"/>
      <c r="IW442" s="1804"/>
    </row>
    <row r="443" spans="3:257" s="888" customFormat="1" x14ac:dyDescent="0.45">
      <c r="C443" s="67" t="s">
        <v>540</v>
      </c>
      <c r="D443" s="68" t="s">
        <v>642</v>
      </c>
      <c r="E443" s="69"/>
      <c r="F443" s="153">
        <v>653751</v>
      </c>
      <c r="G443" s="153">
        <v>2765938</v>
      </c>
      <c r="H443" s="153">
        <v>32427772</v>
      </c>
      <c r="I443" s="153">
        <v>17734869</v>
      </c>
      <c r="J443" s="153">
        <v>133171</v>
      </c>
      <c r="K443" s="153">
        <v>8317774</v>
      </c>
      <c r="L443" s="153">
        <v>8132421</v>
      </c>
      <c r="M443" s="153">
        <v>1742964</v>
      </c>
      <c r="N443" s="153">
        <v>7315129</v>
      </c>
      <c r="O443" s="154">
        <v>2742859</v>
      </c>
      <c r="P443" s="165">
        <f t="shared" si="76"/>
        <v>48751954</v>
      </c>
      <c r="Q443" s="166">
        <f t="shared" si="77"/>
        <v>33214694</v>
      </c>
      <c r="R443" s="168">
        <f t="shared" si="75"/>
        <v>81966648</v>
      </c>
      <c r="S443" s="155">
        <f t="shared" si="78"/>
        <v>830119719.72799993</v>
      </c>
      <c r="T443" s="1804"/>
      <c r="U443" s="1804"/>
      <c r="V443" s="1804"/>
      <c r="W443" s="1804"/>
      <c r="X443" s="1804"/>
      <c r="Y443" s="1804"/>
      <c r="Z443" s="1804"/>
      <c r="AA443" s="1804"/>
      <c r="AB443" s="1804"/>
      <c r="AC443" s="1804"/>
      <c r="AD443" s="1804"/>
      <c r="AE443" s="1804"/>
      <c r="AF443" s="1804"/>
      <c r="AG443" s="1804"/>
      <c r="AH443" s="1804"/>
      <c r="AI443" s="1804"/>
      <c r="AJ443" s="1804"/>
      <c r="AK443" s="1804"/>
      <c r="AL443" s="1804"/>
      <c r="AM443" s="1804"/>
      <c r="AN443" s="1804"/>
      <c r="AO443" s="1804"/>
      <c r="AP443" s="1804"/>
      <c r="AQ443" s="1804"/>
      <c r="AR443" s="1804"/>
      <c r="AS443" s="1804"/>
      <c r="AT443" s="1804"/>
      <c r="AU443" s="1804"/>
      <c r="AV443" s="1804"/>
      <c r="AW443" s="1804"/>
      <c r="AX443" s="1804"/>
      <c r="AY443" s="1804"/>
      <c r="AZ443" s="1804"/>
      <c r="BA443" s="1804"/>
      <c r="BB443" s="1804"/>
      <c r="BC443" s="1804"/>
      <c r="BD443" s="1804"/>
      <c r="BE443" s="1804"/>
      <c r="BF443" s="1804"/>
      <c r="BG443" s="1804"/>
      <c r="BH443" s="1804"/>
      <c r="BI443" s="1804"/>
      <c r="BJ443" s="1804"/>
      <c r="BK443" s="1804"/>
      <c r="BL443" s="1804"/>
      <c r="BM443" s="1804"/>
      <c r="BN443" s="1804"/>
      <c r="BO443" s="1804"/>
      <c r="BP443" s="1804"/>
      <c r="BQ443" s="1804"/>
      <c r="BR443" s="1804"/>
      <c r="BS443" s="1804"/>
      <c r="BT443" s="1804"/>
      <c r="BU443" s="1804"/>
      <c r="BV443" s="1804"/>
      <c r="BW443" s="1804"/>
      <c r="BX443" s="1804"/>
      <c r="BY443" s="1804"/>
      <c r="BZ443" s="1804"/>
      <c r="CA443" s="1804"/>
      <c r="CB443" s="1804"/>
      <c r="CC443" s="1804"/>
      <c r="CD443" s="1804"/>
      <c r="CE443" s="1804"/>
      <c r="CF443" s="1804"/>
      <c r="CG443" s="1804"/>
      <c r="CH443" s="1804"/>
      <c r="CI443" s="1804"/>
      <c r="CJ443" s="1804"/>
      <c r="CK443" s="1804"/>
      <c r="CL443" s="1804"/>
      <c r="CM443" s="1804"/>
      <c r="CN443" s="1804"/>
      <c r="CO443" s="1804"/>
      <c r="CP443" s="1804"/>
      <c r="CQ443" s="1804"/>
      <c r="CR443" s="1804"/>
      <c r="CS443" s="1804"/>
      <c r="CT443" s="1804"/>
      <c r="CU443" s="1804"/>
      <c r="CV443" s="1804"/>
      <c r="CW443" s="1804"/>
      <c r="CX443" s="1804"/>
      <c r="CY443" s="1804"/>
      <c r="CZ443" s="1804"/>
      <c r="DA443" s="1804"/>
      <c r="DB443" s="1804"/>
      <c r="DC443" s="1804"/>
      <c r="DD443" s="1804"/>
      <c r="DE443" s="1804"/>
      <c r="DF443" s="1804"/>
      <c r="DG443" s="1804"/>
      <c r="DH443" s="1804"/>
      <c r="DI443" s="1804"/>
      <c r="DJ443" s="1804"/>
      <c r="DK443" s="1804"/>
      <c r="DL443" s="1804"/>
      <c r="DM443" s="1804"/>
      <c r="DN443" s="1804"/>
      <c r="DO443" s="1804"/>
      <c r="DP443" s="1804"/>
      <c r="DQ443" s="1804"/>
      <c r="DR443" s="1804"/>
      <c r="DS443" s="1804"/>
      <c r="DT443" s="1804"/>
      <c r="DU443" s="1804"/>
      <c r="DV443" s="1804"/>
      <c r="DW443" s="1804"/>
      <c r="DX443" s="1804"/>
      <c r="DY443" s="1804"/>
      <c r="DZ443" s="1804"/>
      <c r="EA443" s="1804"/>
      <c r="EB443" s="1804"/>
      <c r="EC443" s="1804"/>
      <c r="ED443" s="1804"/>
      <c r="EE443" s="1804"/>
      <c r="EF443" s="1804"/>
      <c r="EG443" s="1804"/>
      <c r="EH443" s="1804"/>
      <c r="EI443" s="1804"/>
      <c r="EJ443" s="1804"/>
      <c r="EK443" s="1804"/>
      <c r="EL443" s="1804"/>
      <c r="EM443" s="1804"/>
      <c r="EN443" s="1804"/>
      <c r="EO443" s="1804"/>
      <c r="EP443" s="1804"/>
      <c r="EQ443" s="1804"/>
      <c r="ER443" s="1804"/>
      <c r="ES443" s="1804"/>
      <c r="ET443" s="1804"/>
      <c r="EU443" s="1804"/>
      <c r="EV443" s="1804"/>
      <c r="EW443" s="1804"/>
      <c r="EX443" s="1804"/>
      <c r="EY443" s="1804"/>
      <c r="EZ443" s="1804"/>
      <c r="FA443" s="1804"/>
      <c r="FB443" s="1804"/>
      <c r="FC443" s="1804"/>
      <c r="FD443" s="1804"/>
      <c r="FE443" s="1804"/>
      <c r="FF443" s="1804"/>
      <c r="FG443" s="1804"/>
      <c r="FH443" s="1804"/>
      <c r="FI443" s="1804"/>
      <c r="FJ443" s="1804"/>
      <c r="FK443" s="1804"/>
      <c r="FL443" s="1804"/>
      <c r="FM443" s="1804"/>
      <c r="FN443" s="1804"/>
      <c r="FO443" s="1804"/>
      <c r="FP443" s="1804"/>
      <c r="FQ443" s="1804"/>
      <c r="FR443" s="1804"/>
      <c r="FS443" s="1804"/>
      <c r="FT443" s="1804"/>
      <c r="FU443" s="1804"/>
      <c r="FV443" s="1804"/>
      <c r="FW443" s="1804"/>
      <c r="FX443" s="1804"/>
      <c r="FY443" s="1804"/>
      <c r="FZ443" s="1804"/>
      <c r="GA443" s="1804"/>
      <c r="GB443" s="1804"/>
      <c r="GC443" s="1804"/>
      <c r="GD443" s="1804"/>
      <c r="GE443" s="1804"/>
      <c r="GF443" s="1804"/>
      <c r="GG443" s="1804"/>
      <c r="GH443" s="1804"/>
      <c r="GI443" s="1804"/>
      <c r="GJ443" s="1804"/>
      <c r="GK443" s="1804"/>
      <c r="GL443" s="1804"/>
      <c r="GM443" s="1804"/>
      <c r="GN443" s="1804"/>
      <c r="GO443" s="1804"/>
      <c r="GP443" s="1804"/>
      <c r="GQ443" s="1804"/>
      <c r="GR443" s="1804"/>
      <c r="GS443" s="1804"/>
      <c r="GT443" s="1804"/>
      <c r="GU443" s="1804"/>
      <c r="GV443" s="1804"/>
      <c r="GW443" s="1804"/>
      <c r="GX443" s="1804"/>
      <c r="GY443" s="1804"/>
      <c r="GZ443" s="1804"/>
      <c r="HA443" s="1804"/>
      <c r="HB443" s="1804"/>
      <c r="HC443" s="1804"/>
      <c r="HD443" s="1804"/>
      <c r="HE443" s="1804"/>
      <c r="HF443" s="1804"/>
      <c r="HG443" s="1804"/>
      <c r="HH443" s="1804"/>
      <c r="HI443" s="1804"/>
      <c r="HJ443" s="1804"/>
      <c r="HK443" s="1804"/>
      <c r="HL443" s="1804"/>
      <c r="HM443" s="1804"/>
      <c r="HN443" s="1804"/>
      <c r="HO443" s="1804"/>
      <c r="HP443" s="1804"/>
      <c r="HQ443" s="1804"/>
      <c r="HR443" s="1804"/>
      <c r="HS443" s="1804"/>
      <c r="HT443" s="1804"/>
      <c r="HU443" s="1804"/>
      <c r="HV443" s="1804"/>
      <c r="HW443" s="1804"/>
      <c r="HX443" s="1804"/>
      <c r="HY443" s="1804"/>
      <c r="HZ443" s="1804"/>
      <c r="IA443" s="1804"/>
      <c r="IB443" s="1804"/>
      <c r="IC443" s="1804"/>
      <c r="ID443" s="1804"/>
      <c r="IE443" s="1804"/>
      <c r="IF443" s="1804"/>
      <c r="IG443" s="1804"/>
      <c r="IH443" s="1804"/>
      <c r="II443" s="1804"/>
      <c r="IJ443" s="1804"/>
      <c r="IK443" s="1804"/>
      <c r="IL443" s="1804"/>
      <c r="IM443" s="1804"/>
      <c r="IN443" s="1804"/>
      <c r="IO443" s="1804"/>
      <c r="IP443" s="1804"/>
      <c r="IQ443" s="1804"/>
      <c r="IR443" s="1804"/>
      <c r="IS443" s="1804"/>
      <c r="IT443" s="1804"/>
      <c r="IU443" s="1804"/>
      <c r="IV443" s="1804"/>
      <c r="IW443" s="1804"/>
    </row>
    <row r="444" spans="3:257" s="888" customFormat="1" x14ac:dyDescent="0.45">
      <c r="C444" s="67" t="s">
        <v>541</v>
      </c>
      <c r="D444" s="68" t="s">
        <v>643</v>
      </c>
      <c r="E444" s="69"/>
      <c r="F444" s="153">
        <v>776253</v>
      </c>
      <c r="G444" s="153">
        <v>995001</v>
      </c>
      <c r="H444" s="153">
        <v>44127120</v>
      </c>
      <c r="I444" s="153">
        <v>24456667</v>
      </c>
      <c r="J444" s="153">
        <v>170226</v>
      </c>
      <c r="K444" s="153">
        <v>10784101</v>
      </c>
      <c r="L444" s="153">
        <v>6788308</v>
      </c>
      <c r="M444" s="153">
        <v>2221855</v>
      </c>
      <c r="N444" s="153">
        <v>6676675</v>
      </c>
      <c r="O444" s="154">
        <v>2039887</v>
      </c>
      <c r="P444" s="165">
        <f t="shared" si="76"/>
        <v>53962494</v>
      </c>
      <c r="Q444" s="166">
        <f t="shared" si="77"/>
        <v>45073599</v>
      </c>
      <c r="R444" s="168">
        <f t="shared" si="75"/>
        <v>99036093</v>
      </c>
      <c r="S444" s="155">
        <f t="shared" si="78"/>
        <v>997436246.94299996</v>
      </c>
      <c r="T444" s="1804"/>
      <c r="U444" s="1804"/>
      <c r="V444" s="1804"/>
      <c r="W444" s="1804"/>
      <c r="X444" s="1804"/>
      <c r="Y444" s="1804"/>
      <c r="Z444" s="1804"/>
      <c r="AA444" s="1804"/>
      <c r="AB444" s="1804"/>
      <c r="AC444" s="1804"/>
      <c r="AD444" s="1804"/>
      <c r="AE444" s="1804"/>
      <c r="AF444" s="1804"/>
      <c r="AG444" s="1804"/>
      <c r="AH444" s="1804"/>
      <c r="AI444" s="1804"/>
      <c r="AJ444" s="1804"/>
      <c r="AK444" s="1804"/>
      <c r="AL444" s="1804"/>
      <c r="AM444" s="1804"/>
      <c r="AN444" s="1804"/>
      <c r="AO444" s="1804"/>
      <c r="AP444" s="1804"/>
      <c r="AQ444" s="1804"/>
      <c r="AR444" s="1804"/>
      <c r="AS444" s="1804"/>
      <c r="AT444" s="1804"/>
      <c r="AU444" s="1804"/>
      <c r="AV444" s="1804"/>
      <c r="AW444" s="1804"/>
      <c r="AX444" s="1804"/>
      <c r="AY444" s="1804"/>
      <c r="AZ444" s="1804"/>
      <c r="BA444" s="1804"/>
      <c r="BB444" s="1804"/>
      <c r="BC444" s="1804"/>
      <c r="BD444" s="1804"/>
      <c r="BE444" s="1804"/>
      <c r="BF444" s="1804"/>
      <c r="BG444" s="1804"/>
      <c r="BH444" s="1804"/>
      <c r="BI444" s="1804"/>
      <c r="BJ444" s="1804"/>
      <c r="BK444" s="1804"/>
      <c r="BL444" s="1804"/>
      <c r="BM444" s="1804"/>
      <c r="BN444" s="1804"/>
      <c r="BO444" s="1804"/>
      <c r="BP444" s="1804"/>
      <c r="BQ444" s="1804"/>
      <c r="BR444" s="1804"/>
      <c r="BS444" s="1804"/>
      <c r="BT444" s="1804"/>
      <c r="BU444" s="1804"/>
      <c r="BV444" s="1804"/>
      <c r="BW444" s="1804"/>
      <c r="BX444" s="1804"/>
      <c r="BY444" s="1804"/>
      <c r="BZ444" s="1804"/>
      <c r="CA444" s="1804"/>
      <c r="CB444" s="1804"/>
      <c r="CC444" s="1804"/>
      <c r="CD444" s="1804"/>
      <c r="CE444" s="1804"/>
      <c r="CF444" s="1804"/>
      <c r="CG444" s="1804"/>
      <c r="CH444" s="1804"/>
      <c r="CI444" s="1804"/>
      <c r="CJ444" s="1804"/>
      <c r="CK444" s="1804"/>
      <c r="CL444" s="1804"/>
      <c r="CM444" s="1804"/>
      <c r="CN444" s="1804"/>
      <c r="CO444" s="1804"/>
      <c r="CP444" s="1804"/>
      <c r="CQ444" s="1804"/>
      <c r="CR444" s="1804"/>
      <c r="CS444" s="1804"/>
      <c r="CT444" s="1804"/>
      <c r="CU444" s="1804"/>
      <c r="CV444" s="1804"/>
      <c r="CW444" s="1804"/>
      <c r="CX444" s="1804"/>
      <c r="CY444" s="1804"/>
      <c r="CZ444" s="1804"/>
      <c r="DA444" s="1804"/>
      <c r="DB444" s="1804"/>
      <c r="DC444" s="1804"/>
      <c r="DD444" s="1804"/>
      <c r="DE444" s="1804"/>
      <c r="DF444" s="1804"/>
      <c r="DG444" s="1804"/>
      <c r="DH444" s="1804"/>
      <c r="DI444" s="1804"/>
      <c r="DJ444" s="1804"/>
      <c r="DK444" s="1804"/>
      <c r="DL444" s="1804"/>
      <c r="DM444" s="1804"/>
      <c r="DN444" s="1804"/>
      <c r="DO444" s="1804"/>
      <c r="DP444" s="1804"/>
      <c r="DQ444" s="1804"/>
      <c r="DR444" s="1804"/>
      <c r="DS444" s="1804"/>
      <c r="DT444" s="1804"/>
      <c r="DU444" s="1804"/>
      <c r="DV444" s="1804"/>
      <c r="DW444" s="1804"/>
      <c r="DX444" s="1804"/>
      <c r="DY444" s="1804"/>
      <c r="DZ444" s="1804"/>
      <c r="EA444" s="1804"/>
      <c r="EB444" s="1804"/>
      <c r="EC444" s="1804"/>
      <c r="ED444" s="1804"/>
      <c r="EE444" s="1804"/>
      <c r="EF444" s="1804"/>
      <c r="EG444" s="1804"/>
      <c r="EH444" s="1804"/>
      <c r="EI444" s="1804"/>
      <c r="EJ444" s="1804"/>
      <c r="EK444" s="1804"/>
      <c r="EL444" s="1804"/>
      <c r="EM444" s="1804"/>
      <c r="EN444" s="1804"/>
      <c r="EO444" s="1804"/>
      <c r="EP444" s="1804"/>
      <c r="EQ444" s="1804"/>
      <c r="ER444" s="1804"/>
      <c r="ES444" s="1804"/>
      <c r="ET444" s="1804"/>
      <c r="EU444" s="1804"/>
      <c r="EV444" s="1804"/>
      <c r="EW444" s="1804"/>
      <c r="EX444" s="1804"/>
      <c r="EY444" s="1804"/>
      <c r="EZ444" s="1804"/>
      <c r="FA444" s="1804"/>
      <c r="FB444" s="1804"/>
      <c r="FC444" s="1804"/>
      <c r="FD444" s="1804"/>
      <c r="FE444" s="1804"/>
      <c r="FF444" s="1804"/>
      <c r="FG444" s="1804"/>
      <c r="FH444" s="1804"/>
      <c r="FI444" s="1804"/>
      <c r="FJ444" s="1804"/>
      <c r="FK444" s="1804"/>
      <c r="FL444" s="1804"/>
      <c r="FM444" s="1804"/>
      <c r="FN444" s="1804"/>
      <c r="FO444" s="1804"/>
      <c r="FP444" s="1804"/>
      <c r="FQ444" s="1804"/>
      <c r="FR444" s="1804"/>
      <c r="FS444" s="1804"/>
      <c r="FT444" s="1804"/>
      <c r="FU444" s="1804"/>
      <c r="FV444" s="1804"/>
      <c r="FW444" s="1804"/>
      <c r="FX444" s="1804"/>
      <c r="FY444" s="1804"/>
      <c r="FZ444" s="1804"/>
      <c r="GA444" s="1804"/>
      <c r="GB444" s="1804"/>
      <c r="GC444" s="1804"/>
      <c r="GD444" s="1804"/>
      <c r="GE444" s="1804"/>
      <c r="GF444" s="1804"/>
      <c r="GG444" s="1804"/>
      <c r="GH444" s="1804"/>
      <c r="GI444" s="1804"/>
      <c r="GJ444" s="1804"/>
      <c r="GK444" s="1804"/>
      <c r="GL444" s="1804"/>
      <c r="GM444" s="1804"/>
      <c r="GN444" s="1804"/>
      <c r="GO444" s="1804"/>
      <c r="GP444" s="1804"/>
      <c r="GQ444" s="1804"/>
      <c r="GR444" s="1804"/>
      <c r="GS444" s="1804"/>
      <c r="GT444" s="1804"/>
      <c r="GU444" s="1804"/>
      <c r="GV444" s="1804"/>
      <c r="GW444" s="1804"/>
      <c r="GX444" s="1804"/>
      <c r="GY444" s="1804"/>
      <c r="GZ444" s="1804"/>
      <c r="HA444" s="1804"/>
      <c r="HB444" s="1804"/>
      <c r="HC444" s="1804"/>
      <c r="HD444" s="1804"/>
      <c r="HE444" s="1804"/>
      <c r="HF444" s="1804"/>
      <c r="HG444" s="1804"/>
      <c r="HH444" s="1804"/>
      <c r="HI444" s="1804"/>
      <c r="HJ444" s="1804"/>
      <c r="HK444" s="1804"/>
      <c r="HL444" s="1804"/>
      <c r="HM444" s="1804"/>
      <c r="HN444" s="1804"/>
      <c r="HO444" s="1804"/>
      <c r="HP444" s="1804"/>
      <c r="HQ444" s="1804"/>
      <c r="HR444" s="1804"/>
      <c r="HS444" s="1804"/>
      <c r="HT444" s="1804"/>
      <c r="HU444" s="1804"/>
      <c r="HV444" s="1804"/>
      <c r="HW444" s="1804"/>
      <c r="HX444" s="1804"/>
      <c r="HY444" s="1804"/>
      <c r="HZ444" s="1804"/>
      <c r="IA444" s="1804"/>
      <c r="IB444" s="1804"/>
      <c r="IC444" s="1804"/>
      <c r="ID444" s="1804"/>
      <c r="IE444" s="1804"/>
      <c r="IF444" s="1804"/>
      <c r="IG444" s="1804"/>
      <c r="IH444" s="1804"/>
      <c r="II444" s="1804"/>
      <c r="IJ444" s="1804"/>
      <c r="IK444" s="1804"/>
      <c r="IL444" s="1804"/>
      <c r="IM444" s="1804"/>
      <c r="IN444" s="1804"/>
      <c r="IO444" s="1804"/>
      <c r="IP444" s="1804"/>
      <c r="IQ444" s="1804"/>
      <c r="IR444" s="1804"/>
      <c r="IS444" s="1804"/>
      <c r="IT444" s="1804"/>
      <c r="IU444" s="1804"/>
      <c r="IV444" s="1804"/>
      <c r="IW444" s="1804"/>
    </row>
    <row r="445" spans="3:257" s="888" customFormat="1" x14ac:dyDescent="0.45">
      <c r="C445" s="67" t="s">
        <v>542</v>
      </c>
      <c r="D445" s="68" t="s">
        <v>644</v>
      </c>
      <c r="E445" s="69"/>
      <c r="F445" s="153">
        <v>531924</v>
      </c>
      <c r="G445" s="153">
        <v>557964</v>
      </c>
      <c r="H445" s="153">
        <v>21703341</v>
      </c>
      <c r="I445" s="153">
        <v>11874218</v>
      </c>
      <c r="J445" s="153">
        <v>88158</v>
      </c>
      <c r="K445" s="153">
        <v>5497522</v>
      </c>
      <c r="L445" s="153">
        <v>4482973</v>
      </c>
      <c r="M445" s="153">
        <v>1421637</v>
      </c>
      <c r="N445" s="153">
        <v>4173689</v>
      </c>
      <c r="O445" s="154">
        <v>1154403</v>
      </c>
      <c r="P445" s="165">
        <f t="shared" si="76"/>
        <v>29162406</v>
      </c>
      <c r="Q445" s="166">
        <f t="shared" si="77"/>
        <v>22323423</v>
      </c>
      <c r="R445" s="168">
        <f t="shared" si="75"/>
        <v>51485829</v>
      </c>
      <c r="S445" s="155">
        <f t="shared" si="78"/>
        <v>519783000.85500002</v>
      </c>
      <c r="T445" s="1804"/>
      <c r="U445" s="1804"/>
      <c r="V445" s="1804"/>
      <c r="W445" s="1804"/>
      <c r="X445" s="1804"/>
      <c r="Y445" s="1804"/>
      <c r="Z445" s="1804"/>
      <c r="AA445" s="1804"/>
      <c r="AB445" s="1804"/>
      <c r="AC445" s="1804"/>
      <c r="AD445" s="1804"/>
      <c r="AE445" s="1804"/>
      <c r="AF445" s="1804"/>
      <c r="AG445" s="1804"/>
      <c r="AH445" s="1804"/>
      <c r="AI445" s="1804"/>
      <c r="AJ445" s="1804"/>
      <c r="AK445" s="1804"/>
      <c r="AL445" s="1804"/>
      <c r="AM445" s="1804"/>
      <c r="AN445" s="1804"/>
      <c r="AO445" s="1804"/>
      <c r="AP445" s="1804"/>
      <c r="AQ445" s="1804"/>
      <c r="AR445" s="1804"/>
      <c r="AS445" s="1804"/>
      <c r="AT445" s="1804"/>
      <c r="AU445" s="1804"/>
      <c r="AV445" s="1804"/>
      <c r="AW445" s="1804"/>
      <c r="AX445" s="1804"/>
      <c r="AY445" s="1804"/>
      <c r="AZ445" s="1804"/>
      <c r="BA445" s="1804"/>
      <c r="BB445" s="1804"/>
      <c r="BC445" s="1804"/>
      <c r="BD445" s="1804"/>
      <c r="BE445" s="1804"/>
      <c r="BF445" s="1804"/>
      <c r="BG445" s="1804"/>
      <c r="BH445" s="1804"/>
      <c r="BI445" s="1804"/>
      <c r="BJ445" s="1804"/>
      <c r="BK445" s="1804"/>
      <c r="BL445" s="1804"/>
      <c r="BM445" s="1804"/>
      <c r="BN445" s="1804"/>
      <c r="BO445" s="1804"/>
      <c r="BP445" s="1804"/>
      <c r="BQ445" s="1804"/>
      <c r="BR445" s="1804"/>
      <c r="BS445" s="1804"/>
      <c r="BT445" s="1804"/>
      <c r="BU445" s="1804"/>
      <c r="BV445" s="1804"/>
      <c r="BW445" s="1804"/>
      <c r="BX445" s="1804"/>
      <c r="BY445" s="1804"/>
      <c r="BZ445" s="1804"/>
      <c r="CA445" s="1804"/>
      <c r="CB445" s="1804"/>
      <c r="CC445" s="1804"/>
      <c r="CD445" s="1804"/>
      <c r="CE445" s="1804"/>
      <c r="CF445" s="1804"/>
      <c r="CG445" s="1804"/>
      <c r="CH445" s="1804"/>
      <c r="CI445" s="1804"/>
      <c r="CJ445" s="1804"/>
      <c r="CK445" s="1804"/>
      <c r="CL445" s="1804"/>
      <c r="CM445" s="1804"/>
      <c r="CN445" s="1804"/>
      <c r="CO445" s="1804"/>
      <c r="CP445" s="1804"/>
      <c r="CQ445" s="1804"/>
      <c r="CR445" s="1804"/>
      <c r="CS445" s="1804"/>
      <c r="CT445" s="1804"/>
      <c r="CU445" s="1804"/>
      <c r="CV445" s="1804"/>
      <c r="CW445" s="1804"/>
      <c r="CX445" s="1804"/>
      <c r="CY445" s="1804"/>
      <c r="CZ445" s="1804"/>
      <c r="DA445" s="1804"/>
      <c r="DB445" s="1804"/>
      <c r="DC445" s="1804"/>
      <c r="DD445" s="1804"/>
      <c r="DE445" s="1804"/>
      <c r="DF445" s="1804"/>
      <c r="DG445" s="1804"/>
      <c r="DH445" s="1804"/>
      <c r="DI445" s="1804"/>
      <c r="DJ445" s="1804"/>
      <c r="DK445" s="1804"/>
      <c r="DL445" s="1804"/>
      <c r="DM445" s="1804"/>
      <c r="DN445" s="1804"/>
      <c r="DO445" s="1804"/>
      <c r="DP445" s="1804"/>
      <c r="DQ445" s="1804"/>
      <c r="DR445" s="1804"/>
      <c r="DS445" s="1804"/>
      <c r="DT445" s="1804"/>
      <c r="DU445" s="1804"/>
      <c r="DV445" s="1804"/>
      <c r="DW445" s="1804"/>
      <c r="DX445" s="1804"/>
      <c r="DY445" s="1804"/>
      <c r="DZ445" s="1804"/>
      <c r="EA445" s="1804"/>
      <c r="EB445" s="1804"/>
      <c r="EC445" s="1804"/>
      <c r="ED445" s="1804"/>
      <c r="EE445" s="1804"/>
      <c r="EF445" s="1804"/>
      <c r="EG445" s="1804"/>
      <c r="EH445" s="1804"/>
      <c r="EI445" s="1804"/>
      <c r="EJ445" s="1804"/>
      <c r="EK445" s="1804"/>
      <c r="EL445" s="1804"/>
      <c r="EM445" s="1804"/>
      <c r="EN445" s="1804"/>
      <c r="EO445" s="1804"/>
      <c r="EP445" s="1804"/>
      <c r="EQ445" s="1804"/>
      <c r="ER445" s="1804"/>
      <c r="ES445" s="1804"/>
      <c r="ET445" s="1804"/>
      <c r="EU445" s="1804"/>
      <c r="EV445" s="1804"/>
      <c r="EW445" s="1804"/>
      <c r="EX445" s="1804"/>
      <c r="EY445" s="1804"/>
      <c r="EZ445" s="1804"/>
      <c r="FA445" s="1804"/>
      <c r="FB445" s="1804"/>
      <c r="FC445" s="1804"/>
      <c r="FD445" s="1804"/>
      <c r="FE445" s="1804"/>
      <c r="FF445" s="1804"/>
      <c r="FG445" s="1804"/>
      <c r="FH445" s="1804"/>
      <c r="FI445" s="1804"/>
      <c r="FJ445" s="1804"/>
      <c r="FK445" s="1804"/>
      <c r="FL445" s="1804"/>
      <c r="FM445" s="1804"/>
      <c r="FN445" s="1804"/>
      <c r="FO445" s="1804"/>
      <c r="FP445" s="1804"/>
      <c r="FQ445" s="1804"/>
      <c r="FR445" s="1804"/>
      <c r="FS445" s="1804"/>
      <c r="FT445" s="1804"/>
      <c r="FU445" s="1804"/>
      <c r="FV445" s="1804"/>
      <c r="FW445" s="1804"/>
      <c r="FX445" s="1804"/>
      <c r="FY445" s="1804"/>
      <c r="FZ445" s="1804"/>
      <c r="GA445" s="1804"/>
      <c r="GB445" s="1804"/>
      <c r="GC445" s="1804"/>
      <c r="GD445" s="1804"/>
      <c r="GE445" s="1804"/>
      <c r="GF445" s="1804"/>
      <c r="GG445" s="1804"/>
      <c r="GH445" s="1804"/>
      <c r="GI445" s="1804"/>
      <c r="GJ445" s="1804"/>
      <c r="GK445" s="1804"/>
      <c r="GL445" s="1804"/>
      <c r="GM445" s="1804"/>
      <c r="GN445" s="1804"/>
      <c r="GO445" s="1804"/>
      <c r="GP445" s="1804"/>
      <c r="GQ445" s="1804"/>
      <c r="GR445" s="1804"/>
      <c r="GS445" s="1804"/>
      <c r="GT445" s="1804"/>
      <c r="GU445" s="1804"/>
      <c r="GV445" s="1804"/>
      <c r="GW445" s="1804"/>
      <c r="GX445" s="1804"/>
      <c r="GY445" s="1804"/>
      <c r="GZ445" s="1804"/>
      <c r="HA445" s="1804"/>
      <c r="HB445" s="1804"/>
      <c r="HC445" s="1804"/>
      <c r="HD445" s="1804"/>
      <c r="HE445" s="1804"/>
      <c r="HF445" s="1804"/>
      <c r="HG445" s="1804"/>
      <c r="HH445" s="1804"/>
      <c r="HI445" s="1804"/>
      <c r="HJ445" s="1804"/>
      <c r="HK445" s="1804"/>
      <c r="HL445" s="1804"/>
      <c r="HM445" s="1804"/>
      <c r="HN445" s="1804"/>
      <c r="HO445" s="1804"/>
      <c r="HP445" s="1804"/>
      <c r="HQ445" s="1804"/>
      <c r="HR445" s="1804"/>
      <c r="HS445" s="1804"/>
      <c r="HT445" s="1804"/>
      <c r="HU445" s="1804"/>
      <c r="HV445" s="1804"/>
      <c r="HW445" s="1804"/>
      <c r="HX445" s="1804"/>
      <c r="HY445" s="1804"/>
      <c r="HZ445" s="1804"/>
      <c r="IA445" s="1804"/>
      <c r="IB445" s="1804"/>
      <c r="IC445" s="1804"/>
      <c r="ID445" s="1804"/>
      <c r="IE445" s="1804"/>
      <c r="IF445" s="1804"/>
      <c r="IG445" s="1804"/>
      <c r="IH445" s="1804"/>
      <c r="II445" s="1804"/>
      <c r="IJ445" s="1804"/>
      <c r="IK445" s="1804"/>
      <c r="IL445" s="1804"/>
      <c r="IM445" s="1804"/>
      <c r="IN445" s="1804"/>
      <c r="IO445" s="1804"/>
      <c r="IP445" s="1804"/>
      <c r="IQ445" s="1804"/>
      <c r="IR445" s="1804"/>
      <c r="IS445" s="1804"/>
      <c r="IT445" s="1804"/>
      <c r="IU445" s="1804"/>
      <c r="IV445" s="1804"/>
      <c r="IW445" s="1804"/>
    </row>
    <row r="446" spans="3:257" s="888" customFormat="1" x14ac:dyDescent="0.45">
      <c r="C446" s="67" t="s">
        <v>543</v>
      </c>
      <c r="D446" s="68" t="s">
        <v>645</v>
      </c>
      <c r="E446" s="69"/>
      <c r="F446" s="153">
        <v>648140</v>
      </c>
      <c r="G446" s="153">
        <v>4456942</v>
      </c>
      <c r="H446" s="153">
        <v>24809564</v>
      </c>
      <c r="I446" s="153">
        <v>13461701</v>
      </c>
      <c r="J446" s="153">
        <v>112441</v>
      </c>
      <c r="K446" s="153">
        <v>7264202</v>
      </c>
      <c r="L446" s="153">
        <v>8342525</v>
      </c>
      <c r="M446" s="153">
        <v>1412787</v>
      </c>
      <c r="N446" s="153">
        <v>8206560</v>
      </c>
      <c r="O446" s="154">
        <v>3205549</v>
      </c>
      <c r="P446" s="165">
        <f t="shared" si="76"/>
        <v>46350266</v>
      </c>
      <c r="Q446" s="166">
        <f t="shared" si="77"/>
        <v>25570145</v>
      </c>
      <c r="R446" s="168">
        <f t="shared" si="75"/>
        <v>71920411</v>
      </c>
      <c r="S446" s="155">
        <f t="shared" si="78"/>
        <v>732392866.63300002</v>
      </c>
      <c r="T446" s="1804"/>
      <c r="U446" s="1804"/>
      <c r="V446" s="1804"/>
      <c r="W446" s="1804"/>
      <c r="X446" s="1804"/>
      <c r="Y446" s="1804"/>
      <c r="Z446" s="1804"/>
      <c r="AA446" s="1804"/>
      <c r="AB446" s="1804"/>
      <c r="AC446" s="1804"/>
      <c r="AD446" s="1804"/>
      <c r="AE446" s="1804"/>
      <c r="AF446" s="1804"/>
      <c r="AG446" s="1804"/>
      <c r="AH446" s="1804"/>
      <c r="AI446" s="1804"/>
      <c r="AJ446" s="1804"/>
      <c r="AK446" s="1804"/>
      <c r="AL446" s="1804"/>
      <c r="AM446" s="1804"/>
      <c r="AN446" s="1804"/>
      <c r="AO446" s="1804"/>
      <c r="AP446" s="1804"/>
      <c r="AQ446" s="1804"/>
      <c r="AR446" s="1804"/>
      <c r="AS446" s="1804"/>
      <c r="AT446" s="1804"/>
      <c r="AU446" s="1804"/>
      <c r="AV446" s="1804"/>
      <c r="AW446" s="1804"/>
      <c r="AX446" s="1804"/>
      <c r="AY446" s="1804"/>
      <c r="AZ446" s="1804"/>
      <c r="BA446" s="1804"/>
      <c r="BB446" s="1804"/>
      <c r="BC446" s="1804"/>
      <c r="BD446" s="1804"/>
      <c r="BE446" s="1804"/>
      <c r="BF446" s="1804"/>
      <c r="BG446" s="1804"/>
      <c r="BH446" s="1804"/>
      <c r="BI446" s="1804"/>
      <c r="BJ446" s="1804"/>
      <c r="BK446" s="1804"/>
      <c r="BL446" s="1804"/>
      <c r="BM446" s="1804"/>
      <c r="BN446" s="1804"/>
      <c r="BO446" s="1804"/>
      <c r="BP446" s="1804"/>
      <c r="BQ446" s="1804"/>
      <c r="BR446" s="1804"/>
      <c r="BS446" s="1804"/>
      <c r="BT446" s="1804"/>
      <c r="BU446" s="1804"/>
      <c r="BV446" s="1804"/>
      <c r="BW446" s="1804"/>
      <c r="BX446" s="1804"/>
      <c r="BY446" s="1804"/>
      <c r="BZ446" s="1804"/>
      <c r="CA446" s="1804"/>
      <c r="CB446" s="1804"/>
      <c r="CC446" s="1804"/>
      <c r="CD446" s="1804"/>
      <c r="CE446" s="1804"/>
      <c r="CF446" s="1804"/>
      <c r="CG446" s="1804"/>
      <c r="CH446" s="1804"/>
      <c r="CI446" s="1804"/>
      <c r="CJ446" s="1804"/>
      <c r="CK446" s="1804"/>
      <c r="CL446" s="1804"/>
      <c r="CM446" s="1804"/>
      <c r="CN446" s="1804"/>
      <c r="CO446" s="1804"/>
      <c r="CP446" s="1804"/>
      <c r="CQ446" s="1804"/>
      <c r="CR446" s="1804"/>
      <c r="CS446" s="1804"/>
      <c r="CT446" s="1804"/>
      <c r="CU446" s="1804"/>
      <c r="CV446" s="1804"/>
      <c r="CW446" s="1804"/>
      <c r="CX446" s="1804"/>
      <c r="CY446" s="1804"/>
      <c r="CZ446" s="1804"/>
      <c r="DA446" s="1804"/>
      <c r="DB446" s="1804"/>
      <c r="DC446" s="1804"/>
      <c r="DD446" s="1804"/>
      <c r="DE446" s="1804"/>
      <c r="DF446" s="1804"/>
      <c r="DG446" s="1804"/>
      <c r="DH446" s="1804"/>
      <c r="DI446" s="1804"/>
      <c r="DJ446" s="1804"/>
      <c r="DK446" s="1804"/>
      <c r="DL446" s="1804"/>
      <c r="DM446" s="1804"/>
      <c r="DN446" s="1804"/>
      <c r="DO446" s="1804"/>
      <c r="DP446" s="1804"/>
      <c r="DQ446" s="1804"/>
      <c r="DR446" s="1804"/>
      <c r="DS446" s="1804"/>
      <c r="DT446" s="1804"/>
      <c r="DU446" s="1804"/>
      <c r="DV446" s="1804"/>
      <c r="DW446" s="1804"/>
      <c r="DX446" s="1804"/>
      <c r="DY446" s="1804"/>
      <c r="DZ446" s="1804"/>
      <c r="EA446" s="1804"/>
      <c r="EB446" s="1804"/>
      <c r="EC446" s="1804"/>
      <c r="ED446" s="1804"/>
      <c r="EE446" s="1804"/>
      <c r="EF446" s="1804"/>
      <c r="EG446" s="1804"/>
      <c r="EH446" s="1804"/>
      <c r="EI446" s="1804"/>
      <c r="EJ446" s="1804"/>
      <c r="EK446" s="1804"/>
      <c r="EL446" s="1804"/>
      <c r="EM446" s="1804"/>
      <c r="EN446" s="1804"/>
      <c r="EO446" s="1804"/>
      <c r="EP446" s="1804"/>
      <c r="EQ446" s="1804"/>
      <c r="ER446" s="1804"/>
      <c r="ES446" s="1804"/>
      <c r="ET446" s="1804"/>
      <c r="EU446" s="1804"/>
      <c r="EV446" s="1804"/>
      <c r="EW446" s="1804"/>
      <c r="EX446" s="1804"/>
      <c r="EY446" s="1804"/>
      <c r="EZ446" s="1804"/>
      <c r="FA446" s="1804"/>
      <c r="FB446" s="1804"/>
      <c r="FC446" s="1804"/>
      <c r="FD446" s="1804"/>
      <c r="FE446" s="1804"/>
      <c r="FF446" s="1804"/>
      <c r="FG446" s="1804"/>
      <c r="FH446" s="1804"/>
      <c r="FI446" s="1804"/>
      <c r="FJ446" s="1804"/>
      <c r="FK446" s="1804"/>
      <c r="FL446" s="1804"/>
      <c r="FM446" s="1804"/>
      <c r="FN446" s="1804"/>
      <c r="FO446" s="1804"/>
      <c r="FP446" s="1804"/>
      <c r="FQ446" s="1804"/>
      <c r="FR446" s="1804"/>
      <c r="FS446" s="1804"/>
      <c r="FT446" s="1804"/>
      <c r="FU446" s="1804"/>
      <c r="FV446" s="1804"/>
      <c r="FW446" s="1804"/>
      <c r="FX446" s="1804"/>
      <c r="FY446" s="1804"/>
      <c r="FZ446" s="1804"/>
      <c r="GA446" s="1804"/>
      <c r="GB446" s="1804"/>
      <c r="GC446" s="1804"/>
      <c r="GD446" s="1804"/>
      <c r="GE446" s="1804"/>
      <c r="GF446" s="1804"/>
      <c r="GG446" s="1804"/>
      <c r="GH446" s="1804"/>
      <c r="GI446" s="1804"/>
      <c r="GJ446" s="1804"/>
      <c r="GK446" s="1804"/>
      <c r="GL446" s="1804"/>
      <c r="GM446" s="1804"/>
      <c r="GN446" s="1804"/>
      <c r="GO446" s="1804"/>
      <c r="GP446" s="1804"/>
      <c r="GQ446" s="1804"/>
      <c r="GR446" s="1804"/>
      <c r="GS446" s="1804"/>
      <c r="GT446" s="1804"/>
      <c r="GU446" s="1804"/>
      <c r="GV446" s="1804"/>
      <c r="GW446" s="1804"/>
      <c r="GX446" s="1804"/>
      <c r="GY446" s="1804"/>
      <c r="GZ446" s="1804"/>
      <c r="HA446" s="1804"/>
      <c r="HB446" s="1804"/>
      <c r="HC446" s="1804"/>
      <c r="HD446" s="1804"/>
      <c r="HE446" s="1804"/>
      <c r="HF446" s="1804"/>
      <c r="HG446" s="1804"/>
      <c r="HH446" s="1804"/>
      <c r="HI446" s="1804"/>
      <c r="HJ446" s="1804"/>
      <c r="HK446" s="1804"/>
      <c r="HL446" s="1804"/>
      <c r="HM446" s="1804"/>
      <c r="HN446" s="1804"/>
      <c r="HO446" s="1804"/>
      <c r="HP446" s="1804"/>
      <c r="HQ446" s="1804"/>
      <c r="HR446" s="1804"/>
      <c r="HS446" s="1804"/>
      <c r="HT446" s="1804"/>
      <c r="HU446" s="1804"/>
      <c r="HV446" s="1804"/>
      <c r="HW446" s="1804"/>
      <c r="HX446" s="1804"/>
      <c r="HY446" s="1804"/>
      <c r="HZ446" s="1804"/>
      <c r="IA446" s="1804"/>
      <c r="IB446" s="1804"/>
      <c r="IC446" s="1804"/>
      <c r="ID446" s="1804"/>
      <c r="IE446" s="1804"/>
      <c r="IF446" s="1804"/>
      <c r="IG446" s="1804"/>
      <c r="IH446" s="1804"/>
      <c r="II446" s="1804"/>
      <c r="IJ446" s="1804"/>
      <c r="IK446" s="1804"/>
      <c r="IL446" s="1804"/>
      <c r="IM446" s="1804"/>
      <c r="IN446" s="1804"/>
      <c r="IO446" s="1804"/>
      <c r="IP446" s="1804"/>
      <c r="IQ446" s="1804"/>
      <c r="IR446" s="1804"/>
      <c r="IS446" s="1804"/>
      <c r="IT446" s="1804"/>
      <c r="IU446" s="1804"/>
      <c r="IV446" s="1804"/>
      <c r="IW446" s="1804"/>
    </row>
    <row r="447" spans="3:257" s="888" customFormat="1" x14ac:dyDescent="0.45">
      <c r="C447" s="67" t="s">
        <v>544</v>
      </c>
      <c r="D447" s="68" t="s">
        <v>646</v>
      </c>
      <c r="E447" s="69"/>
      <c r="F447" s="153">
        <v>662872</v>
      </c>
      <c r="G447" s="153">
        <v>3535686</v>
      </c>
      <c r="H447" s="153">
        <v>41850183</v>
      </c>
      <c r="I447" s="153">
        <v>22694888</v>
      </c>
      <c r="J447" s="153">
        <v>168931</v>
      </c>
      <c r="K447" s="153">
        <v>11159393</v>
      </c>
      <c r="L447" s="153">
        <v>5372117</v>
      </c>
      <c r="M447" s="153">
        <v>2201042</v>
      </c>
      <c r="N447" s="153">
        <v>8310643</v>
      </c>
      <c r="O447" s="154">
        <v>4252573</v>
      </c>
      <c r="P447" s="165">
        <f t="shared" si="76"/>
        <v>57526342</v>
      </c>
      <c r="Q447" s="166">
        <f t="shared" si="77"/>
        <v>42681986</v>
      </c>
      <c r="R447" s="168">
        <f t="shared" si="75"/>
        <v>100208328</v>
      </c>
      <c r="S447" s="155">
        <f t="shared" si="78"/>
        <v>1012530182.96</v>
      </c>
      <c r="T447" s="1804"/>
      <c r="U447" s="1804"/>
      <c r="V447" s="1804"/>
      <c r="W447" s="1804"/>
      <c r="X447" s="1804"/>
      <c r="Y447" s="1804"/>
      <c r="Z447" s="1804"/>
      <c r="AA447" s="1804"/>
      <c r="AB447" s="1804"/>
      <c r="AC447" s="1804"/>
      <c r="AD447" s="1804"/>
      <c r="AE447" s="1804"/>
      <c r="AF447" s="1804"/>
      <c r="AG447" s="1804"/>
      <c r="AH447" s="1804"/>
      <c r="AI447" s="1804"/>
      <c r="AJ447" s="1804"/>
      <c r="AK447" s="1804"/>
      <c r="AL447" s="1804"/>
      <c r="AM447" s="1804"/>
      <c r="AN447" s="1804"/>
      <c r="AO447" s="1804"/>
      <c r="AP447" s="1804"/>
      <c r="AQ447" s="1804"/>
      <c r="AR447" s="1804"/>
      <c r="AS447" s="1804"/>
      <c r="AT447" s="1804"/>
      <c r="AU447" s="1804"/>
      <c r="AV447" s="1804"/>
      <c r="AW447" s="1804"/>
      <c r="AX447" s="1804"/>
      <c r="AY447" s="1804"/>
      <c r="AZ447" s="1804"/>
      <c r="BA447" s="1804"/>
      <c r="BB447" s="1804"/>
      <c r="BC447" s="1804"/>
      <c r="BD447" s="1804"/>
      <c r="BE447" s="1804"/>
      <c r="BF447" s="1804"/>
      <c r="BG447" s="1804"/>
      <c r="BH447" s="1804"/>
      <c r="BI447" s="1804"/>
      <c r="BJ447" s="1804"/>
      <c r="BK447" s="1804"/>
      <c r="BL447" s="1804"/>
      <c r="BM447" s="1804"/>
      <c r="BN447" s="1804"/>
      <c r="BO447" s="1804"/>
      <c r="BP447" s="1804"/>
      <c r="BQ447" s="1804"/>
      <c r="BR447" s="1804"/>
      <c r="BS447" s="1804"/>
      <c r="BT447" s="1804"/>
      <c r="BU447" s="1804"/>
      <c r="BV447" s="1804"/>
      <c r="BW447" s="1804"/>
      <c r="BX447" s="1804"/>
      <c r="BY447" s="1804"/>
      <c r="BZ447" s="1804"/>
      <c r="CA447" s="1804"/>
      <c r="CB447" s="1804"/>
      <c r="CC447" s="1804"/>
      <c r="CD447" s="1804"/>
      <c r="CE447" s="1804"/>
      <c r="CF447" s="1804"/>
      <c r="CG447" s="1804"/>
      <c r="CH447" s="1804"/>
      <c r="CI447" s="1804"/>
      <c r="CJ447" s="1804"/>
      <c r="CK447" s="1804"/>
      <c r="CL447" s="1804"/>
      <c r="CM447" s="1804"/>
      <c r="CN447" s="1804"/>
      <c r="CO447" s="1804"/>
      <c r="CP447" s="1804"/>
      <c r="CQ447" s="1804"/>
      <c r="CR447" s="1804"/>
      <c r="CS447" s="1804"/>
      <c r="CT447" s="1804"/>
      <c r="CU447" s="1804"/>
      <c r="CV447" s="1804"/>
      <c r="CW447" s="1804"/>
      <c r="CX447" s="1804"/>
      <c r="CY447" s="1804"/>
      <c r="CZ447" s="1804"/>
      <c r="DA447" s="1804"/>
      <c r="DB447" s="1804"/>
      <c r="DC447" s="1804"/>
      <c r="DD447" s="1804"/>
      <c r="DE447" s="1804"/>
      <c r="DF447" s="1804"/>
      <c r="DG447" s="1804"/>
      <c r="DH447" s="1804"/>
      <c r="DI447" s="1804"/>
      <c r="DJ447" s="1804"/>
      <c r="DK447" s="1804"/>
      <c r="DL447" s="1804"/>
      <c r="DM447" s="1804"/>
      <c r="DN447" s="1804"/>
      <c r="DO447" s="1804"/>
      <c r="DP447" s="1804"/>
      <c r="DQ447" s="1804"/>
      <c r="DR447" s="1804"/>
      <c r="DS447" s="1804"/>
      <c r="DT447" s="1804"/>
      <c r="DU447" s="1804"/>
      <c r="DV447" s="1804"/>
      <c r="DW447" s="1804"/>
      <c r="DX447" s="1804"/>
      <c r="DY447" s="1804"/>
      <c r="DZ447" s="1804"/>
      <c r="EA447" s="1804"/>
      <c r="EB447" s="1804"/>
      <c r="EC447" s="1804"/>
      <c r="ED447" s="1804"/>
      <c r="EE447" s="1804"/>
      <c r="EF447" s="1804"/>
      <c r="EG447" s="1804"/>
      <c r="EH447" s="1804"/>
      <c r="EI447" s="1804"/>
      <c r="EJ447" s="1804"/>
      <c r="EK447" s="1804"/>
      <c r="EL447" s="1804"/>
      <c r="EM447" s="1804"/>
      <c r="EN447" s="1804"/>
      <c r="EO447" s="1804"/>
      <c r="EP447" s="1804"/>
      <c r="EQ447" s="1804"/>
      <c r="ER447" s="1804"/>
      <c r="ES447" s="1804"/>
      <c r="ET447" s="1804"/>
      <c r="EU447" s="1804"/>
      <c r="EV447" s="1804"/>
      <c r="EW447" s="1804"/>
      <c r="EX447" s="1804"/>
      <c r="EY447" s="1804"/>
      <c r="EZ447" s="1804"/>
      <c r="FA447" s="1804"/>
      <c r="FB447" s="1804"/>
      <c r="FC447" s="1804"/>
      <c r="FD447" s="1804"/>
      <c r="FE447" s="1804"/>
      <c r="FF447" s="1804"/>
      <c r="FG447" s="1804"/>
      <c r="FH447" s="1804"/>
      <c r="FI447" s="1804"/>
      <c r="FJ447" s="1804"/>
      <c r="FK447" s="1804"/>
      <c r="FL447" s="1804"/>
      <c r="FM447" s="1804"/>
      <c r="FN447" s="1804"/>
      <c r="FO447" s="1804"/>
      <c r="FP447" s="1804"/>
      <c r="FQ447" s="1804"/>
      <c r="FR447" s="1804"/>
      <c r="FS447" s="1804"/>
      <c r="FT447" s="1804"/>
      <c r="FU447" s="1804"/>
      <c r="FV447" s="1804"/>
      <c r="FW447" s="1804"/>
      <c r="FX447" s="1804"/>
      <c r="FY447" s="1804"/>
      <c r="FZ447" s="1804"/>
      <c r="GA447" s="1804"/>
      <c r="GB447" s="1804"/>
      <c r="GC447" s="1804"/>
      <c r="GD447" s="1804"/>
      <c r="GE447" s="1804"/>
      <c r="GF447" s="1804"/>
      <c r="GG447" s="1804"/>
      <c r="GH447" s="1804"/>
      <c r="GI447" s="1804"/>
      <c r="GJ447" s="1804"/>
      <c r="GK447" s="1804"/>
      <c r="GL447" s="1804"/>
      <c r="GM447" s="1804"/>
      <c r="GN447" s="1804"/>
      <c r="GO447" s="1804"/>
      <c r="GP447" s="1804"/>
      <c r="GQ447" s="1804"/>
      <c r="GR447" s="1804"/>
      <c r="GS447" s="1804"/>
      <c r="GT447" s="1804"/>
      <c r="GU447" s="1804"/>
      <c r="GV447" s="1804"/>
      <c r="GW447" s="1804"/>
      <c r="GX447" s="1804"/>
      <c r="GY447" s="1804"/>
      <c r="GZ447" s="1804"/>
      <c r="HA447" s="1804"/>
      <c r="HB447" s="1804"/>
      <c r="HC447" s="1804"/>
      <c r="HD447" s="1804"/>
      <c r="HE447" s="1804"/>
      <c r="HF447" s="1804"/>
      <c r="HG447" s="1804"/>
      <c r="HH447" s="1804"/>
      <c r="HI447" s="1804"/>
      <c r="HJ447" s="1804"/>
      <c r="HK447" s="1804"/>
      <c r="HL447" s="1804"/>
      <c r="HM447" s="1804"/>
      <c r="HN447" s="1804"/>
      <c r="HO447" s="1804"/>
      <c r="HP447" s="1804"/>
      <c r="HQ447" s="1804"/>
      <c r="HR447" s="1804"/>
      <c r="HS447" s="1804"/>
      <c r="HT447" s="1804"/>
      <c r="HU447" s="1804"/>
      <c r="HV447" s="1804"/>
      <c r="HW447" s="1804"/>
      <c r="HX447" s="1804"/>
      <c r="HY447" s="1804"/>
      <c r="HZ447" s="1804"/>
      <c r="IA447" s="1804"/>
      <c r="IB447" s="1804"/>
      <c r="IC447" s="1804"/>
      <c r="ID447" s="1804"/>
      <c r="IE447" s="1804"/>
      <c r="IF447" s="1804"/>
      <c r="IG447" s="1804"/>
      <c r="IH447" s="1804"/>
      <c r="II447" s="1804"/>
      <c r="IJ447" s="1804"/>
      <c r="IK447" s="1804"/>
      <c r="IL447" s="1804"/>
      <c r="IM447" s="1804"/>
      <c r="IN447" s="1804"/>
      <c r="IO447" s="1804"/>
      <c r="IP447" s="1804"/>
      <c r="IQ447" s="1804"/>
      <c r="IR447" s="1804"/>
      <c r="IS447" s="1804"/>
      <c r="IT447" s="1804"/>
      <c r="IU447" s="1804"/>
      <c r="IV447" s="1804"/>
      <c r="IW447" s="1804"/>
    </row>
    <row r="448" spans="3:257" s="888" customFormat="1" x14ac:dyDescent="0.45">
      <c r="C448" s="67" t="s">
        <v>545</v>
      </c>
      <c r="D448" s="68" t="s">
        <v>647</v>
      </c>
      <c r="E448" s="69"/>
      <c r="F448" s="153">
        <v>703255</v>
      </c>
      <c r="G448" s="153">
        <v>1011127</v>
      </c>
      <c r="H448" s="153">
        <v>28689740</v>
      </c>
      <c r="I448" s="153">
        <v>15623249</v>
      </c>
      <c r="J448" s="153">
        <v>96210</v>
      </c>
      <c r="K448" s="153">
        <v>5956883</v>
      </c>
      <c r="L448" s="153">
        <v>4967776</v>
      </c>
      <c r="M448" s="153">
        <v>1598316</v>
      </c>
      <c r="N448" s="153">
        <v>4427647</v>
      </c>
      <c r="O448" s="154">
        <v>1089318</v>
      </c>
      <c r="P448" s="165">
        <f t="shared" si="76"/>
        <v>34674316</v>
      </c>
      <c r="Q448" s="166">
        <f t="shared" si="77"/>
        <v>29489205</v>
      </c>
      <c r="R448" s="168">
        <f t="shared" si="75"/>
        <v>64163521</v>
      </c>
      <c r="S448" s="155">
        <f t="shared" si="78"/>
        <v>645896676.32299995</v>
      </c>
      <c r="T448" s="1804"/>
      <c r="U448" s="1804"/>
      <c r="V448" s="1804"/>
      <c r="W448" s="1804"/>
      <c r="X448" s="1804"/>
      <c r="Y448" s="1804"/>
      <c r="Z448" s="1804"/>
      <c r="AA448" s="1804"/>
      <c r="AB448" s="1804"/>
      <c r="AC448" s="1804"/>
      <c r="AD448" s="1804"/>
      <c r="AE448" s="1804"/>
      <c r="AF448" s="1804"/>
      <c r="AG448" s="1804"/>
      <c r="AH448" s="1804"/>
      <c r="AI448" s="1804"/>
      <c r="AJ448" s="1804"/>
      <c r="AK448" s="1804"/>
      <c r="AL448" s="1804"/>
      <c r="AM448" s="1804"/>
      <c r="AN448" s="1804"/>
      <c r="AO448" s="1804"/>
      <c r="AP448" s="1804"/>
      <c r="AQ448" s="1804"/>
      <c r="AR448" s="1804"/>
      <c r="AS448" s="1804"/>
      <c r="AT448" s="1804"/>
      <c r="AU448" s="1804"/>
      <c r="AV448" s="1804"/>
      <c r="AW448" s="1804"/>
      <c r="AX448" s="1804"/>
      <c r="AY448" s="1804"/>
      <c r="AZ448" s="1804"/>
      <c r="BA448" s="1804"/>
      <c r="BB448" s="1804"/>
      <c r="BC448" s="1804"/>
      <c r="BD448" s="1804"/>
      <c r="BE448" s="1804"/>
      <c r="BF448" s="1804"/>
      <c r="BG448" s="1804"/>
      <c r="BH448" s="1804"/>
      <c r="BI448" s="1804"/>
      <c r="BJ448" s="1804"/>
      <c r="BK448" s="1804"/>
      <c r="BL448" s="1804"/>
      <c r="BM448" s="1804"/>
      <c r="BN448" s="1804"/>
      <c r="BO448" s="1804"/>
      <c r="BP448" s="1804"/>
      <c r="BQ448" s="1804"/>
      <c r="BR448" s="1804"/>
      <c r="BS448" s="1804"/>
      <c r="BT448" s="1804"/>
      <c r="BU448" s="1804"/>
      <c r="BV448" s="1804"/>
      <c r="BW448" s="1804"/>
      <c r="BX448" s="1804"/>
      <c r="BY448" s="1804"/>
      <c r="BZ448" s="1804"/>
      <c r="CA448" s="1804"/>
      <c r="CB448" s="1804"/>
      <c r="CC448" s="1804"/>
      <c r="CD448" s="1804"/>
      <c r="CE448" s="1804"/>
      <c r="CF448" s="1804"/>
      <c r="CG448" s="1804"/>
      <c r="CH448" s="1804"/>
      <c r="CI448" s="1804"/>
      <c r="CJ448" s="1804"/>
      <c r="CK448" s="1804"/>
      <c r="CL448" s="1804"/>
      <c r="CM448" s="1804"/>
      <c r="CN448" s="1804"/>
      <c r="CO448" s="1804"/>
      <c r="CP448" s="1804"/>
      <c r="CQ448" s="1804"/>
      <c r="CR448" s="1804"/>
      <c r="CS448" s="1804"/>
      <c r="CT448" s="1804"/>
      <c r="CU448" s="1804"/>
      <c r="CV448" s="1804"/>
      <c r="CW448" s="1804"/>
      <c r="CX448" s="1804"/>
      <c r="CY448" s="1804"/>
      <c r="CZ448" s="1804"/>
      <c r="DA448" s="1804"/>
      <c r="DB448" s="1804"/>
      <c r="DC448" s="1804"/>
      <c r="DD448" s="1804"/>
      <c r="DE448" s="1804"/>
      <c r="DF448" s="1804"/>
      <c r="DG448" s="1804"/>
      <c r="DH448" s="1804"/>
      <c r="DI448" s="1804"/>
      <c r="DJ448" s="1804"/>
      <c r="DK448" s="1804"/>
      <c r="DL448" s="1804"/>
      <c r="DM448" s="1804"/>
      <c r="DN448" s="1804"/>
      <c r="DO448" s="1804"/>
      <c r="DP448" s="1804"/>
      <c r="DQ448" s="1804"/>
      <c r="DR448" s="1804"/>
      <c r="DS448" s="1804"/>
      <c r="DT448" s="1804"/>
      <c r="DU448" s="1804"/>
      <c r="DV448" s="1804"/>
      <c r="DW448" s="1804"/>
      <c r="DX448" s="1804"/>
      <c r="DY448" s="1804"/>
      <c r="DZ448" s="1804"/>
      <c r="EA448" s="1804"/>
      <c r="EB448" s="1804"/>
      <c r="EC448" s="1804"/>
      <c r="ED448" s="1804"/>
      <c r="EE448" s="1804"/>
      <c r="EF448" s="1804"/>
      <c r="EG448" s="1804"/>
      <c r="EH448" s="1804"/>
      <c r="EI448" s="1804"/>
      <c r="EJ448" s="1804"/>
      <c r="EK448" s="1804"/>
      <c r="EL448" s="1804"/>
      <c r="EM448" s="1804"/>
      <c r="EN448" s="1804"/>
      <c r="EO448" s="1804"/>
      <c r="EP448" s="1804"/>
      <c r="EQ448" s="1804"/>
      <c r="ER448" s="1804"/>
      <c r="ES448" s="1804"/>
      <c r="ET448" s="1804"/>
      <c r="EU448" s="1804"/>
      <c r="EV448" s="1804"/>
      <c r="EW448" s="1804"/>
      <c r="EX448" s="1804"/>
      <c r="EY448" s="1804"/>
      <c r="EZ448" s="1804"/>
      <c r="FA448" s="1804"/>
      <c r="FB448" s="1804"/>
      <c r="FC448" s="1804"/>
      <c r="FD448" s="1804"/>
      <c r="FE448" s="1804"/>
      <c r="FF448" s="1804"/>
      <c r="FG448" s="1804"/>
      <c r="FH448" s="1804"/>
      <c r="FI448" s="1804"/>
      <c r="FJ448" s="1804"/>
      <c r="FK448" s="1804"/>
      <c r="FL448" s="1804"/>
      <c r="FM448" s="1804"/>
      <c r="FN448" s="1804"/>
      <c r="FO448" s="1804"/>
      <c r="FP448" s="1804"/>
      <c r="FQ448" s="1804"/>
      <c r="FR448" s="1804"/>
      <c r="FS448" s="1804"/>
      <c r="FT448" s="1804"/>
      <c r="FU448" s="1804"/>
      <c r="FV448" s="1804"/>
      <c r="FW448" s="1804"/>
      <c r="FX448" s="1804"/>
      <c r="FY448" s="1804"/>
      <c r="FZ448" s="1804"/>
      <c r="GA448" s="1804"/>
      <c r="GB448" s="1804"/>
      <c r="GC448" s="1804"/>
      <c r="GD448" s="1804"/>
      <c r="GE448" s="1804"/>
      <c r="GF448" s="1804"/>
      <c r="GG448" s="1804"/>
      <c r="GH448" s="1804"/>
      <c r="GI448" s="1804"/>
      <c r="GJ448" s="1804"/>
      <c r="GK448" s="1804"/>
      <c r="GL448" s="1804"/>
      <c r="GM448" s="1804"/>
      <c r="GN448" s="1804"/>
      <c r="GO448" s="1804"/>
      <c r="GP448" s="1804"/>
      <c r="GQ448" s="1804"/>
      <c r="GR448" s="1804"/>
      <c r="GS448" s="1804"/>
      <c r="GT448" s="1804"/>
      <c r="GU448" s="1804"/>
      <c r="GV448" s="1804"/>
      <c r="GW448" s="1804"/>
      <c r="GX448" s="1804"/>
      <c r="GY448" s="1804"/>
      <c r="GZ448" s="1804"/>
      <c r="HA448" s="1804"/>
      <c r="HB448" s="1804"/>
      <c r="HC448" s="1804"/>
      <c r="HD448" s="1804"/>
      <c r="HE448" s="1804"/>
      <c r="HF448" s="1804"/>
      <c r="HG448" s="1804"/>
      <c r="HH448" s="1804"/>
      <c r="HI448" s="1804"/>
      <c r="HJ448" s="1804"/>
      <c r="HK448" s="1804"/>
      <c r="HL448" s="1804"/>
      <c r="HM448" s="1804"/>
      <c r="HN448" s="1804"/>
      <c r="HO448" s="1804"/>
      <c r="HP448" s="1804"/>
      <c r="HQ448" s="1804"/>
      <c r="HR448" s="1804"/>
      <c r="HS448" s="1804"/>
      <c r="HT448" s="1804"/>
      <c r="HU448" s="1804"/>
      <c r="HV448" s="1804"/>
      <c r="HW448" s="1804"/>
      <c r="HX448" s="1804"/>
      <c r="HY448" s="1804"/>
      <c r="HZ448" s="1804"/>
      <c r="IA448" s="1804"/>
      <c r="IB448" s="1804"/>
      <c r="IC448" s="1804"/>
      <c r="ID448" s="1804"/>
      <c r="IE448" s="1804"/>
      <c r="IF448" s="1804"/>
      <c r="IG448" s="1804"/>
      <c r="IH448" s="1804"/>
      <c r="II448" s="1804"/>
      <c r="IJ448" s="1804"/>
      <c r="IK448" s="1804"/>
      <c r="IL448" s="1804"/>
      <c r="IM448" s="1804"/>
      <c r="IN448" s="1804"/>
      <c r="IO448" s="1804"/>
      <c r="IP448" s="1804"/>
      <c r="IQ448" s="1804"/>
      <c r="IR448" s="1804"/>
      <c r="IS448" s="1804"/>
      <c r="IT448" s="1804"/>
      <c r="IU448" s="1804"/>
      <c r="IV448" s="1804"/>
      <c r="IW448" s="1804"/>
    </row>
    <row r="449" spans="3:257" s="888" customFormat="1" x14ac:dyDescent="0.45">
      <c r="C449" s="67" t="s">
        <v>546</v>
      </c>
      <c r="D449" s="68" t="s">
        <v>648</v>
      </c>
      <c r="E449" s="69"/>
      <c r="F449" s="153">
        <v>1136964</v>
      </c>
      <c r="G449" s="153">
        <v>5143544</v>
      </c>
      <c r="H449" s="153">
        <v>18580234</v>
      </c>
      <c r="I449" s="153">
        <v>10205932</v>
      </c>
      <c r="J449" s="153">
        <v>102755</v>
      </c>
      <c r="K449" s="153">
        <v>6286595</v>
      </c>
      <c r="L449" s="153">
        <v>8588179</v>
      </c>
      <c r="M449" s="153">
        <v>1671864</v>
      </c>
      <c r="N449" s="153">
        <v>5379811</v>
      </c>
      <c r="O449" s="154">
        <v>1307440</v>
      </c>
      <c r="P449" s="165">
        <f t="shared" si="76"/>
        <v>38583365</v>
      </c>
      <c r="Q449" s="166">
        <f t="shared" si="77"/>
        <v>19819953</v>
      </c>
      <c r="R449" s="168">
        <f t="shared" si="75"/>
        <v>58403318</v>
      </c>
      <c r="S449" s="155">
        <f t="shared" si="78"/>
        <v>595804687.222</v>
      </c>
      <c r="T449" s="1804"/>
      <c r="U449" s="1804"/>
      <c r="V449" s="1804"/>
      <c r="W449" s="1804"/>
      <c r="X449" s="1804"/>
      <c r="Y449" s="1804"/>
      <c r="Z449" s="1804"/>
      <c r="AA449" s="1804"/>
      <c r="AB449" s="1804"/>
      <c r="AC449" s="1804"/>
      <c r="AD449" s="1804"/>
      <c r="AE449" s="1804"/>
      <c r="AF449" s="1804"/>
      <c r="AG449" s="1804"/>
      <c r="AH449" s="1804"/>
      <c r="AI449" s="1804"/>
      <c r="AJ449" s="1804"/>
      <c r="AK449" s="1804"/>
      <c r="AL449" s="1804"/>
      <c r="AM449" s="1804"/>
      <c r="AN449" s="1804"/>
      <c r="AO449" s="1804"/>
      <c r="AP449" s="1804"/>
      <c r="AQ449" s="1804"/>
      <c r="AR449" s="1804"/>
      <c r="AS449" s="1804"/>
      <c r="AT449" s="1804"/>
      <c r="AU449" s="1804"/>
      <c r="AV449" s="1804"/>
      <c r="AW449" s="1804"/>
      <c r="AX449" s="1804"/>
      <c r="AY449" s="1804"/>
      <c r="AZ449" s="1804"/>
      <c r="BA449" s="1804"/>
      <c r="BB449" s="1804"/>
      <c r="BC449" s="1804"/>
      <c r="BD449" s="1804"/>
      <c r="BE449" s="1804"/>
      <c r="BF449" s="1804"/>
      <c r="BG449" s="1804"/>
      <c r="BH449" s="1804"/>
      <c r="BI449" s="1804"/>
      <c r="BJ449" s="1804"/>
      <c r="BK449" s="1804"/>
      <c r="BL449" s="1804"/>
      <c r="BM449" s="1804"/>
      <c r="BN449" s="1804"/>
      <c r="BO449" s="1804"/>
      <c r="BP449" s="1804"/>
      <c r="BQ449" s="1804"/>
      <c r="BR449" s="1804"/>
      <c r="BS449" s="1804"/>
      <c r="BT449" s="1804"/>
      <c r="BU449" s="1804"/>
      <c r="BV449" s="1804"/>
      <c r="BW449" s="1804"/>
      <c r="BX449" s="1804"/>
      <c r="BY449" s="1804"/>
      <c r="BZ449" s="1804"/>
      <c r="CA449" s="1804"/>
      <c r="CB449" s="1804"/>
      <c r="CC449" s="1804"/>
      <c r="CD449" s="1804"/>
      <c r="CE449" s="1804"/>
      <c r="CF449" s="1804"/>
      <c r="CG449" s="1804"/>
      <c r="CH449" s="1804"/>
      <c r="CI449" s="1804"/>
      <c r="CJ449" s="1804"/>
      <c r="CK449" s="1804"/>
      <c r="CL449" s="1804"/>
      <c r="CM449" s="1804"/>
      <c r="CN449" s="1804"/>
      <c r="CO449" s="1804"/>
      <c r="CP449" s="1804"/>
      <c r="CQ449" s="1804"/>
      <c r="CR449" s="1804"/>
      <c r="CS449" s="1804"/>
      <c r="CT449" s="1804"/>
      <c r="CU449" s="1804"/>
      <c r="CV449" s="1804"/>
      <c r="CW449" s="1804"/>
      <c r="CX449" s="1804"/>
      <c r="CY449" s="1804"/>
      <c r="CZ449" s="1804"/>
      <c r="DA449" s="1804"/>
      <c r="DB449" s="1804"/>
      <c r="DC449" s="1804"/>
      <c r="DD449" s="1804"/>
      <c r="DE449" s="1804"/>
      <c r="DF449" s="1804"/>
      <c r="DG449" s="1804"/>
      <c r="DH449" s="1804"/>
      <c r="DI449" s="1804"/>
      <c r="DJ449" s="1804"/>
      <c r="DK449" s="1804"/>
      <c r="DL449" s="1804"/>
      <c r="DM449" s="1804"/>
      <c r="DN449" s="1804"/>
      <c r="DO449" s="1804"/>
      <c r="DP449" s="1804"/>
      <c r="DQ449" s="1804"/>
      <c r="DR449" s="1804"/>
      <c r="DS449" s="1804"/>
      <c r="DT449" s="1804"/>
      <c r="DU449" s="1804"/>
      <c r="DV449" s="1804"/>
      <c r="DW449" s="1804"/>
      <c r="DX449" s="1804"/>
      <c r="DY449" s="1804"/>
      <c r="DZ449" s="1804"/>
      <c r="EA449" s="1804"/>
      <c r="EB449" s="1804"/>
      <c r="EC449" s="1804"/>
      <c r="ED449" s="1804"/>
      <c r="EE449" s="1804"/>
      <c r="EF449" s="1804"/>
      <c r="EG449" s="1804"/>
      <c r="EH449" s="1804"/>
      <c r="EI449" s="1804"/>
      <c r="EJ449" s="1804"/>
      <c r="EK449" s="1804"/>
      <c r="EL449" s="1804"/>
      <c r="EM449" s="1804"/>
      <c r="EN449" s="1804"/>
      <c r="EO449" s="1804"/>
      <c r="EP449" s="1804"/>
      <c r="EQ449" s="1804"/>
      <c r="ER449" s="1804"/>
      <c r="ES449" s="1804"/>
      <c r="ET449" s="1804"/>
      <c r="EU449" s="1804"/>
      <c r="EV449" s="1804"/>
      <c r="EW449" s="1804"/>
      <c r="EX449" s="1804"/>
      <c r="EY449" s="1804"/>
      <c r="EZ449" s="1804"/>
      <c r="FA449" s="1804"/>
      <c r="FB449" s="1804"/>
      <c r="FC449" s="1804"/>
      <c r="FD449" s="1804"/>
      <c r="FE449" s="1804"/>
      <c r="FF449" s="1804"/>
      <c r="FG449" s="1804"/>
      <c r="FH449" s="1804"/>
      <c r="FI449" s="1804"/>
      <c r="FJ449" s="1804"/>
      <c r="FK449" s="1804"/>
      <c r="FL449" s="1804"/>
      <c r="FM449" s="1804"/>
      <c r="FN449" s="1804"/>
      <c r="FO449" s="1804"/>
      <c r="FP449" s="1804"/>
      <c r="FQ449" s="1804"/>
      <c r="FR449" s="1804"/>
      <c r="FS449" s="1804"/>
      <c r="FT449" s="1804"/>
      <c r="FU449" s="1804"/>
      <c r="FV449" s="1804"/>
      <c r="FW449" s="1804"/>
      <c r="FX449" s="1804"/>
      <c r="FY449" s="1804"/>
      <c r="FZ449" s="1804"/>
      <c r="GA449" s="1804"/>
      <c r="GB449" s="1804"/>
      <c r="GC449" s="1804"/>
      <c r="GD449" s="1804"/>
      <c r="GE449" s="1804"/>
      <c r="GF449" s="1804"/>
      <c r="GG449" s="1804"/>
      <c r="GH449" s="1804"/>
      <c r="GI449" s="1804"/>
      <c r="GJ449" s="1804"/>
      <c r="GK449" s="1804"/>
      <c r="GL449" s="1804"/>
      <c r="GM449" s="1804"/>
      <c r="GN449" s="1804"/>
      <c r="GO449" s="1804"/>
      <c r="GP449" s="1804"/>
      <c r="GQ449" s="1804"/>
      <c r="GR449" s="1804"/>
      <c r="GS449" s="1804"/>
      <c r="GT449" s="1804"/>
      <c r="GU449" s="1804"/>
      <c r="GV449" s="1804"/>
      <c r="GW449" s="1804"/>
      <c r="GX449" s="1804"/>
      <c r="GY449" s="1804"/>
      <c r="GZ449" s="1804"/>
      <c r="HA449" s="1804"/>
      <c r="HB449" s="1804"/>
      <c r="HC449" s="1804"/>
      <c r="HD449" s="1804"/>
      <c r="HE449" s="1804"/>
      <c r="HF449" s="1804"/>
      <c r="HG449" s="1804"/>
      <c r="HH449" s="1804"/>
      <c r="HI449" s="1804"/>
      <c r="HJ449" s="1804"/>
      <c r="HK449" s="1804"/>
      <c r="HL449" s="1804"/>
      <c r="HM449" s="1804"/>
      <c r="HN449" s="1804"/>
      <c r="HO449" s="1804"/>
      <c r="HP449" s="1804"/>
      <c r="HQ449" s="1804"/>
      <c r="HR449" s="1804"/>
      <c r="HS449" s="1804"/>
      <c r="HT449" s="1804"/>
      <c r="HU449" s="1804"/>
      <c r="HV449" s="1804"/>
      <c r="HW449" s="1804"/>
      <c r="HX449" s="1804"/>
      <c r="HY449" s="1804"/>
      <c r="HZ449" s="1804"/>
      <c r="IA449" s="1804"/>
      <c r="IB449" s="1804"/>
      <c r="IC449" s="1804"/>
      <c r="ID449" s="1804"/>
      <c r="IE449" s="1804"/>
      <c r="IF449" s="1804"/>
      <c r="IG449" s="1804"/>
      <c r="IH449" s="1804"/>
      <c r="II449" s="1804"/>
      <c r="IJ449" s="1804"/>
      <c r="IK449" s="1804"/>
      <c r="IL449" s="1804"/>
      <c r="IM449" s="1804"/>
      <c r="IN449" s="1804"/>
      <c r="IO449" s="1804"/>
      <c r="IP449" s="1804"/>
      <c r="IQ449" s="1804"/>
      <c r="IR449" s="1804"/>
      <c r="IS449" s="1804"/>
      <c r="IT449" s="1804"/>
      <c r="IU449" s="1804"/>
      <c r="IV449" s="1804"/>
      <c r="IW449" s="1804"/>
    </row>
    <row r="450" spans="3:257" s="888" customFormat="1" x14ac:dyDescent="0.45">
      <c r="C450" s="67" t="s">
        <v>547</v>
      </c>
      <c r="D450" s="68" t="s">
        <v>649</v>
      </c>
      <c r="E450" s="69"/>
      <c r="F450" s="153">
        <v>610197</v>
      </c>
      <c r="G450" s="153">
        <v>3648316</v>
      </c>
      <c r="H450" s="153">
        <v>3203722</v>
      </c>
      <c r="I450" s="153">
        <v>2102315</v>
      </c>
      <c r="J450" s="153">
        <v>39466</v>
      </c>
      <c r="K450" s="153">
        <v>2422301</v>
      </c>
      <c r="L450" s="153">
        <v>4015700</v>
      </c>
      <c r="M450" s="153">
        <v>1299746</v>
      </c>
      <c r="N450" s="153">
        <v>2203113</v>
      </c>
      <c r="O450" s="154">
        <v>360324</v>
      </c>
      <c r="P450" s="165">
        <f t="shared" si="76"/>
        <v>16051815</v>
      </c>
      <c r="Q450" s="166">
        <f t="shared" si="77"/>
        <v>3853385</v>
      </c>
      <c r="R450" s="168">
        <f t="shared" si="75"/>
        <v>19905200</v>
      </c>
      <c r="S450" s="155">
        <f t="shared" si="78"/>
        <v>206325526.86000001</v>
      </c>
      <c r="T450" s="1804"/>
      <c r="U450" s="1804"/>
      <c r="V450" s="1804"/>
      <c r="W450" s="1804"/>
      <c r="X450" s="1804"/>
      <c r="Y450" s="1804"/>
      <c r="Z450" s="1804"/>
      <c r="AA450" s="1804"/>
      <c r="AB450" s="1804"/>
      <c r="AC450" s="1804"/>
      <c r="AD450" s="1804"/>
      <c r="AE450" s="1804"/>
      <c r="AF450" s="1804"/>
      <c r="AG450" s="1804"/>
      <c r="AH450" s="1804"/>
      <c r="AI450" s="1804"/>
      <c r="AJ450" s="1804"/>
      <c r="AK450" s="1804"/>
      <c r="AL450" s="1804"/>
      <c r="AM450" s="1804"/>
      <c r="AN450" s="1804"/>
      <c r="AO450" s="1804"/>
      <c r="AP450" s="1804"/>
      <c r="AQ450" s="1804"/>
      <c r="AR450" s="1804"/>
      <c r="AS450" s="1804"/>
      <c r="AT450" s="1804"/>
      <c r="AU450" s="1804"/>
      <c r="AV450" s="1804"/>
      <c r="AW450" s="1804"/>
      <c r="AX450" s="1804"/>
      <c r="AY450" s="1804"/>
      <c r="AZ450" s="1804"/>
      <c r="BA450" s="1804"/>
      <c r="BB450" s="1804"/>
      <c r="BC450" s="1804"/>
      <c r="BD450" s="1804"/>
      <c r="BE450" s="1804"/>
      <c r="BF450" s="1804"/>
      <c r="BG450" s="1804"/>
      <c r="BH450" s="1804"/>
      <c r="BI450" s="1804"/>
      <c r="BJ450" s="1804"/>
      <c r="BK450" s="1804"/>
      <c r="BL450" s="1804"/>
      <c r="BM450" s="1804"/>
      <c r="BN450" s="1804"/>
      <c r="BO450" s="1804"/>
      <c r="BP450" s="1804"/>
      <c r="BQ450" s="1804"/>
      <c r="BR450" s="1804"/>
      <c r="BS450" s="1804"/>
      <c r="BT450" s="1804"/>
      <c r="BU450" s="1804"/>
      <c r="BV450" s="1804"/>
      <c r="BW450" s="1804"/>
      <c r="BX450" s="1804"/>
      <c r="BY450" s="1804"/>
      <c r="BZ450" s="1804"/>
      <c r="CA450" s="1804"/>
      <c r="CB450" s="1804"/>
      <c r="CC450" s="1804"/>
      <c r="CD450" s="1804"/>
      <c r="CE450" s="1804"/>
      <c r="CF450" s="1804"/>
      <c r="CG450" s="1804"/>
      <c r="CH450" s="1804"/>
      <c r="CI450" s="1804"/>
      <c r="CJ450" s="1804"/>
      <c r="CK450" s="1804"/>
      <c r="CL450" s="1804"/>
      <c r="CM450" s="1804"/>
      <c r="CN450" s="1804"/>
      <c r="CO450" s="1804"/>
      <c r="CP450" s="1804"/>
      <c r="CQ450" s="1804"/>
      <c r="CR450" s="1804"/>
      <c r="CS450" s="1804"/>
      <c r="CT450" s="1804"/>
      <c r="CU450" s="1804"/>
      <c r="CV450" s="1804"/>
      <c r="CW450" s="1804"/>
      <c r="CX450" s="1804"/>
      <c r="CY450" s="1804"/>
      <c r="CZ450" s="1804"/>
      <c r="DA450" s="1804"/>
      <c r="DB450" s="1804"/>
      <c r="DC450" s="1804"/>
      <c r="DD450" s="1804"/>
      <c r="DE450" s="1804"/>
      <c r="DF450" s="1804"/>
      <c r="DG450" s="1804"/>
      <c r="DH450" s="1804"/>
      <c r="DI450" s="1804"/>
      <c r="DJ450" s="1804"/>
      <c r="DK450" s="1804"/>
      <c r="DL450" s="1804"/>
      <c r="DM450" s="1804"/>
      <c r="DN450" s="1804"/>
      <c r="DO450" s="1804"/>
      <c r="DP450" s="1804"/>
      <c r="DQ450" s="1804"/>
      <c r="DR450" s="1804"/>
      <c r="DS450" s="1804"/>
      <c r="DT450" s="1804"/>
      <c r="DU450" s="1804"/>
      <c r="DV450" s="1804"/>
      <c r="DW450" s="1804"/>
      <c r="DX450" s="1804"/>
      <c r="DY450" s="1804"/>
      <c r="DZ450" s="1804"/>
      <c r="EA450" s="1804"/>
      <c r="EB450" s="1804"/>
      <c r="EC450" s="1804"/>
      <c r="ED450" s="1804"/>
      <c r="EE450" s="1804"/>
      <c r="EF450" s="1804"/>
      <c r="EG450" s="1804"/>
      <c r="EH450" s="1804"/>
      <c r="EI450" s="1804"/>
      <c r="EJ450" s="1804"/>
      <c r="EK450" s="1804"/>
      <c r="EL450" s="1804"/>
      <c r="EM450" s="1804"/>
      <c r="EN450" s="1804"/>
      <c r="EO450" s="1804"/>
      <c r="EP450" s="1804"/>
      <c r="EQ450" s="1804"/>
      <c r="ER450" s="1804"/>
      <c r="ES450" s="1804"/>
      <c r="ET450" s="1804"/>
      <c r="EU450" s="1804"/>
      <c r="EV450" s="1804"/>
      <c r="EW450" s="1804"/>
      <c r="EX450" s="1804"/>
      <c r="EY450" s="1804"/>
      <c r="EZ450" s="1804"/>
      <c r="FA450" s="1804"/>
      <c r="FB450" s="1804"/>
      <c r="FC450" s="1804"/>
      <c r="FD450" s="1804"/>
      <c r="FE450" s="1804"/>
      <c r="FF450" s="1804"/>
      <c r="FG450" s="1804"/>
      <c r="FH450" s="1804"/>
      <c r="FI450" s="1804"/>
      <c r="FJ450" s="1804"/>
      <c r="FK450" s="1804"/>
      <c r="FL450" s="1804"/>
      <c r="FM450" s="1804"/>
      <c r="FN450" s="1804"/>
      <c r="FO450" s="1804"/>
      <c r="FP450" s="1804"/>
      <c r="FQ450" s="1804"/>
      <c r="FR450" s="1804"/>
      <c r="FS450" s="1804"/>
      <c r="FT450" s="1804"/>
      <c r="FU450" s="1804"/>
      <c r="FV450" s="1804"/>
      <c r="FW450" s="1804"/>
      <c r="FX450" s="1804"/>
      <c r="FY450" s="1804"/>
      <c r="FZ450" s="1804"/>
      <c r="GA450" s="1804"/>
      <c r="GB450" s="1804"/>
      <c r="GC450" s="1804"/>
      <c r="GD450" s="1804"/>
      <c r="GE450" s="1804"/>
      <c r="GF450" s="1804"/>
      <c r="GG450" s="1804"/>
      <c r="GH450" s="1804"/>
      <c r="GI450" s="1804"/>
      <c r="GJ450" s="1804"/>
      <c r="GK450" s="1804"/>
      <c r="GL450" s="1804"/>
      <c r="GM450" s="1804"/>
      <c r="GN450" s="1804"/>
      <c r="GO450" s="1804"/>
      <c r="GP450" s="1804"/>
      <c r="GQ450" s="1804"/>
      <c r="GR450" s="1804"/>
      <c r="GS450" s="1804"/>
      <c r="GT450" s="1804"/>
      <c r="GU450" s="1804"/>
      <c r="GV450" s="1804"/>
      <c r="GW450" s="1804"/>
      <c r="GX450" s="1804"/>
      <c r="GY450" s="1804"/>
      <c r="GZ450" s="1804"/>
      <c r="HA450" s="1804"/>
      <c r="HB450" s="1804"/>
      <c r="HC450" s="1804"/>
      <c r="HD450" s="1804"/>
      <c r="HE450" s="1804"/>
      <c r="HF450" s="1804"/>
      <c r="HG450" s="1804"/>
      <c r="HH450" s="1804"/>
      <c r="HI450" s="1804"/>
      <c r="HJ450" s="1804"/>
      <c r="HK450" s="1804"/>
      <c r="HL450" s="1804"/>
      <c r="HM450" s="1804"/>
      <c r="HN450" s="1804"/>
      <c r="HO450" s="1804"/>
      <c r="HP450" s="1804"/>
      <c r="HQ450" s="1804"/>
      <c r="HR450" s="1804"/>
      <c r="HS450" s="1804"/>
      <c r="HT450" s="1804"/>
      <c r="HU450" s="1804"/>
      <c r="HV450" s="1804"/>
      <c r="HW450" s="1804"/>
      <c r="HX450" s="1804"/>
      <c r="HY450" s="1804"/>
      <c r="HZ450" s="1804"/>
      <c r="IA450" s="1804"/>
      <c r="IB450" s="1804"/>
      <c r="IC450" s="1804"/>
      <c r="ID450" s="1804"/>
      <c r="IE450" s="1804"/>
      <c r="IF450" s="1804"/>
      <c r="IG450" s="1804"/>
      <c r="IH450" s="1804"/>
      <c r="II450" s="1804"/>
      <c r="IJ450" s="1804"/>
      <c r="IK450" s="1804"/>
      <c r="IL450" s="1804"/>
      <c r="IM450" s="1804"/>
      <c r="IN450" s="1804"/>
      <c r="IO450" s="1804"/>
      <c r="IP450" s="1804"/>
      <c r="IQ450" s="1804"/>
      <c r="IR450" s="1804"/>
      <c r="IS450" s="1804"/>
      <c r="IT450" s="1804"/>
      <c r="IU450" s="1804"/>
      <c r="IV450" s="1804"/>
      <c r="IW450" s="1804"/>
    </row>
    <row r="451" spans="3:257" s="888" customFormat="1" x14ac:dyDescent="0.45">
      <c r="C451" s="67" t="s">
        <v>650</v>
      </c>
      <c r="D451" s="68" t="s">
        <v>651</v>
      </c>
      <c r="E451" s="69"/>
      <c r="F451" s="153">
        <v>1278396</v>
      </c>
      <c r="G451" s="153">
        <v>3705510</v>
      </c>
      <c r="H451" s="153">
        <v>18905895</v>
      </c>
      <c r="I451" s="153">
        <v>10463175</v>
      </c>
      <c r="J451" s="153">
        <v>116411</v>
      </c>
      <c r="K451" s="153">
        <v>7135950</v>
      </c>
      <c r="L451" s="153">
        <v>11106441</v>
      </c>
      <c r="M451" s="153">
        <v>1943582</v>
      </c>
      <c r="N451" s="153">
        <v>6138270</v>
      </c>
      <c r="O451" s="154">
        <v>1416247</v>
      </c>
      <c r="P451" s="165">
        <f t="shared" si="76"/>
        <v>41909175</v>
      </c>
      <c r="Q451" s="166">
        <f t="shared" si="77"/>
        <v>20300702</v>
      </c>
      <c r="R451" s="168">
        <f t="shared" si="75"/>
        <v>62209877</v>
      </c>
      <c r="S451" s="155">
        <f t="shared" si="78"/>
        <v>635549139.24300003</v>
      </c>
      <c r="T451" s="1804"/>
      <c r="U451" s="1804"/>
      <c r="V451" s="1804"/>
      <c r="W451" s="1804"/>
      <c r="X451" s="1804"/>
      <c r="Y451" s="1804"/>
      <c r="Z451" s="1804"/>
      <c r="AA451" s="1804"/>
      <c r="AB451" s="1804"/>
      <c r="AC451" s="1804"/>
      <c r="AD451" s="1804"/>
      <c r="AE451" s="1804"/>
      <c r="AF451" s="1804"/>
      <c r="AG451" s="1804"/>
      <c r="AH451" s="1804"/>
      <c r="AI451" s="1804"/>
      <c r="AJ451" s="1804"/>
      <c r="AK451" s="1804"/>
      <c r="AL451" s="1804"/>
      <c r="AM451" s="1804"/>
      <c r="AN451" s="1804"/>
      <c r="AO451" s="1804"/>
      <c r="AP451" s="1804"/>
      <c r="AQ451" s="1804"/>
      <c r="AR451" s="1804"/>
      <c r="AS451" s="1804"/>
      <c r="AT451" s="1804"/>
      <c r="AU451" s="1804"/>
      <c r="AV451" s="1804"/>
      <c r="AW451" s="1804"/>
      <c r="AX451" s="1804"/>
      <c r="AY451" s="1804"/>
      <c r="AZ451" s="1804"/>
      <c r="BA451" s="1804"/>
      <c r="BB451" s="1804"/>
      <c r="BC451" s="1804"/>
      <c r="BD451" s="1804"/>
      <c r="BE451" s="1804"/>
      <c r="BF451" s="1804"/>
      <c r="BG451" s="1804"/>
      <c r="BH451" s="1804"/>
      <c r="BI451" s="1804"/>
      <c r="BJ451" s="1804"/>
      <c r="BK451" s="1804"/>
      <c r="BL451" s="1804"/>
      <c r="BM451" s="1804"/>
      <c r="BN451" s="1804"/>
      <c r="BO451" s="1804"/>
      <c r="BP451" s="1804"/>
      <c r="BQ451" s="1804"/>
      <c r="BR451" s="1804"/>
      <c r="BS451" s="1804"/>
      <c r="BT451" s="1804"/>
      <c r="BU451" s="1804"/>
      <c r="BV451" s="1804"/>
      <c r="BW451" s="1804"/>
      <c r="BX451" s="1804"/>
      <c r="BY451" s="1804"/>
      <c r="BZ451" s="1804"/>
      <c r="CA451" s="1804"/>
      <c r="CB451" s="1804"/>
      <c r="CC451" s="1804"/>
      <c r="CD451" s="1804"/>
      <c r="CE451" s="1804"/>
      <c r="CF451" s="1804"/>
      <c r="CG451" s="1804"/>
      <c r="CH451" s="1804"/>
      <c r="CI451" s="1804"/>
      <c r="CJ451" s="1804"/>
      <c r="CK451" s="1804"/>
      <c r="CL451" s="1804"/>
      <c r="CM451" s="1804"/>
      <c r="CN451" s="1804"/>
      <c r="CO451" s="1804"/>
      <c r="CP451" s="1804"/>
      <c r="CQ451" s="1804"/>
      <c r="CR451" s="1804"/>
      <c r="CS451" s="1804"/>
      <c r="CT451" s="1804"/>
      <c r="CU451" s="1804"/>
      <c r="CV451" s="1804"/>
      <c r="CW451" s="1804"/>
      <c r="CX451" s="1804"/>
      <c r="CY451" s="1804"/>
      <c r="CZ451" s="1804"/>
      <c r="DA451" s="1804"/>
      <c r="DB451" s="1804"/>
      <c r="DC451" s="1804"/>
      <c r="DD451" s="1804"/>
      <c r="DE451" s="1804"/>
      <c r="DF451" s="1804"/>
      <c r="DG451" s="1804"/>
      <c r="DH451" s="1804"/>
      <c r="DI451" s="1804"/>
      <c r="DJ451" s="1804"/>
      <c r="DK451" s="1804"/>
      <c r="DL451" s="1804"/>
      <c r="DM451" s="1804"/>
      <c r="DN451" s="1804"/>
      <c r="DO451" s="1804"/>
      <c r="DP451" s="1804"/>
      <c r="DQ451" s="1804"/>
      <c r="DR451" s="1804"/>
      <c r="DS451" s="1804"/>
      <c r="DT451" s="1804"/>
      <c r="DU451" s="1804"/>
      <c r="DV451" s="1804"/>
      <c r="DW451" s="1804"/>
      <c r="DX451" s="1804"/>
      <c r="DY451" s="1804"/>
      <c r="DZ451" s="1804"/>
      <c r="EA451" s="1804"/>
      <c r="EB451" s="1804"/>
      <c r="EC451" s="1804"/>
      <c r="ED451" s="1804"/>
      <c r="EE451" s="1804"/>
      <c r="EF451" s="1804"/>
      <c r="EG451" s="1804"/>
      <c r="EH451" s="1804"/>
      <c r="EI451" s="1804"/>
      <c r="EJ451" s="1804"/>
      <c r="EK451" s="1804"/>
      <c r="EL451" s="1804"/>
      <c r="EM451" s="1804"/>
      <c r="EN451" s="1804"/>
      <c r="EO451" s="1804"/>
      <c r="EP451" s="1804"/>
      <c r="EQ451" s="1804"/>
      <c r="ER451" s="1804"/>
      <c r="ES451" s="1804"/>
      <c r="ET451" s="1804"/>
      <c r="EU451" s="1804"/>
      <c r="EV451" s="1804"/>
      <c r="EW451" s="1804"/>
      <c r="EX451" s="1804"/>
      <c r="EY451" s="1804"/>
      <c r="EZ451" s="1804"/>
      <c r="FA451" s="1804"/>
      <c r="FB451" s="1804"/>
      <c r="FC451" s="1804"/>
      <c r="FD451" s="1804"/>
      <c r="FE451" s="1804"/>
      <c r="FF451" s="1804"/>
      <c r="FG451" s="1804"/>
      <c r="FH451" s="1804"/>
      <c r="FI451" s="1804"/>
      <c r="FJ451" s="1804"/>
      <c r="FK451" s="1804"/>
      <c r="FL451" s="1804"/>
      <c r="FM451" s="1804"/>
      <c r="FN451" s="1804"/>
      <c r="FO451" s="1804"/>
      <c r="FP451" s="1804"/>
      <c r="FQ451" s="1804"/>
      <c r="FR451" s="1804"/>
      <c r="FS451" s="1804"/>
      <c r="FT451" s="1804"/>
      <c r="FU451" s="1804"/>
      <c r="FV451" s="1804"/>
      <c r="FW451" s="1804"/>
      <c r="FX451" s="1804"/>
      <c r="FY451" s="1804"/>
      <c r="FZ451" s="1804"/>
      <c r="GA451" s="1804"/>
      <c r="GB451" s="1804"/>
      <c r="GC451" s="1804"/>
      <c r="GD451" s="1804"/>
      <c r="GE451" s="1804"/>
      <c r="GF451" s="1804"/>
      <c r="GG451" s="1804"/>
      <c r="GH451" s="1804"/>
      <c r="GI451" s="1804"/>
      <c r="GJ451" s="1804"/>
      <c r="GK451" s="1804"/>
      <c r="GL451" s="1804"/>
      <c r="GM451" s="1804"/>
      <c r="GN451" s="1804"/>
      <c r="GO451" s="1804"/>
      <c r="GP451" s="1804"/>
      <c r="GQ451" s="1804"/>
      <c r="GR451" s="1804"/>
      <c r="GS451" s="1804"/>
      <c r="GT451" s="1804"/>
      <c r="GU451" s="1804"/>
      <c r="GV451" s="1804"/>
      <c r="GW451" s="1804"/>
      <c r="GX451" s="1804"/>
      <c r="GY451" s="1804"/>
      <c r="GZ451" s="1804"/>
      <c r="HA451" s="1804"/>
      <c r="HB451" s="1804"/>
      <c r="HC451" s="1804"/>
      <c r="HD451" s="1804"/>
      <c r="HE451" s="1804"/>
      <c r="HF451" s="1804"/>
      <c r="HG451" s="1804"/>
      <c r="HH451" s="1804"/>
      <c r="HI451" s="1804"/>
      <c r="HJ451" s="1804"/>
      <c r="HK451" s="1804"/>
      <c r="HL451" s="1804"/>
      <c r="HM451" s="1804"/>
      <c r="HN451" s="1804"/>
      <c r="HO451" s="1804"/>
      <c r="HP451" s="1804"/>
      <c r="HQ451" s="1804"/>
      <c r="HR451" s="1804"/>
      <c r="HS451" s="1804"/>
      <c r="HT451" s="1804"/>
      <c r="HU451" s="1804"/>
      <c r="HV451" s="1804"/>
      <c r="HW451" s="1804"/>
      <c r="HX451" s="1804"/>
      <c r="HY451" s="1804"/>
      <c r="HZ451" s="1804"/>
      <c r="IA451" s="1804"/>
      <c r="IB451" s="1804"/>
      <c r="IC451" s="1804"/>
      <c r="ID451" s="1804"/>
      <c r="IE451" s="1804"/>
      <c r="IF451" s="1804"/>
      <c r="IG451" s="1804"/>
      <c r="IH451" s="1804"/>
      <c r="II451" s="1804"/>
      <c r="IJ451" s="1804"/>
      <c r="IK451" s="1804"/>
      <c r="IL451" s="1804"/>
      <c r="IM451" s="1804"/>
      <c r="IN451" s="1804"/>
      <c r="IO451" s="1804"/>
      <c r="IP451" s="1804"/>
      <c r="IQ451" s="1804"/>
      <c r="IR451" s="1804"/>
      <c r="IS451" s="1804"/>
      <c r="IT451" s="1804"/>
      <c r="IU451" s="1804"/>
      <c r="IV451" s="1804"/>
      <c r="IW451" s="1804"/>
    </row>
    <row r="452" spans="3:257" s="888" customFormat="1" x14ac:dyDescent="0.45">
      <c r="C452" s="67" t="s">
        <v>549</v>
      </c>
      <c r="D452" s="68" t="s">
        <v>652</v>
      </c>
      <c r="E452" s="69"/>
      <c r="F452" s="153">
        <v>700686</v>
      </c>
      <c r="G452" s="153">
        <v>928243</v>
      </c>
      <c r="H452" s="153">
        <v>38839597</v>
      </c>
      <c r="I452" s="153">
        <v>21453460</v>
      </c>
      <c r="J452" s="153">
        <v>148447</v>
      </c>
      <c r="K452" s="153">
        <v>9214055</v>
      </c>
      <c r="L452" s="153">
        <v>8176225</v>
      </c>
      <c r="M452" s="153">
        <v>2221938</v>
      </c>
      <c r="N452" s="153">
        <v>7308956</v>
      </c>
      <c r="O452" s="154">
        <v>2351859</v>
      </c>
      <c r="P452" s="165">
        <f t="shared" si="76"/>
        <v>51654736</v>
      </c>
      <c r="Q452" s="166">
        <f t="shared" si="77"/>
        <v>39688730</v>
      </c>
      <c r="R452" s="168">
        <f t="shared" si="75"/>
        <v>91343466</v>
      </c>
      <c r="S452" s="155">
        <f t="shared" si="78"/>
        <v>922077768.15799999</v>
      </c>
      <c r="T452" s="1804"/>
      <c r="U452" s="1804"/>
      <c r="V452" s="1804"/>
      <c r="W452" s="1804"/>
      <c r="X452" s="1804"/>
      <c r="Y452" s="1804"/>
      <c r="Z452" s="1804"/>
      <c r="AA452" s="1804"/>
      <c r="AB452" s="1804"/>
      <c r="AC452" s="1804"/>
      <c r="AD452" s="1804"/>
      <c r="AE452" s="1804"/>
      <c r="AF452" s="1804"/>
      <c r="AG452" s="1804"/>
      <c r="AH452" s="1804"/>
      <c r="AI452" s="1804"/>
      <c r="AJ452" s="1804"/>
      <c r="AK452" s="1804"/>
      <c r="AL452" s="1804"/>
      <c r="AM452" s="1804"/>
      <c r="AN452" s="1804"/>
      <c r="AO452" s="1804"/>
      <c r="AP452" s="1804"/>
      <c r="AQ452" s="1804"/>
      <c r="AR452" s="1804"/>
      <c r="AS452" s="1804"/>
      <c r="AT452" s="1804"/>
      <c r="AU452" s="1804"/>
      <c r="AV452" s="1804"/>
      <c r="AW452" s="1804"/>
      <c r="AX452" s="1804"/>
      <c r="AY452" s="1804"/>
      <c r="AZ452" s="1804"/>
      <c r="BA452" s="1804"/>
      <c r="BB452" s="1804"/>
      <c r="BC452" s="1804"/>
      <c r="BD452" s="1804"/>
      <c r="BE452" s="1804"/>
      <c r="BF452" s="1804"/>
      <c r="BG452" s="1804"/>
      <c r="BH452" s="1804"/>
      <c r="BI452" s="1804"/>
      <c r="BJ452" s="1804"/>
      <c r="BK452" s="1804"/>
      <c r="BL452" s="1804"/>
      <c r="BM452" s="1804"/>
      <c r="BN452" s="1804"/>
      <c r="BO452" s="1804"/>
      <c r="BP452" s="1804"/>
      <c r="BQ452" s="1804"/>
      <c r="BR452" s="1804"/>
      <c r="BS452" s="1804"/>
      <c r="BT452" s="1804"/>
      <c r="BU452" s="1804"/>
      <c r="BV452" s="1804"/>
      <c r="BW452" s="1804"/>
      <c r="BX452" s="1804"/>
      <c r="BY452" s="1804"/>
      <c r="BZ452" s="1804"/>
      <c r="CA452" s="1804"/>
      <c r="CB452" s="1804"/>
      <c r="CC452" s="1804"/>
      <c r="CD452" s="1804"/>
      <c r="CE452" s="1804"/>
      <c r="CF452" s="1804"/>
      <c r="CG452" s="1804"/>
      <c r="CH452" s="1804"/>
      <c r="CI452" s="1804"/>
      <c r="CJ452" s="1804"/>
      <c r="CK452" s="1804"/>
      <c r="CL452" s="1804"/>
      <c r="CM452" s="1804"/>
      <c r="CN452" s="1804"/>
      <c r="CO452" s="1804"/>
      <c r="CP452" s="1804"/>
      <c r="CQ452" s="1804"/>
      <c r="CR452" s="1804"/>
      <c r="CS452" s="1804"/>
      <c r="CT452" s="1804"/>
      <c r="CU452" s="1804"/>
      <c r="CV452" s="1804"/>
      <c r="CW452" s="1804"/>
      <c r="CX452" s="1804"/>
      <c r="CY452" s="1804"/>
      <c r="CZ452" s="1804"/>
      <c r="DA452" s="1804"/>
      <c r="DB452" s="1804"/>
      <c r="DC452" s="1804"/>
      <c r="DD452" s="1804"/>
      <c r="DE452" s="1804"/>
      <c r="DF452" s="1804"/>
      <c r="DG452" s="1804"/>
      <c r="DH452" s="1804"/>
      <c r="DI452" s="1804"/>
      <c r="DJ452" s="1804"/>
      <c r="DK452" s="1804"/>
      <c r="DL452" s="1804"/>
      <c r="DM452" s="1804"/>
      <c r="DN452" s="1804"/>
      <c r="DO452" s="1804"/>
      <c r="DP452" s="1804"/>
      <c r="DQ452" s="1804"/>
      <c r="DR452" s="1804"/>
      <c r="DS452" s="1804"/>
      <c r="DT452" s="1804"/>
      <c r="DU452" s="1804"/>
      <c r="DV452" s="1804"/>
      <c r="DW452" s="1804"/>
      <c r="DX452" s="1804"/>
      <c r="DY452" s="1804"/>
      <c r="DZ452" s="1804"/>
      <c r="EA452" s="1804"/>
      <c r="EB452" s="1804"/>
      <c r="EC452" s="1804"/>
      <c r="ED452" s="1804"/>
      <c r="EE452" s="1804"/>
      <c r="EF452" s="1804"/>
      <c r="EG452" s="1804"/>
      <c r="EH452" s="1804"/>
      <c r="EI452" s="1804"/>
      <c r="EJ452" s="1804"/>
      <c r="EK452" s="1804"/>
      <c r="EL452" s="1804"/>
      <c r="EM452" s="1804"/>
      <c r="EN452" s="1804"/>
      <c r="EO452" s="1804"/>
      <c r="EP452" s="1804"/>
      <c r="EQ452" s="1804"/>
      <c r="ER452" s="1804"/>
      <c r="ES452" s="1804"/>
      <c r="ET452" s="1804"/>
      <c r="EU452" s="1804"/>
      <c r="EV452" s="1804"/>
      <c r="EW452" s="1804"/>
      <c r="EX452" s="1804"/>
      <c r="EY452" s="1804"/>
      <c r="EZ452" s="1804"/>
      <c r="FA452" s="1804"/>
      <c r="FB452" s="1804"/>
      <c r="FC452" s="1804"/>
      <c r="FD452" s="1804"/>
      <c r="FE452" s="1804"/>
      <c r="FF452" s="1804"/>
      <c r="FG452" s="1804"/>
      <c r="FH452" s="1804"/>
      <c r="FI452" s="1804"/>
      <c r="FJ452" s="1804"/>
      <c r="FK452" s="1804"/>
      <c r="FL452" s="1804"/>
      <c r="FM452" s="1804"/>
      <c r="FN452" s="1804"/>
      <c r="FO452" s="1804"/>
      <c r="FP452" s="1804"/>
      <c r="FQ452" s="1804"/>
      <c r="FR452" s="1804"/>
      <c r="FS452" s="1804"/>
      <c r="FT452" s="1804"/>
      <c r="FU452" s="1804"/>
      <c r="FV452" s="1804"/>
      <c r="FW452" s="1804"/>
      <c r="FX452" s="1804"/>
      <c r="FY452" s="1804"/>
      <c r="FZ452" s="1804"/>
      <c r="GA452" s="1804"/>
      <c r="GB452" s="1804"/>
      <c r="GC452" s="1804"/>
      <c r="GD452" s="1804"/>
      <c r="GE452" s="1804"/>
      <c r="GF452" s="1804"/>
      <c r="GG452" s="1804"/>
      <c r="GH452" s="1804"/>
      <c r="GI452" s="1804"/>
      <c r="GJ452" s="1804"/>
      <c r="GK452" s="1804"/>
      <c r="GL452" s="1804"/>
      <c r="GM452" s="1804"/>
      <c r="GN452" s="1804"/>
      <c r="GO452" s="1804"/>
      <c r="GP452" s="1804"/>
      <c r="GQ452" s="1804"/>
      <c r="GR452" s="1804"/>
      <c r="GS452" s="1804"/>
      <c r="GT452" s="1804"/>
      <c r="GU452" s="1804"/>
      <c r="GV452" s="1804"/>
      <c r="GW452" s="1804"/>
      <c r="GX452" s="1804"/>
      <c r="GY452" s="1804"/>
      <c r="GZ452" s="1804"/>
      <c r="HA452" s="1804"/>
      <c r="HB452" s="1804"/>
      <c r="HC452" s="1804"/>
      <c r="HD452" s="1804"/>
      <c r="HE452" s="1804"/>
      <c r="HF452" s="1804"/>
      <c r="HG452" s="1804"/>
      <c r="HH452" s="1804"/>
      <c r="HI452" s="1804"/>
      <c r="HJ452" s="1804"/>
      <c r="HK452" s="1804"/>
      <c r="HL452" s="1804"/>
      <c r="HM452" s="1804"/>
      <c r="HN452" s="1804"/>
      <c r="HO452" s="1804"/>
      <c r="HP452" s="1804"/>
      <c r="HQ452" s="1804"/>
      <c r="HR452" s="1804"/>
      <c r="HS452" s="1804"/>
      <c r="HT452" s="1804"/>
      <c r="HU452" s="1804"/>
      <c r="HV452" s="1804"/>
      <c r="HW452" s="1804"/>
      <c r="HX452" s="1804"/>
      <c r="HY452" s="1804"/>
      <c r="HZ452" s="1804"/>
      <c r="IA452" s="1804"/>
      <c r="IB452" s="1804"/>
      <c r="IC452" s="1804"/>
      <c r="ID452" s="1804"/>
      <c r="IE452" s="1804"/>
      <c r="IF452" s="1804"/>
      <c r="IG452" s="1804"/>
      <c r="IH452" s="1804"/>
      <c r="II452" s="1804"/>
      <c r="IJ452" s="1804"/>
      <c r="IK452" s="1804"/>
      <c r="IL452" s="1804"/>
      <c r="IM452" s="1804"/>
      <c r="IN452" s="1804"/>
      <c r="IO452" s="1804"/>
      <c r="IP452" s="1804"/>
      <c r="IQ452" s="1804"/>
      <c r="IR452" s="1804"/>
      <c r="IS452" s="1804"/>
      <c r="IT452" s="1804"/>
      <c r="IU452" s="1804"/>
      <c r="IV452" s="1804"/>
      <c r="IW452" s="1804"/>
    </row>
    <row r="453" spans="3:257" s="888" customFormat="1" x14ac:dyDescent="0.45">
      <c r="C453" s="67" t="s">
        <v>550</v>
      </c>
      <c r="D453" s="68" t="s">
        <v>653</v>
      </c>
      <c r="E453" s="69"/>
      <c r="F453" s="153">
        <v>979176</v>
      </c>
      <c r="G453" s="153">
        <v>2342576</v>
      </c>
      <c r="H453" s="153">
        <v>44567008</v>
      </c>
      <c r="I453" s="153">
        <v>24228698</v>
      </c>
      <c r="J453" s="153">
        <v>188531</v>
      </c>
      <c r="K453" s="153">
        <v>11970808</v>
      </c>
      <c r="L453" s="153">
        <v>8807419</v>
      </c>
      <c r="M453" s="153">
        <v>2808246</v>
      </c>
      <c r="N453" s="153">
        <v>10264079</v>
      </c>
      <c r="O453" s="154">
        <v>4295843</v>
      </c>
      <c r="P453" s="165">
        <f t="shared" si="76"/>
        <v>64717669</v>
      </c>
      <c r="Q453" s="166">
        <f t="shared" si="77"/>
        <v>45734715</v>
      </c>
      <c r="R453" s="168">
        <f t="shared" si="75"/>
        <v>110452384</v>
      </c>
      <c r="S453" s="155">
        <f t="shared" si="78"/>
        <v>1117511760.2120001</v>
      </c>
      <c r="T453" s="1804"/>
      <c r="U453" s="1804"/>
      <c r="V453" s="1804"/>
      <c r="W453" s="1804"/>
      <c r="X453" s="1804"/>
      <c r="Y453" s="1804"/>
      <c r="Z453" s="1804"/>
      <c r="AA453" s="1804"/>
      <c r="AB453" s="1804"/>
      <c r="AC453" s="1804"/>
      <c r="AD453" s="1804"/>
      <c r="AE453" s="1804"/>
      <c r="AF453" s="1804"/>
      <c r="AG453" s="1804"/>
      <c r="AH453" s="1804"/>
      <c r="AI453" s="1804"/>
      <c r="AJ453" s="1804"/>
      <c r="AK453" s="1804"/>
      <c r="AL453" s="1804"/>
      <c r="AM453" s="1804"/>
      <c r="AN453" s="1804"/>
      <c r="AO453" s="1804"/>
      <c r="AP453" s="1804"/>
      <c r="AQ453" s="1804"/>
      <c r="AR453" s="1804"/>
      <c r="AS453" s="1804"/>
      <c r="AT453" s="1804"/>
      <c r="AU453" s="1804"/>
      <c r="AV453" s="1804"/>
      <c r="AW453" s="1804"/>
      <c r="AX453" s="1804"/>
      <c r="AY453" s="1804"/>
      <c r="AZ453" s="1804"/>
      <c r="BA453" s="1804"/>
      <c r="BB453" s="1804"/>
      <c r="BC453" s="1804"/>
      <c r="BD453" s="1804"/>
      <c r="BE453" s="1804"/>
      <c r="BF453" s="1804"/>
      <c r="BG453" s="1804"/>
      <c r="BH453" s="1804"/>
      <c r="BI453" s="1804"/>
      <c r="BJ453" s="1804"/>
      <c r="BK453" s="1804"/>
      <c r="BL453" s="1804"/>
      <c r="BM453" s="1804"/>
      <c r="BN453" s="1804"/>
      <c r="BO453" s="1804"/>
      <c r="BP453" s="1804"/>
      <c r="BQ453" s="1804"/>
      <c r="BR453" s="1804"/>
      <c r="BS453" s="1804"/>
      <c r="BT453" s="1804"/>
      <c r="BU453" s="1804"/>
      <c r="BV453" s="1804"/>
      <c r="BW453" s="1804"/>
      <c r="BX453" s="1804"/>
      <c r="BY453" s="1804"/>
      <c r="BZ453" s="1804"/>
      <c r="CA453" s="1804"/>
      <c r="CB453" s="1804"/>
      <c r="CC453" s="1804"/>
      <c r="CD453" s="1804"/>
      <c r="CE453" s="1804"/>
      <c r="CF453" s="1804"/>
      <c r="CG453" s="1804"/>
      <c r="CH453" s="1804"/>
      <c r="CI453" s="1804"/>
      <c r="CJ453" s="1804"/>
      <c r="CK453" s="1804"/>
      <c r="CL453" s="1804"/>
      <c r="CM453" s="1804"/>
      <c r="CN453" s="1804"/>
      <c r="CO453" s="1804"/>
      <c r="CP453" s="1804"/>
      <c r="CQ453" s="1804"/>
      <c r="CR453" s="1804"/>
      <c r="CS453" s="1804"/>
      <c r="CT453" s="1804"/>
      <c r="CU453" s="1804"/>
      <c r="CV453" s="1804"/>
      <c r="CW453" s="1804"/>
      <c r="CX453" s="1804"/>
      <c r="CY453" s="1804"/>
      <c r="CZ453" s="1804"/>
      <c r="DA453" s="1804"/>
      <c r="DB453" s="1804"/>
      <c r="DC453" s="1804"/>
      <c r="DD453" s="1804"/>
      <c r="DE453" s="1804"/>
      <c r="DF453" s="1804"/>
      <c r="DG453" s="1804"/>
      <c r="DH453" s="1804"/>
      <c r="DI453" s="1804"/>
      <c r="DJ453" s="1804"/>
      <c r="DK453" s="1804"/>
      <c r="DL453" s="1804"/>
      <c r="DM453" s="1804"/>
      <c r="DN453" s="1804"/>
      <c r="DO453" s="1804"/>
      <c r="DP453" s="1804"/>
      <c r="DQ453" s="1804"/>
      <c r="DR453" s="1804"/>
      <c r="DS453" s="1804"/>
      <c r="DT453" s="1804"/>
      <c r="DU453" s="1804"/>
      <c r="DV453" s="1804"/>
      <c r="DW453" s="1804"/>
      <c r="DX453" s="1804"/>
      <c r="DY453" s="1804"/>
      <c r="DZ453" s="1804"/>
      <c r="EA453" s="1804"/>
      <c r="EB453" s="1804"/>
      <c r="EC453" s="1804"/>
      <c r="ED453" s="1804"/>
      <c r="EE453" s="1804"/>
      <c r="EF453" s="1804"/>
      <c r="EG453" s="1804"/>
      <c r="EH453" s="1804"/>
      <c r="EI453" s="1804"/>
      <c r="EJ453" s="1804"/>
      <c r="EK453" s="1804"/>
      <c r="EL453" s="1804"/>
      <c r="EM453" s="1804"/>
      <c r="EN453" s="1804"/>
      <c r="EO453" s="1804"/>
      <c r="EP453" s="1804"/>
      <c r="EQ453" s="1804"/>
      <c r="ER453" s="1804"/>
      <c r="ES453" s="1804"/>
      <c r="ET453" s="1804"/>
      <c r="EU453" s="1804"/>
      <c r="EV453" s="1804"/>
      <c r="EW453" s="1804"/>
      <c r="EX453" s="1804"/>
      <c r="EY453" s="1804"/>
      <c r="EZ453" s="1804"/>
      <c r="FA453" s="1804"/>
      <c r="FB453" s="1804"/>
      <c r="FC453" s="1804"/>
      <c r="FD453" s="1804"/>
      <c r="FE453" s="1804"/>
      <c r="FF453" s="1804"/>
      <c r="FG453" s="1804"/>
      <c r="FH453" s="1804"/>
      <c r="FI453" s="1804"/>
      <c r="FJ453" s="1804"/>
      <c r="FK453" s="1804"/>
      <c r="FL453" s="1804"/>
      <c r="FM453" s="1804"/>
      <c r="FN453" s="1804"/>
      <c r="FO453" s="1804"/>
      <c r="FP453" s="1804"/>
      <c r="FQ453" s="1804"/>
      <c r="FR453" s="1804"/>
      <c r="FS453" s="1804"/>
      <c r="FT453" s="1804"/>
      <c r="FU453" s="1804"/>
      <c r="FV453" s="1804"/>
      <c r="FW453" s="1804"/>
      <c r="FX453" s="1804"/>
      <c r="FY453" s="1804"/>
      <c r="FZ453" s="1804"/>
      <c r="GA453" s="1804"/>
      <c r="GB453" s="1804"/>
      <c r="GC453" s="1804"/>
      <c r="GD453" s="1804"/>
      <c r="GE453" s="1804"/>
      <c r="GF453" s="1804"/>
      <c r="GG453" s="1804"/>
      <c r="GH453" s="1804"/>
      <c r="GI453" s="1804"/>
      <c r="GJ453" s="1804"/>
      <c r="GK453" s="1804"/>
      <c r="GL453" s="1804"/>
      <c r="GM453" s="1804"/>
      <c r="GN453" s="1804"/>
      <c r="GO453" s="1804"/>
      <c r="GP453" s="1804"/>
      <c r="GQ453" s="1804"/>
      <c r="GR453" s="1804"/>
      <c r="GS453" s="1804"/>
      <c r="GT453" s="1804"/>
      <c r="GU453" s="1804"/>
      <c r="GV453" s="1804"/>
      <c r="GW453" s="1804"/>
      <c r="GX453" s="1804"/>
      <c r="GY453" s="1804"/>
      <c r="GZ453" s="1804"/>
      <c r="HA453" s="1804"/>
      <c r="HB453" s="1804"/>
      <c r="HC453" s="1804"/>
      <c r="HD453" s="1804"/>
      <c r="HE453" s="1804"/>
      <c r="HF453" s="1804"/>
      <c r="HG453" s="1804"/>
      <c r="HH453" s="1804"/>
      <c r="HI453" s="1804"/>
      <c r="HJ453" s="1804"/>
      <c r="HK453" s="1804"/>
      <c r="HL453" s="1804"/>
      <c r="HM453" s="1804"/>
      <c r="HN453" s="1804"/>
      <c r="HO453" s="1804"/>
      <c r="HP453" s="1804"/>
      <c r="HQ453" s="1804"/>
      <c r="HR453" s="1804"/>
      <c r="HS453" s="1804"/>
      <c r="HT453" s="1804"/>
      <c r="HU453" s="1804"/>
      <c r="HV453" s="1804"/>
      <c r="HW453" s="1804"/>
      <c r="HX453" s="1804"/>
      <c r="HY453" s="1804"/>
      <c r="HZ453" s="1804"/>
      <c r="IA453" s="1804"/>
      <c r="IB453" s="1804"/>
      <c r="IC453" s="1804"/>
      <c r="ID453" s="1804"/>
      <c r="IE453" s="1804"/>
      <c r="IF453" s="1804"/>
      <c r="IG453" s="1804"/>
      <c r="IH453" s="1804"/>
      <c r="II453" s="1804"/>
      <c r="IJ453" s="1804"/>
      <c r="IK453" s="1804"/>
      <c r="IL453" s="1804"/>
      <c r="IM453" s="1804"/>
      <c r="IN453" s="1804"/>
      <c r="IO453" s="1804"/>
      <c r="IP453" s="1804"/>
      <c r="IQ453" s="1804"/>
      <c r="IR453" s="1804"/>
      <c r="IS453" s="1804"/>
      <c r="IT453" s="1804"/>
      <c r="IU453" s="1804"/>
      <c r="IV453" s="1804"/>
      <c r="IW453" s="1804"/>
    </row>
    <row r="454" spans="3:257" s="888" customFormat="1" x14ac:dyDescent="0.45">
      <c r="C454" s="67" t="s">
        <v>551</v>
      </c>
      <c r="D454" s="68" t="s">
        <v>654</v>
      </c>
      <c r="E454" s="69"/>
      <c r="F454" s="153">
        <v>303307</v>
      </c>
      <c r="G454" s="153">
        <v>478148</v>
      </c>
      <c r="H454" s="153">
        <v>19552506</v>
      </c>
      <c r="I454" s="153">
        <v>10862479</v>
      </c>
      <c r="J454" s="153">
        <v>70654</v>
      </c>
      <c r="K454" s="153">
        <v>4398654</v>
      </c>
      <c r="L454" s="153">
        <v>3476237</v>
      </c>
      <c r="M454" s="153">
        <v>1046331</v>
      </c>
      <c r="N454" s="153">
        <v>3058690</v>
      </c>
      <c r="O454" s="154">
        <v>841856</v>
      </c>
      <c r="P454" s="165">
        <f t="shared" si="76"/>
        <v>24162395</v>
      </c>
      <c r="Q454" s="166">
        <f t="shared" si="77"/>
        <v>19926467</v>
      </c>
      <c r="R454" s="168">
        <f t="shared" si="75"/>
        <v>44088862</v>
      </c>
      <c r="S454" s="155">
        <f t="shared" si="78"/>
        <v>444195077.63800001</v>
      </c>
      <c r="T454" s="1804"/>
      <c r="U454" s="1804"/>
      <c r="V454" s="1804"/>
      <c r="W454" s="1804"/>
      <c r="X454" s="1804"/>
      <c r="Y454" s="1804"/>
      <c r="Z454" s="1804"/>
      <c r="AA454" s="1804"/>
      <c r="AB454" s="1804"/>
      <c r="AC454" s="1804"/>
      <c r="AD454" s="1804"/>
      <c r="AE454" s="1804"/>
      <c r="AF454" s="1804"/>
      <c r="AG454" s="1804"/>
      <c r="AH454" s="1804"/>
      <c r="AI454" s="1804"/>
      <c r="AJ454" s="1804"/>
      <c r="AK454" s="1804"/>
      <c r="AL454" s="1804"/>
      <c r="AM454" s="1804"/>
      <c r="AN454" s="1804"/>
      <c r="AO454" s="1804"/>
      <c r="AP454" s="1804"/>
      <c r="AQ454" s="1804"/>
      <c r="AR454" s="1804"/>
      <c r="AS454" s="1804"/>
      <c r="AT454" s="1804"/>
      <c r="AU454" s="1804"/>
      <c r="AV454" s="1804"/>
      <c r="AW454" s="1804"/>
      <c r="AX454" s="1804"/>
      <c r="AY454" s="1804"/>
      <c r="AZ454" s="1804"/>
      <c r="BA454" s="1804"/>
      <c r="BB454" s="1804"/>
      <c r="BC454" s="1804"/>
      <c r="BD454" s="1804"/>
      <c r="BE454" s="1804"/>
      <c r="BF454" s="1804"/>
      <c r="BG454" s="1804"/>
      <c r="BH454" s="1804"/>
      <c r="BI454" s="1804"/>
      <c r="BJ454" s="1804"/>
      <c r="BK454" s="1804"/>
      <c r="BL454" s="1804"/>
      <c r="BM454" s="1804"/>
      <c r="BN454" s="1804"/>
      <c r="BO454" s="1804"/>
      <c r="BP454" s="1804"/>
      <c r="BQ454" s="1804"/>
      <c r="BR454" s="1804"/>
      <c r="BS454" s="1804"/>
      <c r="BT454" s="1804"/>
      <c r="BU454" s="1804"/>
      <c r="BV454" s="1804"/>
      <c r="BW454" s="1804"/>
      <c r="BX454" s="1804"/>
      <c r="BY454" s="1804"/>
      <c r="BZ454" s="1804"/>
      <c r="CA454" s="1804"/>
      <c r="CB454" s="1804"/>
      <c r="CC454" s="1804"/>
      <c r="CD454" s="1804"/>
      <c r="CE454" s="1804"/>
      <c r="CF454" s="1804"/>
      <c r="CG454" s="1804"/>
      <c r="CH454" s="1804"/>
      <c r="CI454" s="1804"/>
      <c r="CJ454" s="1804"/>
      <c r="CK454" s="1804"/>
      <c r="CL454" s="1804"/>
      <c r="CM454" s="1804"/>
      <c r="CN454" s="1804"/>
      <c r="CO454" s="1804"/>
      <c r="CP454" s="1804"/>
      <c r="CQ454" s="1804"/>
      <c r="CR454" s="1804"/>
      <c r="CS454" s="1804"/>
      <c r="CT454" s="1804"/>
      <c r="CU454" s="1804"/>
      <c r="CV454" s="1804"/>
      <c r="CW454" s="1804"/>
      <c r="CX454" s="1804"/>
      <c r="CY454" s="1804"/>
      <c r="CZ454" s="1804"/>
      <c r="DA454" s="1804"/>
      <c r="DB454" s="1804"/>
      <c r="DC454" s="1804"/>
      <c r="DD454" s="1804"/>
      <c r="DE454" s="1804"/>
      <c r="DF454" s="1804"/>
      <c r="DG454" s="1804"/>
      <c r="DH454" s="1804"/>
      <c r="DI454" s="1804"/>
      <c r="DJ454" s="1804"/>
      <c r="DK454" s="1804"/>
      <c r="DL454" s="1804"/>
      <c r="DM454" s="1804"/>
      <c r="DN454" s="1804"/>
      <c r="DO454" s="1804"/>
      <c r="DP454" s="1804"/>
      <c r="DQ454" s="1804"/>
      <c r="DR454" s="1804"/>
      <c r="DS454" s="1804"/>
      <c r="DT454" s="1804"/>
      <c r="DU454" s="1804"/>
      <c r="DV454" s="1804"/>
      <c r="DW454" s="1804"/>
      <c r="DX454" s="1804"/>
      <c r="DY454" s="1804"/>
      <c r="DZ454" s="1804"/>
      <c r="EA454" s="1804"/>
      <c r="EB454" s="1804"/>
      <c r="EC454" s="1804"/>
      <c r="ED454" s="1804"/>
      <c r="EE454" s="1804"/>
      <c r="EF454" s="1804"/>
      <c r="EG454" s="1804"/>
      <c r="EH454" s="1804"/>
      <c r="EI454" s="1804"/>
      <c r="EJ454" s="1804"/>
      <c r="EK454" s="1804"/>
      <c r="EL454" s="1804"/>
      <c r="EM454" s="1804"/>
      <c r="EN454" s="1804"/>
      <c r="EO454" s="1804"/>
      <c r="EP454" s="1804"/>
      <c r="EQ454" s="1804"/>
      <c r="ER454" s="1804"/>
      <c r="ES454" s="1804"/>
      <c r="ET454" s="1804"/>
      <c r="EU454" s="1804"/>
      <c r="EV454" s="1804"/>
      <c r="EW454" s="1804"/>
      <c r="EX454" s="1804"/>
      <c r="EY454" s="1804"/>
      <c r="EZ454" s="1804"/>
      <c r="FA454" s="1804"/>
      <c r="FB454" s="1804"/>
      <c r="FC454" s="1804"/>
      <c r="FD454" s="1804"/>
      <c r="FE454" s="1804"/>
      <c r="FF454" s="1804"/>
      <c r="FG454" s="1804"/>
      <c r="FH454" s="1804"/>
      <c r="FI454" s="1804"/>
      <c r="FJ454" s="1804"/>
      <c r="FK454" s="1804"/>
      <c r="FL454" s="1804"/>
      <c r="FM454" s="1804"/>
      <c r="FN454" s="1804"/>
      <c r="FO454" s="1804"/>
      <c r="FP454" s="1804"/>
      <c r="FQ454" s="1804"/>
      <c r="FR454" s="1804"/>
      <c r="FS454" s="1804"/>
      <c r="FT454" s="1804"/>
      <c r="FU454" s="1804"/>
      <c r="FV454" s="1804"/>
      <c r="FW454" s="1804"/>
      <c r="FX454" s="1804"/>
      <c r="FY454" s="1804"/>
      <c r="FZ454" s="1804"/>
      <c r="GA454" s="1804"/>
      <c r="GB454" s="1804"/>
      <c r="GC454" s="1804"/>
      <c r="GD454" s="1804"/>
      <c r="GE454" s="1804"/>
      <c r="GF454" s="1804"/>
      <c r="GG454" s="1804"/>
      <c r="GH454" s="1804"/>
      <c r="GI454" s="1804"/>
      <c r="GJ454" s="1804"/>
      <c r="GK454" s="1804"/>
      <c r="GL454" s="1804"/>
      <c r="GM454" s="1804"/>
      <c r="GN454" s="1804"/>
      <c r="GO454" s="1804"/>
      <c r="GP454" s="1804"/>
      <c r="GQ454" s="1804"/>
      <c r="GR454" s="1804"/>
      <c r="GS454" s="1804"/>
      <c r="GT454" s="1804"/>
      <c r="GU454" s="1804"/>
      <c r="GV454" s="1804"/>
      <c r="GW454" s="1804"/>
      <c r="GX454" s="1804"/>
      <c r="GY454" s="1804"/>
      <c r="GZ454" s="1804"/>
      <c r="HA454" s="1804"/>
      <c r="HB454" s="1804"/>
      <c r="HC454" s="1804"/>
      <c r="HD454" s="1804"/>
      <c r="HE454" s="1804"/>
      <c r="HF454" s="1804"/>
      <c r="HG454" s="1804"/>
      <c r="HH454" s="1804"/>
      <c r="HI454" s="1804"/>
      <c r="HJ454" s="1804"/>
      <c r="HK454" s="1804"/>
      <c r="HL454" s="1804"/>
      <c r="HM454" s="1804"/>
      <c r="HN454" s="1804"/>
      <c r="HO454" s="1804"/>
      <c r="HP454" s="1804"/>
      <c r="HQ454" s="1804"/>
      <c r="HR454" s="1804"/>
      <c r="HS454" s="1804"/>
      <c r="HT454" s="1804"/>
      <c r="HU454" s="1804"/>
      <c r="HV454" s="1804"/>
      <c r="HW454" s="1804"/>
      <c r="HX454" s="1804"/>
      <c r="HY454" s="1804"/>
      <c r="HZ454" s="1804"/>
      <c r="IA454" s="1804"/>
      <c r="IB454" s="1804"/>
      <c r="IC454" s="1804"/>
      <c r="ID454" s="1804"/>
      <c r="IE454" s="1804"/>
      <c r="IF454" s="1804"/>
      <c r="IG454" s="1804"/>
      <c r="IH454" s="1804"/>
      <c r="II454" s="1804"/>
      <c r="IJ454" s="1804"/>
      <c r="IK454" s="1804"/>
      <c r="IL454" s="1804"/>
      <c r="IM454" s="1804"/>
      <c r="IN454" s="1804"/>
      <c r="IO454" s="1804"/>
      <c r="IP454" s="1804"/>
      <c r="IQ454" s="1804"/>
      <c r="IR454" s="1804"/>
      <c r="IS454" s="1804"/>
      <c r="IT454" s="1804"/>
      <c r="IU454" s="1804"/>
      <c r="IV454" s="1804"/>
      <c r="IW454" s="1804"/>
    </row>
    <row r="455" spans="3:257" s="888" customFormat="1" x14ac:dyDescent="0.45">
      <c r="C455" s="67" t="s">
        <v>552</v>
      </c>
      <c r="D455" s="68" t="s">
        <v>655</v>
      </c>
      <c r="E455" s="69"/>
      <c r="F455" s="153">
        <v>717417</v>
      </c>
      <c r="G455" s="153">
        <v>2541007</v>
      </c>
      <c r="H455" s="153">
        <v>49543746</v>
      </c>
      <c r="I455" s="153">
        <v>32375719</v>
      </c>
      <c r="J455" s="153">
        <v>303176</v>
      </c>
      <c r="K455" s="153">
        <v>14010600</v>
      </c>
      <c r="L455" s="153">
        <v>6801776</v>
      </c>
      <c r="M455" s="153">
        <v>2615436</v>
      </c>
      <c r="N455" s="153">
        <v>12629413</v>
      </c>
      <c r="O455" s="154">
        <v>18588206</v>
      </c>
      <c r="P455" s="165">
        <f t="shared" si="76"/>
        <v>89562157</v>
      </c>
      <c r="Q455" s="166">
        <f t="shared" si="77"/>
        <v>50564339</v>
      </c>
      <c r="R455" s="168">
        <f t="shared" si="75"/>
        <v>140126496</v>
      </c>
      <c r="S455" s="155">
        <f t="shared" si="78"/>
        <v>1426124390.132</v>
      </c>
      <c r="T455" s="1804"/>
      <c r="U455" s="1804"/>
      <c r="V455" s="1804"/>
      <c r="W455" s="1804"/>
      <c r="X455" s="1804"/>
      <c r="Y455" s="1804"/>
      <c r="Z455" s="1804"/>
      <c r="AA455" s="1804"/>
      <c r="AB455" s="1804"/>
      <c r="AC455" s="1804"/>
      <c r="AD455" s="1804"/>
      <c r="AE455" s="1804"/>
      <c r="AF455" s="1804"/>
      <c r="AG455" s="1804"/>
      <c r="AH455" s="1804"/>
      <c r="AI455" s="1804"/>
      <c r="AJ455" s="1804"/>
      <c r="AK455" s="1804"/>
      <c r="AL455" s="1804"/>
      <c r="AM455" s="1804"/>
      <c r="AN455" s="1804"/>
      <c r="AO455" s="1804"/>
      <c r="AP455" s="1804"/>
      <c r="AQ455" s="1804"/>
      <c r="AR455" s="1804"/>
      <c r="AS455" s="1804"/>
      <c r="AT455" s="1804"/>
      <c r="AU455" s="1804"/>
      <c r="AV455" s="1804"/>
      <c r="AW455" s="1804"/>
      <c r="AX455" s="1804"/>
      <c r="AY455" s="1804"/>
      <c r="AZ455" s="1804"/>
      <c r="BA455" s="1804"/>
      <c r="BB455" s="1804"/>
      <c r="BC455" s="1804"/>
      <c r="BD455" s="1804"/>
      <c r="BE455" s="1804"/>
      <c r="BF455" s="1804"/>
      <c r="BG455" s="1804"/>
      <c r="BH455" s="1804"/>
      <c r="BI455" s="1804"/>
      <c r="BJ455" s="1804"/>
      <c r="BK455" s="1804"/>
      <c r="BL455" s="1804"/>
      <c r="BM455" s="1804"/>
      <c r="BN455" s="1804"/>
      <c r="BO455" s="1804"/>
      <c r="BP455" s="1804"/>
      <c r="BQ455" s="1804"/>
      <c r="BR455" s="1804"/>
      <c r="BS455" s="1804"/>
      <c r="BT455" s="1804"/>
      <c r="BU455" s="1804"/>
      <c r="BV455" s="1804"/>
      <c r="BW455" s="1804"/>
      <c r="BX455" s="1804"/>
      <c r="BY455" s="1804"/>
      <c r="BZ455" s="1804"/>
      <c r="CA455" s="1804"/>
      <c r="CB455" s="1804"/>
      <c r="CC455" s="1804"/>
      <c r="CD455" s="1804"/>
      <c r="CE455" s="1804"/>
      <c r="CF455" s="1804"/>
      <c r="CG455" s="1804"/>
      <c r="CH455" s="1804"/>
      <c r="CI455" s="1804"/>
      <c r="CJ455" s="1804"/>
      <c r="CK455" s="1804"/>
      <c r="CL455" s="1804"/>
      <c r="CM455" s="1804"/>
      <c r="CN455" s="1804"/>
      <c r="CO455" s="1804"/>
      <c r="CP455" s="1804"/>
      <c r="CQ455" s="1804"/>
      <c r="CR455" s="1804"/>
      <c r="CS455" s="1804"/>
      <c r="CT455" s="1804"/>
      <c r="CU455" s="1804"/>
      <c r="CV455" s="1804"/>
      <c r="CW455" s="1804"/>
      <c r="CX455" s="1804"/>
      <c r="CY455" s="1804"/>
      <c r="CZ455" s="1804"/>
      <c r="DA455" s="1804"/>
      <c r="DB455" s="1804"/>
      <c r="DC455" s="1804"/>
      <c r="DD455" s="1804"/>
      <c r="DE455" s="1804"/>
      <c r="DF455" s="1804"/>
      <c r="DG455" s="1804"/>
      <c r="DH455" s="1804"/>
      <c r="DI455" s="1804"/>
      <c r="DJ455" s="1804"/>
      <c r="DK455" s="1804"/>
      <c r="DL455" s="1804"/>
      <c r="DM455" s="1804"/>
      <c r="DN455" s="1804"/>
      <c r="DO455" s="1804"/>
      <c r="DP455" s="1804"/>
      <c r="DQ455" s="1804"/>
      <c r="DR455" s="1804"/>
      <c r="DS455" s="1804"/>
      <c r="DT455" s="1804"/>
      <c r="DU455" s="1804"/>
      <c r="DV455" s="1804"/>
      <c r="DW455" s="1804"/>
      <c r="DX455" s="1804"/>
      <c r="DY455" s="1804"/>
      <c r="DZ455" s="1804"/>
      <c r="EA455" s="1804"/>
      <c r="EB455" s="1804"/>
      <c r="EC455" s="1804"/>
      <c r="ED455" s="1804"/>
      <c r="EE455" s="1804"/>
      <c r="EF455" s="1804"/>
      <c r="EG455" s="1804"/>
      <c r="EH455" s="1804"/>
      <c r="EI455" s="1804"/>
      <c r="EJ455" s="1804"/>
      <c r="EK455" s="1804"/>
      <c r="EL455" s="1804"/>
      <c r="EM455" s="1804"/>
      <c r="EN455" s="1804"/>
      <c r="EO455" s="1804"/>
      <c r="EP455" s="1804"/>
      <c r="EQ455" s="1804"/>
      <c r="ER455" s="1804"/>
      <c r="ES455" s="1804"/>
      <c r="ET455" s="1804"/>
      <c r="EU455" s="1804"/>
      <c r="EV455" s="1804"/>
      <c r="EW455" s="1804"/>
      <c r="EX455" s="1804"/>
      <c r="EY455" s="1804"/>
      <c r="EZ455" s="1804"/>
      <c r="FA455" s="1804"/>
      <c r="FB455" s="1804"/>
      <c r="FC455" s="1804"/>
      <c r="FD455" s="1804"/>
      <c r="FE455" s="1804"/>
      <c r="FF455" s="1804"/>
      <c r="FG455" s="1804"/>
      <c r="FH455" s="1804"/>
      <c r="FI455" s="1804"/>
      <c r="FJ455" s="1804"/>
      <c r="FK455" s="1804"/>
      <c r="FL455" s="1804"/>
      <c r="FM455" s="1804"/>
      <c r="FN455" s="1804"/>
      <c r="FO455" s="1804"/>
      <c r="FP455" s="1804"/>
      <c r="FQ455" s="1804"/>
      <c r="FR455" s="1804"/>
      <c r="FS455" s="1804"/>
      <c r="FT455" s="1804"/>
      <c r="FU455" s="1804"/>
      <c r="FV455" s="1804"/>
      <c r="FW455" s="1804"/>
      <c r="FX455" s="1804"/>
      <c r="FY455" s="1804"/>
      <c r="FZ455" s="1804"/>
      <c r="GA455" s="1804"/>
      <c r="GB455" s="1804"/>
      <c r="GC455" s="1804"/>
      <c r="GD455" s="1804"/>
      <c r="GE455" s="1804"/>
      <c r="GF455" s="1804"/>
      <c r="GG455" s="1804"/>
      <c r="GH455" s="1804"/>
      <c r="GI455" s="1804"/>
      <c r="GJ455" s="1804"/>
      <c r="GK455" s="1804"/>
      <c r="GL455" s="1804"/>
      <c r="GM455" s="1804"/>
      <c r="GN455" s="1804"/>
      <c r="GO455" s="1804"/>
      <c r="GP455" s="1804"/>
      <c r="GQ455" s="1804"/>
      <c r="GR455" s="1804"/>
      <c r="GS455" s="1804"/>
      <c r="GT455" s="1804"/>
      <c r="GU455" s="1804"/>
      <c r="GV455" s="1804"/>
      <c r="GW455" s="1804"/>
      <c r="GX455" s="1804"/>
      <c r="GY455" s="1804"/>
      <c r="GZ455" s="1804"/>
      <c r="HA455" s="1804"/>
      <c r="HB455" s="1804"/>
      <c r="HC455" s="1804"/>
      <c r="HD455" s="1804"/>
      <c r="HE455" s="1804"/>
      <c r="HF455" s="1804"/>
      <c r="HG455" s="1804"/>
      <c r="HH455" s="1804"/>
      <c r="HI455" s="1804"/>
      <c r="HJ455" s="1804"/>
      <c r="HK455" s="1804"/>
      <c r="HL455" s="1804"/>
      <c r="HM455" s="1804"/>
      <c r="HN455" s="1804"/>
      <c r="HO455" s="1804"/>
      <c r="HP455" s="1804"/>
      <c r="HQ455" s="1804"/>
      <c r="HR455" s="1804"/>
      <c r="HS455" s="1804"/>
      <c r="HT455" s="1804"/>
      <c r="HU455" s="1804"/>
      <c r="HV455" s="1804"/>
      <c r="HW455" s="1804"/>
      <c r="HX455" s="1804"/>
      <c r="HY455" s="1804"/>
      <c r="HZ455" s="1804"/>
      <c r="IA455" s="1804"/>
      <c r="IB455" s="1804"/>
      <c r="IC455" s="1804"/>
      <c r="ID455" s="1804"/>
      <c r="IE455" s="1804"/>
      <c r="IF455" s="1804"/>
      <c r="IG455" s="1804"/>
      <c r="IH455" s="1804"/>
      <c r="II455" s="1804"/>
      <c r="IJ455" s="1804"/>
      <c r="IK455" s="1804"/>
      <c r="IL455" s="1804"/>
      <c r="IM455" s="1804"/>
      <c r="IN455" s="1804"/>
      <c r="IO455" s="1804"/>
      <c r="IP455" s="1804"/>
      <c r="IQ455" s="1804"/>
      <c r="IR455" s="1804"/>
      <c r="IS455" s="1804"/>
      <c r="IT455" s="1804"/>
      <c r="IU455" s="1804"/>
      <c r="IV455" s="1804"/>
      <c r="IW455" s="1804"/>
    </row>
    <row r="456" spans="3:257" s="888" customFormat="1" x14ac:dyDescent="0.45">
      <c r="C456" s="67" t="s">
        <v>553</v>
      </c>
      <c r="D456" s="68" t="s">
        <v>656</v>
      </c>
      <c r="E456" s="69"/>
      <c r="F456" s="153">
        <v>1129211</v>
      </c>
      <c r="G456" s="153">
        <v>3915579</v>
      </c>
      <c r="H456" s="153">
        <v>20312351</v>
      </c>
      <c r="I456" s="153">
        <v>11009164</v>
      </c>
      <c r="J456" s="153">
        <v>130986</v>
      </c>
      <c r="K456" s="153">
        <v>8178769</v>
      </c>
      <c r="L456" s="153">
        <v>5637383</v>
      </c>
      <c r="M456" s="153">
        <v>1353956</v>
      </c>
      <c r="N456" s="153">
        <v>8529529</v>
      </c>
      <c r="O456" s="154">
        <v>2022959</v>
      </c>
      <c r="P456" s="165">
        <f t="shared" si="76"/>
        <v>40647339</v>
      </c>
      <c r="Q456" s="166">
        <f t="shared" si="77"/>
        <v>21572548</v>
      </c>
      <c r="R456" s="168">
        <f t="shared" si="75"/>
        <v>62219887</v>
      </c>
      <c r="S456" s="155">
        <f t="shared" si="78"/>
        <v>634225520.16900003</v>
      </c>
      <c r="T456" s="1804"/>
      <c r="U456" s="1804"/>
      <c r="V456" s="1804"/>
      <c r="W456" s="1804"/>
      <c r="X456" s="1804"/>
      <c r="Y456" s="1804"/>
      <c r="Z456" s="1804"/>
      <c r="AA456" s="1804"/>
      <c r="AB456" s="1804"/>
      <c r="AC456" s="1804"/>
      <c r="AD456" s="1804"/>
      <c r="AE456" s="1804"/>
      <c r="AF456" s="1804"/>
      <c r="AG456" s="1804"/>
      <c r="AH456" s="1804"/>
      <c r="AI456" s="1804"/>
      <c r="AJ456" s="1804"/>
      <c r="AK456" s="1804"/>
      <c r="AL456" s="1804"/>
      <c r="AM456" s="1804"/>
      <c r="AN456" s="1804"/>
      <c r="AO456" s="1804"/>
      <c r="AP456" s="1804"/>
      <c r="AQ456" s="1804"/>
      <c r="AR456" s="1804"/>
      <c r="AS456" s="1804"/>
      <c r="AT456" s="1804"/>
      <c r="AU456" s="1804"/>
      <c r="AV456" s="1804"/>
      <c r="AW456" s="1804"/>
      <c r="AX456" s="1804"/>
      <c r="AY456" s="1804"/>
      <c r="AZ456" s="1804"/>
      <c r="BA456" s="1804"/>
      <c r="BB456" s="1804"/>
      <c r="BC456" s="1804"/>
      <c r="BD456" s="1804"/>
      <c r="BE456" s="1804"/>
      <c r="BF456" s="1804"/>
      <c r="BG456" s="1804"/>
      <c r="BH456" s="1804"/>
      <c r="BI456" s="1804"/>
      <c r="BJ456" s="1804"/>
      <c r="BK456" s="1804"/>
      <c r="BL456" s="1804"/>
      <c r="BM456" s="1804"/>
      <c r="BN456" s="1804"/>
      <c r="BO456" s="1804"/>
      <c r="BP456" s="1804"/>
      <c r="BQ456" s="1804"/>
      <c r="BR456" s="1804"/>
      <c r="BS456" s="1804"/>
      <c r="BT456" s="1804"/>
      <c r="BU456" s="1804"/>
      <c r="BV456" s="1804"/>
      <c r="BW456" s="1804"/>
      <c r="BX456" s="1804"/>
      <c r="BY456" s="1804"/>
      <c r="BZ456" s="1804"/>
      <c r="CA456" s="1804"/>
      <c r="CB456" s="1804"/>
      <c r="CC456" s="1804"/>
      <c r="CD456" s="1804"/>
      <c r="CE456" s="1804"/>
      <c r="CF456" s="1804"/>
      <c r="CG456" s="1804"/>
      <c r="CH456" s="1804"/>
      <c r="CI456" s="1804"/>
      <c r="CJ456" s="1804"/>
      <c r="CK456" s="1804"/>
      <c r="CL456" s="1804"/>
      <c r="CM456" s="1804"/>
      <c r="CN456" s="1804"/>
      <c r="CO456" s="1804"/>
      <c r="CP456" s="1804"/>
      <c r="CQ456" s="1804"/>
      <c r="CR456" s="1804"/>
      <c r="CS456" s="1804"/>
      <c r="CT456" s="1804"/>
      <c r="CU456" s="1804"/>
      <c r="CV456" s="1804"/>
      <c r="CW456" s="1804"/>
      <c r="CX456" s="1804"/>
      <c r="CY456" s="1804"/>
      <c r="CZ456" s="1804"/>
      <c r="DA456" s="1804"/>
      <c r="DB456" s="1804"/>
      <c r="DC456" s="1804"/>
      <c r="DD456" s="1804"/>
      <c r="DE456" s="1804"/>
      <c r="DF456" s="1804"/>
      <c r="DG456" s="1804"/>
      <c r="DH456" s="1804"/>
      <c r="DI456" s="1804"/>
      <c r="DJ456" s="1804"/>
      <c r="DK456" s="1804"/>
      <c r="DL456" s="1804"/>
      <c r="DM456" s="1804"/>
      <c r="DN456" s="1804"/>
      <c r="DO456" s="1804"/>
      <c r="DP456" s="1804"/>
      <c r="DQ456" s="1804"/>
      <c r="DR456" s="1804"/>
      <c r="DS456" s="1804"/>
      <c r="DT456" s="1804"/>
      <c r="DU456" s="1804"/>
      <c r="DV456" s="1804"/>
      <c r="DW456" s="1804"/>
      <c r="DX456" s="1804"/>
      <c r="DY456" s="1804"/>
      <c r="DZ456" s="1804"/>
      <c r="EA456" s="1804"/>
      <c r="EB456" s="1804"/>
      <c r="EC456" s="1804"/>
      <c r="ED456" s="1804"/>
      <c r="EE456" s="1804"/>
      <c r="EF456" s="1804"/>
      <c r="EG456" s="1804"/>
      <c r="EH456" s="1804"/>
      <c r="EI456" s="1804"/>
      <c r="EJ456" s="1804"/>
      <c r="EK456" s="1804"/>
      <c r="EL456" s="1804"/>
      <c r="EM456" s="1804"/>
      <c r="EN456" s="1804"/>
      <c r="EO456" s="1804"/>
      <c r="EP456" s="1804"/>
      <c r="EQ456" s="1804"/>
      <c r="ER456" s="1804"/>
      <c r="ES456" s="1804"/>
      <c r="ET456" s="1804"/>
      <c r="EU456" s="1804"/>
      <c r="EV456" s="1804"/>
      <c r="EW456" s="1804"/>
      <c r="EX456" s="1804"/>
      <c r="EY456" s="1804"/>
      <c r="EZ456" s="1804"/>
      <c r="FA456" s="1804"/>
      <c r="FB456" s="1804"/>
      <c r="FC456" s="1804"/>
      <c r="FD456" s="1804"/>
      <c r="FE456" s="1804"/>
      <c r="FF456" s="1804"/>
      <c r="FG456" s="1804"/>
      <c r="FH456" s="1804"/>
      <c r="FI456" s="1804"/>
      <c r="FJ456" s="1804"/>
      <c r="FK456" s="1804"/>
      <c r="FL456" s="1804"/>
      <c r="FM456" s="1804"/>
      <c r="FN456" s="1804"/>
      <c r="FO456" s="1804"/>
      <c r="FP456" s="1804"/>
      <c r="FQ456" s="1804"/>
      <c r="FR456" s="1804"/>
      <c r="FS456" s="1804"/>
      <c r="FT456" s="1804"/>
      <c r="FU456" s="1804"/>
      <c r="FV456" s="1804"/>
      <c r="FW456" s="1804"/>
      <c r="FX456" s="1804"/>
      <c r="FY456" s="1804"/>
      <c r="FZ456" s="1804"/>
      <c r="GA456" s="1804"/>
      <c r="GB456" s="1804"/>
      <c r="GC456" s="1804"/>
      <c r="GD456" s="1804"/>
      <c r="GE456" s="1804"/>
      <c r="GF456" s="1804"/>
      <c r="GG456" s="1804"/>
      <c r="GH456" s="1804"/>
      <c r="GI456" s="1804"/>
      <c r="GJ456" s="1804"/>
      <c r="GK456" s="1804"/>
      <c r="GL456" s="1804"/>
      <c r="GM456" s="1804"/>
      <c r="GN456" s="1804"/>
      <c r="GO456" s="1804"/>
      <c r="GP456" s="1804"/>
      <c r="GQ456" s="1804"/>
      <c r="GR456" s="1804"/>
      <c r="GS456" s="1804"/>
      <c r="GT456" s="1804"/>
      <c r="GU456" s="1804"/>
      <c r="GV456" s="1804"/>
      <c r="GW456" s="1804"/>
      <c r="GX456" s="1804"/>
      <c r="GY456" s="1804"/>
      <c r="GZ456" s="1804"/>
      <c r="HA456" s="1804"/>
      <c r="HB456" s="1804"/>
      <c r="HC456" s="1804"/>
      <c r="HD456" s="1804"/>
      <c r="HE456" s="1804"/>
      <c r="HF456" s="1804"/>
      <c r="HG456" s="1804"/>
      <c r="HH456" s="1804"/>
      <c r="HI456" s="1804"/>
      <c r="HJ456" s="1804"/>
      <c r="HK456" s="1804"/>
      <c r="HL456" s="1804"/>
      <c r="HM456" s="1804"/>
      <c r="HN456" s="1804"/>
      <c r="HO456" s="1804"/>
      <c r="HP456" s="1804"/>
      <c r="HQ456" s="1804"/>
      <c r="HR456" s="1804"/>
      <c r="HS456" s="1804"/>
      <c r="HT456" s="1804"/>
      <c r="HU456" s="1804"/>
      <c r="HV456" s="1804"/>
      <c r="HW456" s="1804"/>
      <c r="HX456" s="1804"/>
      <c r="HY456" s="1804"/>
      <c r="HZ456" s="1804"/>
      <c r="IA456" s="1804"/>
      <c r="IB456" s="1804"/>
      <c r="IC456" s="1804"/>
      <c r="ID456" s="1804"/>
      <c r="IE456" s="1804"/>
      <c r="IF456" s="1804"/>
      <c r="IG456" s="1804"/>
      <c r="IH456" s="1804"/>
      <c r="II456" s="1804"/>
      <c r="IJ456" s="1804"/>
      <c r="IK456" s="1804"/>
      <c r="IL456" s="1804"/>
      <c r="IM456" s="1804"/>
      <c r="IN456" s="1804"/>
      <c r="IO456" s="1804"/>
      <c r="IP456" s="1804"/>
      <c r="IQ456" s="1804"/>
      <c r="IR456" s="1804"/>
      <c r="IS456" s="1804"/>
      <c r="IT456" s="1804"/>
      <c r="IU456" s="1804"/>
      <c r="IV456" s="1804"/>
      <c r="IW456" s="1804"/>
    </row>
    <row r="457" spans="3:257" s="888" customFormat="1" x14ac:dyDescent="0.45">
      <c r="C457" s="67" t="s">
        <v>554</v>
      </c>
      <c r="D457" s="68" t="s">
        <v>657</v>
      </c>
      <c r="E457" s="69"/>
      <c r="F457" s="153">
        <v>527937</v>
      </c>
      <c r="G457" s="153">
        <v>3594032</v>
      </c>
      <c r="H457" s="153">
        <v>26955392</v>
      </c>
      <c r="I457" s="153">
        <v>14694189</v>
      </c>
      <c r="J457" s="153">
        <v>118160</v>
      </c>
      <c r="K457" s="153">
        <v>7681213</v>
      </c>
      <c r="L457" s="153">
        <v>5927924</v>
      </c>
      <c r="M457" s="153">
        <v>1163178</v>
      </c>
      <c r="N457" s="153">
        <v>5930483</v>
      </c>
      <c r="O457" s="154">
        <v>2211178</v>
      </c>
      <c r="P457" s="165">
        <f t="shared" si="76"/>
        <v>41202197</v>
      </c>
      <c r="Q457" s="166">
        <f t="shared" si="77"/>
        <v>27601489</v>
      </c>
      <c r="R457" s="168">
        <f t="shared" si="75"/>
        <v>68803686</v>
      </c>
      <c r="S457" s="155">
        <f t="shared" si="78"/>
        <v>697125335.30200005</v>
      </c>
      <c r="T457" s="1804"/>
      <c r="U457" s="1804"/>
      <c r="V457" s="1804"/>
      <c r="W457" s="1804"/>
      <c r="X457" s="1804"/>
      <c r="Y457" s="1804"/>
      <c r="Z457" s="1804"/>
      <c r="AA457" s="1804"/>
      <c r="AB457" s="1804"/>
      <c r="AC457" s="1804"/>
      <c r="AD457" s="1804"/>
      <c r="AE457" s="1804"/>
      <c r="AF457" s="1804"/>
      <c r="AG457" s="1804"/>
      <c r="AH457" s="1804"/>
      <c r="AI457" s="1804"/>
      <c r="AJ457" s="1804"/>
      <c r="AK457" s="1804"/>
      <c r="AL457" s="1804"/>
      <c r="AM457" s="1804"/>
      <c r="AN457" s="1804"/>
      <c r="AO457" s="1804"/>
      <c r="AP457" s="1804"/>
      <c r="AQ457" s="1804"/>
      <c r="AR457" s="1804"/>
      <c r="AS457" s="1804"/>
      <c r="AT457" s="1804"/>
      <c r="AU457" s="1804"/>
      <c r="AV457" s="1804"/>
      <c r="AW457" s="1804"/>
      <c r="AX457" s="1804"/>
      <c r="AY457" s="1804"/>
      <c r="AZ457" s="1804"/>
      <c r="BA457" s="1804"/>
      <c r="BB457" s="1804"/>
      <c r="BC457" s="1804"/>
      <c r="BD457" s="1804"/>
      <c r="BE457" s="1804"/>
      <c r="BF457" s="1804"/>
      <c r="BG457" s="1804"/>
      <c r="BH457" s="1804"/>
      <c r="BI457" s="1804"/>
      <c r="BJ457" s="1804"/>
      <c r="BK457" s="1804"/>
      <c r="BL457" s="1804"/>
      <c r="BM457" s="1804"/>
      <c r="BN457" s="1804"/>
      <c r="BO457" s="1804"/>
      <c r="BP457" s="1804"/>
      <c r="BQ457" s="1804"/>
      <c r="BR457" s="1804"/>
      <c r="BS457" s="1804"/>
      <c r="BT457" s="1804"/>
      <c r="BU457" s="1804"/>
      <c r="BV457" s="1804"/>
      <c r="BW457" s="1804"/>
      <c r="BX457" s="1804"/>
      <c r="BY457" s="1804"/>
      <c r="BZ457" s="1804"/>
      <c r="CA457" s="1804"/>
      <c r="CB457" s="1804"/>
      <c r="CC457" s="1804"/>
      <c r="CD457" s="1804"/>
      <c r="CE457" s="1804"/>
      <c r="CF457" s="1804"/>
      <c r="CG457" s="1804"/>
      <c r="CH457" s="1804"/>
      <c r="CI457" s="1804"/>
      <c r="CJ457" s="1804"/>
      <c r="CK457" s="1804"/>
      <c r="CL457" s="1804"/>
      <c r="CM457" s="1804"/>
      <c r="CN457" s="1804"/>
      <c r="CO457" s="1804"/>
      <c r="CP457" s="1804"/>
      <c r="CQ457" s="1804"/>
      <c r="CR457" s="1804"/>
      <c r="CS457" s="1804"/>
      <c r="CT457" s="1804"/>
      <c r="CU457" s="1804"/>
      <c r="CV457" s="1804"/>
      <c r="CW457" s="1804"/>
      <c r="CX457" s="1804"/>
      <c r="CY457" s="1804"/>
      <c r="CZ457" s="1804"/>
      <c r="DA457" s="1804"/>
      <c r="DB457" s="1804"/>
      <c r="DC457" s="1804"/>
      <c r="DD457" s="1804"/>
      <c r="DE457" s="1804"/>
      <c r="DF457" s="1804"/>
      <c r="DG457" s="1804"/>
      <c r="DH457" s="1804"/>
      <c r="DI457" s="1804"/>
      <c r="DJ457" s="1804"/>
      <c r="DK457" s="1804"/>
      <c r="DL457" s="1804"/>
      <c r="DM457" s="1804"/>
      <c r="DN457" s="1804"/>
      <c r="DO457" s="1804"/>
      <c r="DP457" s="1804"/>
      <c r="DQ457" s="1804"/>
      <c r="DR457" s="1804"/>
      <c r="DS457" s="1804"/>
      <c r="DT457" s="1804"/>
      <c r="DU457" s="1804"/>
      <c r="DV457" s="1804"/>
      <c r="DW457" s="1804"/>
      <c r="DX457" s="1804"/>
      <c r="DY457" s="1804"/>
      <c r="DZ457" s="1804"/>
      <c r="EA457" s="1804"/>
      <c r="EB457" s="1804"/>
      <c r="EC457" s="1804"/>
      <c r="ED457" s="1804"/>
      <c r="EE457" s="1804"/>
      <c r="EF457" s="1804"/>
      <c r="EG457" s="1804"/>
      <c r="EH457" s="1804"/>
      <c r="EI457" s="1804"/>
      <c r="EJ457" s="1804"/>
      <c r="EK457" s="1804"/>
      <c r="EL457" s="1804"/>
      <c r="EM457" s="1804"/>
      <c r="EN457" s="1804"/>
      <c r="EO457" s="1804"/>
      <c r="EP457" s="1804"/>
      <c r="EQ457" s="1804"/>
      <c r="ER457" s="1804"/>
      <c r="ES457" s="1804"/>
      <c r="ET457" s="1804"/>
      <c r="EU457" s="1804"/>
      <c r="EV457" s="1804"/>
      <c r="EW457" s="1804"/>
      <c r="EX457" s="1804"/>
      <c r="EY457" s="1804"/>
      <c r="EZ457" s="1804"/>
      <c r="FA457" s="1804"/>
      <c r="FB457" s="1804"/>
      <c r="FC457" s="1804"/>
      <c r="FD457" s="1804"/>
      <c r="FE457" s="1804"/>
      <c r="FF457" s="1804"/>
      <c r="FG457" s="1804"/>
      <c r="FH457" s="1804"/>
      <c r="FI457" s="1804"/>
      <c r="FJ457" s="1804"/>
      <c r="FK457" s="1804"/>
      <c r="FL457" s="1804"/>
      <c r="FM457" s="1804"/>
      <c r="FN457" s="1804"/>
      <c r="FO457" s="1804"/>
      <c r="FP457" s="1804"/>
      <c r="FQ457" s="1804"/>
      <c r="FR457" s="1804"/>
      <c r="FS457" s="1804"/>
      <c r="FT457" s="1804"/>
      <c r="FU457" s="1804"/>
      <c r="FV457" s="1804"/>
      <c r="FW457" s="1804"/>
      <c r="FX457" s="1804"/>
      <c r="FY457" s="1804"/>
      <c r="FZ457" s="1804"/>
      <c r="GA457" s="1804"/>
      <c r="GB457" s="1804"/>
      <c r="GC457" s="1804"/>
      <c r="GD457" s="1804"/>
      <c r="GE457" s="1804"/>
      <c r="GF457" s="1804"/>
      <c r="GG457" s="1804"/>
      <c r="GH457" s="1804"/>
      <c r="GI457" s="1804"/>
      <c r="GJ457" s="1804"/>
      <c r="GK457" s="1804"/>
      <c r="GL457" s="1804"/>
      <c r="GM457" s="1804"/>
      <c r="GN457" s="1804"/>
      <c r="GO457" s="1804"/>
      <c r="GP457" s="1804"/>
      <c r="GQ457" s="1804"/>
      <c r="GR457" s="1804"/>
      <c r="GS457" s="1804"/>
      <c r="GT457" s="1804"/>
      <c r="GU457" s="1804"/>
      <c r="GV457" s="1804"/>
      <c r="GW457" s="1804"/>
      <c r="GX457" s="1804"/>
      <c r="GY457" s="1804"/>
      <c r="GZ457" s="1804"/>
      <c r="HA457" s="1804"/>
      <c r="HB457" s="1804"/>
      <c r="HC457" s="1804"/>
      <c r="HD457" s="1804"/>
      <c r="HE457" s="1804"/>
      <c r="HF457" s="1804"/>
      <c r="HG457" s="1804"/>
      <c r="HH457" s="1804"/>
      <c r="HI457" s="1804"/>
      <c r="HJ457" s="1804"/>
      <c r="HK457" s="1804"/>
      <c r="HL457" s="1804"/>
      <c r="HM457" s="1804"/>
      <c r="HN457" s="1804"/>
      <c r="HO457" s="1804"/>
      <c r="HP457" s="1804"/>
      <c r="HQ457" s="1804"/>
      <c r="HR457" s="1804"/>
      <c r="HS457" s="1804"/>
      <c r="HT457" s="1804"/>
      <c r="HU457" s="1804"/>
      <c r="HV457" s="1804"/>
      <c r="HW457" s="1804"/>
      <c r="HX457" s="1804"/>
      <c r="HY457" s="1804"/>
      <c r="HZ457" s="1804"/>
      <c r="IA457" s="1804"/>
      <c r="IB457" s="1804"/>
      <c r="IC457" s="1804"/>
      <c r="ID457" s="1804"/>
      <c r="IE457" s="1804"/>
      <c r="IF457" s="1804"/>
      <c r="IG457" s="1804"/>
      <c r="IH457" s="1804"/>
      <c r="II457" s="1804"/>
      <c r="IJ457" s="1804"/>
      <c r="IK457" s="1804"/>
      <c r="IL457" s="1804"/>
      <c r="IM457" s="1804"/>
      <c r="IN457" s="1804"/>
      <c r="IO457" s="1804"/>
      <c r="IP457" s="1804"/>
      <c r="IQ457" s="1804"/>
      <c r="IR457" s="1804"/>
      <c r="IS457" s="1804"/>
      <c r="IT457" s="1804"/>
      <c r="IU457" s="1804"/>
      <c r="IV457" s="1804"/>
      <c r="IW457" s="1804"/>
    </row>
    <row r="458" spans="3:257" s="888" customFormat="1" x14ac:dyDescent="0.45">
      <c r="C458" s="67" t="s">
        <v>555</v>
      </c>
      <c r="D458" s="68" t="s">
        <v>658</v>
      </c>
      <c r="E458" s="69"/>
      <c r="F458" s="153">
        <v>950403</v>
      </c>
      <c r="G458" s="153">
        <v>3195258</v>
      </c>
      <c r="H458" s="153">
        <v>32420029</v>
      </c>
      <c r="I458" s="153">
        <v>17711112</v>
      </c>
      <c r="J458" s="153">
        <v>154937</v>
      </c>
      <c r="K458" s="153">
        <v>9899177</v>
      </c>
      <c r="L458" s="153">
        <v>7973736</v>
      </c>
      <c r="M458" s="153">
        <v>2446439</v>
      </c>
      <c r="N458" s="153">
        <v>8060919</v>
      </c>
      <c r="O458" s="154">
        <v>2782609</v>
      </c>
      <c r="P458" s="165">
        <f t="shared" si="76"/>
        <v>52069250</v>
      </c>
      <c r="Q458" s="166">
        <f t="shared" si="77"/>
        <v>33525369</v>
      </c>
      <c r="R458" s="168">
        <f t="shared" si="75"/>
        <v>85594619</v>
      </c>
      <c r="S458" s="155">
        <f t="shared" si="78"/>
        <v>868165338.12100005</v>
      </c>
      <c r="T458" s="1804"/>
      <c r="U458" s="1804"/>
      <c r="V458" s="1804"/>
      <c r="W458" s="1804"/>
      <c r="X458" s="1804"/>
      <c r="Y458" s="1804"/>
      <c r="Z458" s="1804"/>
      <c r="AA458" s="1804"/>
      <c r="AB458" s="1804"/>
      <c r="AC458" s="1804"/>
      <c r="AD458" s="1804"/>
      <c r="AE458" s="1804"/>
      <c r="AF458" s="1804"/>
      <c r="AG458" s="1804"/>
      <c r="AH458" s="1804"/>
      <c r="AI458" s="1804"/>
      <c r="AJ458" s="1804"/>
      <c r="AK458" s="1804"/>
      <c r="AL458" s="1804"/>
      <c r="AM458" s="1804"/>
      <c r="AN458" s="1804"/>
      <c r="AO458" s="1804"/>
      <c r="AP458" s="1804"/>
      <c r="AQ458" s="1804"/>
      <c r="AR458" s="1804"/>
      <c r="AS458" s="1804"/>
      <c r="AT458" s="1804"/>
      <c r="AU458" s="1804"/>
      <c r="AV458" s="1804"/>
      <c r="AW458" s="1804"/>
      <c r="AX458" s="1804"/>
      <c r="AY458" s="1804"/>
      <c r="AZ458" s="1804"/>
      <c r="BA458" s="1804"/>
      <c r="BB458" s="1804"/>
      <c r="BC458" s="1804"/>
      <c r="BD458" s="1804"/>
      <c r="BE458" s="1804"/>
      <c r="BF458" s="1804"/>
      <c r="BG458" s="1804"/>
      <c r="BH458" s="1804"/>
      <c r="BI458" s="1804"/>
      <c r="BJ458" s="1804"/>
      <c r="BK458" s="1804"/>
      <c r="BL458" s="1804"/>
      <c r="BM458" s="1804"/>
      <c r="BN458" s="1804"/>
      <c r="BO458" s="1804"/>
      <c r="BP458" s="1804"/>
      <c r="BQ458" s="1804"/>
      <c r="BR458" s="1804"/>
      <c r="BS458" s="1804"/>
      <c r="BT458" s="1804"/>
      <c r="BU458" s="1804"/>
      <c r="BV458" s="1804"/>
      <c r="BW458" s="1804"/>
      <c r="BX458" s="1804"/>
      <c r="BY458" s="1804"/>
      <c r="BZ458" s="1804"/>
      <c r="CA458" s="1804"/>
      <c r="CB458" s="1804"/>
      <c r="CC458" s="1804"/>
      <c r="CD458" s="1804"/>
      <c r="CE458" s="1804"/>
      <c r="CF458" s="1804"/>
      <c r="CG458" s="1804"/>
      <c r="CH458" s="1804"/>
      <c r="CI458" s="1804"/>
      <c r="CJ458" s="1804"/>
      <c r="CK458" s="1804"/>
      <c r="CL458" s="1804"/>
      <c r="CM458" s="1804"/>
      <c r="CN458" s="1804"/>
      <c r="CO458" s="1804"/>
      <c r="CP458" s="1804"/>
      <c r="CQ458" s="1804"/>
      <c r="CR458" s="1804"/>
      <c r="CS458" s="1804"/>
      <c r="CT458" s="1804"/>
      <c r="CU458" s="1804"/>
      <c r="CV458" s="1804"/>
      <c r="CW458" s="1804"/>
      <c r="CX458" s="1804"/>
      <c r="CY458" s="1804"/>
      <c r="CZ458" s="1804"/>
      <c r="DA458" s="1804"/>
      <c r="DB458" s="1804"/>
      <c r="DC458" s="1804"/>
      <c r="DD458" s="1804"/>
      <c r="DE458" s="1804"/>
      <c r="DF458" s="1804"/>
      <c r="DG458" s="1804"/>
      <c r="DH458" s="1804"/>
      <c r="DI458" s="1804"/>
      <c r="DJ458" s="1804"/>
      <c r="DK458" s="1804"/>
      <c r="DL458" s="1804"/>
      <c r="DM458" s="1804"/>
      <c r="DN458" s="1804"/>
      <c r="DO458" s="1804"/>
      <c r="DP458" s="1804"/>
      <c r="DQ458" s="1804"/>
      <c r="DR458" s="1804"/>
      <c r="DS458" s="1804"/>
      <c r="DT458" s="1804"/>
      <c r="DU458" s="1804"/>
      <c r="DV458" s="1804"/>
      <c r="DW458" s="1804"/>
      <c r="DX458" s="1804"/>
      <c r="DY458" s="1804"/>
      <c r="DZ458" s="1804"/>
      <c r="EA458" s="1804"/>
      <c r="EB458" s="1804"/>
      <c r="EC458" s="1804"/>
      <c r="ED458" s="1804"/>
      <c r="EE458" s="1804"/>
      <c r="EF458" s="1804"/>
      <c r="EG458" s="1804"/>
      <c r="EH458" s="1804"/>
      <c r="EI458" s="1804"/>
      <c r="EJ458" s="1804"/>
      <c r="EK458" s="1804"/>
      <c r="EL458" s="1804"/>
      <c r="EM458" s="1804"/>
      <c r="EN458" s="1804"/>
      <c r="EO458" s="1804"/>
      <c r="EP458" s="1804"/>
      <c r="EQ458" s="1804"/>
      <c r="ER458" s="1804"/>
      <c r="ES458" s="1804"/>
      <c r="ET458" s="1804"/>
      <c r="EU458" s="1804"/>
      <c r="EV458" s="1804"/>
      <c r="EW458" s="1804"/>
      <c r="EX458" s="1804"/>
      <c r="EY458" s="1804"/>
      <c r="EZ458" s="1804"/>
      <c r="FA458" s="1804"/>
      <c r="FB458" s="1804"/>
      <c r="FC458" s="1804"/>
      <c r="FD458" s="1804"/>
      <c r="FE458" s="1804"/>
      <c r="FF458" s="1804"/>
      <c r="FG458" s="1804"/>
      <c r="FH458" s="1804"/>
      <c r="FI458" s="1804"/>
      <c r="FJ458" s="1804"/>
      <c r="FK458" s="1804"/>
      <c r="FL458" s="1804"/>
      <c r="FM458" s="1804"/>
      <c r="FN458" s="1804"/>
      <c r="FO458" s="1804"/>
      <c r="FP458" s="1804"/>
      <c r="FQ458" s="1804"/>
      <c r="FR458" s="1804"/>
      <c r="FS458" s="1804"/>
      <c r="FT458" s="1804"/>
      <c r="FU458" s="1804"/>
      <c r="FV458" s="1804"/>
      <c r="FW458" s="1804"/>
      <c r="FX458" s="1804"/>
      <c r="FY458" s="1804"/>
      <c r="FZ458" s="1804"/>
      <c r="GA458" s="1804"/>
      <c r="GB458" s="1804"/>
      <c r="GC458" s="1804"/>
      <c r="GD458" s="1804"/>
      <c r="GE458" s="1804"/>
      <c r="GF458" s="1804"/>
      <c r="GG458" s="1804"/>
      <c r="GH458" s="1804"/>
      <c r="GI458" s="1804"/>
      <c r="GJ458" s="1804"/>
      <c r="GK458" s="1804"/>
      <c r="GL458" s="1804"/>
      <c r="GM458" s="1804"/>
      <c r="GN458" s="1804"/>
      <c r="GO458" s="1804"/>
      <c r="GP458" s="1804"/>
      <c r="GQ458" s="1804"/>
      <c r="GR458" s="1804"/>
      <c r="GS458" s="1804"/>
      <c r="GT458" s="1804"/>
      <c r="GU458" s="1804"/>
      <c r="GV458" s="1804"/>
      <c r="GW458" s="1804"/>
      <c r="GX458" s="1804"/>
      <c r="GY458" s="1804"/>
      <c r="GZ458" s="1804"/>
      <c r="HA458" s="1804"/>
      <c r="HB458" s="1804"/>
      <c r="HC458" s="1804"/>
      <c r="HD458" s="1804"/>
      <c r="HE458" s="1804"/>
      <c r="HF458" s="1804"/>
      <c r="HG458" s="1804"/>
      <c r="HH458" s="1804"/>
      <c r="HI458" s="1804"/>
      <c r="HJ458" s="1804"/>
      <c r="HK458" s="1804"/>
      <c r="HL458" s="1804"/>
      <c r="HM458" s="1804"/>
      <c r="HN458" s="1804"/>
      <c r="HO458" s="1804"/>
      <c r="HP458" s="1804"/>
      <c r="HQ458" s="1804"/>
      <c r="HR458" s="1804"/>
      <c r="HS458" s="1804"/>
      <c r="HT458" s="1804"/>
      <c r="HU458" s="1804"/>
      <c r="HV458" s="1804"/>
      <c r="HW458" s="1804"/>
      <c r="HX458" s="1804"/>
      <c r="HY458" s="1804"/>
      <c r="HZ458" s="1804"/>
      <c r="IA458" s="1804"/>
      <c r="IB458" s="1804"/>
      <c r="IC458" s="1804"/>
      <c r="ID458" s="1804"/>
      <c r="IE458" s="1804"/>
      <c r="IF458" s="1804"/>
      <c r="IG458" s="1804"/>
      <c r="IH458" s="1804"/>
      <c r="II458" s="1804"/>
      <c r="IJ458" s="1804"/>
      <c r="IK458" s="1804"/>
      <c r="IL458" s="1804"/>
      <c r="IM458" s="1804"/>
      <c r="IN458" s="1804"/>
      <c r="IO458" s="1804"/>
      <c r="IP458" s="1804"/>
      <c r="IQ458" s="1804"/>
      <c r="IR458" s="1804"/>
      <c r="IS458" s="1804"/>
      <c r="IT458" s="1804"/>
      <c r="IU458" s="1804"/>
      <c r="IV458" s="1804"/>
      <c r="IW458" s="1804"/>
    </row>
    <row r="459" spans="3:257" s="888" customFormat="1" x14ac:dyDescent="0.45">
      <c r="C459" s="67" t="s">
        <v>556</v>
      </c>
      <c r="D459" s="68" t="s">
        <v>659</v>
      </c>
      <c r="E459" s="69"/>
      <c r="F459" s="153">
        <v>1301257</v>
      </c>
      <c r="G459" s="153">
        <v>2286431</v>
      </c>
      <c r="H459" s="153">
        <v>24711054</v>
      </c>
      <c r="I459" s="153">
        <v>13472334</v>
      </c>
      <c r="J459" s="153">
        <v>124812</v>
      </c>
      <c r="K459" s="153">
        <v>7703674</v>
      </c>
      <c r="L459" s="153">
        <v>7949650</v>
      </c>
      <c r="M459" s="153">
        <v>1387527</v>
      </c>
      <c r="N459" s="153">
        <v>5863383</v>
      </c>
      <c r="O459" s="154">
        <v>1407621</v>
      </c>
      <c r="P459" s="165">
        <f t="shared" si="76"/>
        <v>40070620</v>
      </c>
      <c r="Q459" s="166">
        <f t="shared" si="77"/>
        <v>26137123</v>
      </c>
      <c r="R459" s="168">
        <f t="shared" si="75"/>
        <v>66207743</v>
      </c>
      <c r="S459" s="155">
        <f t="shared" si="78"/>
        <v>671298417.91699994</v>
      </c>
      <c r="T459" s="1804"/>
      <c r="U459" s="1804"/>
      <c r="V459" s="1804"/>
      <c r="W459" s="1804"/>
      <c r="X459" s="1804"/>
      <c r="Y459" s="1804"/>
      <c r="Z459" s="1804"/>
      <c r="AA459" s="1804"/>
      <c r="AB459" s="1804"/>
      <c r="AC459" s="1804"/>
      <c r="AD459" s="1804"/>
      <c r="AE459" s="1804"/>
      <c r="AF459" s="1804"/>
      <c r="AG459" s="1804"/>
      <c r="AH459" s="1804"/>
      <c r="AI459" s="1804"/>
      <c r="AJ459" s="1804"/>
      <c r="AK459" s="1804"/>
      <c r="AL459" s="1804"/>
      <c r="AM459" s="1804"/>
      <c r="AN459" s="1804"/>
      <c r="AO459" s="1804"/>
      <c r="AP459" s="1804"/>
      <c r="AQ459" s="1804"/>
      <c r="AR459" s="1804"/>
      <c r="AS459" s="1804"/>
      <c r="AT459" s="1804"/>
      <c r="AU459" s="1804"/>
      <c r="AV459" s="1804"/>
      <c r="AW459" s="1804"/>
      <c r="AX459" s="1804"/>
      <c r="AY459" s="1804"/>
      <c r="AZ459" s="1804"/>
      <c r="BA459" s="1804"/>
      <c r="BB459" s="1804"/>
      <c r="BC459" s="1804"/>
      <c r="BD459" s="1804"/>
      <c r="BE459" s="1804"/>
      <c r="BF459" s="1804"/>
      <c r="BG459" s="1804"/>
      <c r="BH459" s="1804"/>
      <c r="BI459" s="1804"/>
      <c r="BJ459" s="1804"/>
      <c r="BK459" s="1804"/>
      <c r="BL459" s="1804"/>
      <c r="BM459" s="1804"/>
      <c r="BN459" s="1804"/>
      <c r="BO459" s="1804"/>
      <c r="BP459" s="1804"/>
      <c r="BQ459" s="1804"/>
      <c r="BR459" s="1804"/>
      <c r="BS459" s="1804"/>
      <c r="BT459" s="1804"/>
      <c r="BU459" s="1804"/>
      <c r="BV459" s="1804"/>
      <c r="BW459" s="1804"/>
      <c r="BX459" s="1804"/>
      <c r="BY459" s="1804"/>
      <c r="BZ459" s="1804"/>
      <c r="CA459" s="1804"/>
      <c r="CB459" s="1804"/>
      <c r="CC459" s="1804"/>
      <c r="CD459" s="1804"/>
      <c r="CE459" s="1804"/>
      <c r="CF459" s="1804"/>
      <c r="CG459" s="1804"/>
      <c r="CH459" s="1804"/>
      <c r="CI459" s="1804"/>
      <c r="CJ459" s="1804"/>
      <c r="CK459" s="1804"/>
      <c r="CL459" s="1804"/>
      <c r="CM459" s="1804"/>
      <c r="CN459" s="1804"/>
      <c r="CO459" s="1804"/>
      <c r="CP459" s="1804"/>
      <c r="CQ459" s="1804"/>
      <c r="CR459" s="1804"/>
      <c r="CS459" s="1804"/>
      <c r="CT459" s="1804"/>
      <c r="CU459" s="1804"/>
      <c r="CV459" s="1804"/>
      <c r="CW459" s="1804"/>
      <c r="CX459" s="1804"/>
      <c r="CY459" s="1804"/>
      <c r="CZ459" s="1804"/>
      <c r="DA459" s="1804"/>
      <c r="DB459" s="1804"/>
      <c r="DC459" s="1804"/>
      <c r="DD459" s="1804"/>
      <c r="DE459" s="1804"/>
      <c r="DF459" s="1804"/>
      <c r="DG459" s="1804"/>
      <c r="DH459" s="1804"/>
      <c r="DI459" s="1804"/>
      <c r="DJ459" s="1804"/>
      <c r="DK459" s="1804"/>
      <c r="DL459" s="1804"/>
      <c r="DM459" s="1804"/>
      <c r="DN459" s="1804"/>
      <c r="DO459" s="1804"/>
      <c r="DP459" s="1804"/>
      <c r="DQ459" s="1804"/>
      <c r="DR459" s="1804"/>
      <c r="DS459" s="1804"/>
      <c r="DT459" s="1804"/>
      <c r="DU459" s="1804"/>
      <c r="DV459" s="1804"/>
      <c r="DW459" s="1804"/>
      <c r="DX459" s="1804"/>
      <c r="DY459" s="1804"/>
      <c r="DZ459" s="1804"/>
      <c r="EA459" s="1804"/>
      <c r="EB459" s="1804"/>
      <c r="EC459" s="1804"/>
      <c r="ED459" s="1804"/>
      <c r="EE459" s="1804"/>
      <c r="EF459" s="1804"/>
      <c r="EG459" s="1804"/>
      <c r="EH459" s="1804"/>
      <c r="EI459" s="1804"/>
      <c r="EJ459" s="1804"/>
      <c r="EK459" s="1804"/>
      <c r="EL459" s="1804"/>
      <c r="EM459" s="1804"/>
      <c r="EN459" s="1804"/>
      <c r="EO459" s="1804"/>
      <c r="EP459" s="1804"/>
      <c r="EQ459" s="1804"/>
      <c r="ER459" s="1804"/>
      <c r="ES459" s="1804"/>
      <c r="ET459" s="1804"/>
      <c r="EU459" s="1804"/>
      <c r="EV459" s="1804"/>
      <c r="EW459" s="1804"/>
      <c r="EX459" s="1804"/>
      <c r="EY459" s="1804"/>
      <c r="EZ459" s="1804"/>
      <c r="FA459" s="1804"/>
      <c r="FB459" s="1804"/>
      <c r="FC459" s="1804"/>
      <c r="FD459" s="1804"/>
      <c r="FE459" s="1804"/>
      <c r="FF459" s="1804"/>
      <c r="FG459" s="1804"/>
      <c r="FH459" s="1804"/>
      <c r="FI459" s="1804"/>
      <c r="FJ459" s="1804"/>
      <c r="FK459" s="1804"/>
      <c r="FL459" s="1804"/>
      <c r="FM459" s="1804"/>
      <c r="FN459" s="1804"/>
      <c r="FO459" s="1804"/>
      <c r="FP459" s="1804"/>
      <c r="FQ459" s="1804"/>
      <c r="FR459" s="1804"/>
      <c r="FS459" s="1804"/>
      <c r="FT459" s="1804"/>
      <c r="FU459" s="1804"/>
      <c r="FV459" s="1804"/>
      <c r="FW459" s="1804"/>
      <c r="FX459" s="1804"/>
      <c r="FY459" s="1804"/>
      <c r="FZ459" s="1804"/>
      <c r="GA459" s="1804"/>
      <c r="GB459" s="1804"/>
      <c r="GC459" s="1804"/>
      <c r="GD459" s="1804"/>
      <c r="GE459" s="1804"/>
      <c r="GF459" s="1804"/>
      <c r="GG459" s="1804"/>
      <c r="GH459" s="1804"/>
      <c r="GI459" s="1804"/>
      <c r="GJ459" s="1804"/>
      <c r="GK459" s="1804"/>
      <c r="GL459" s="1804"/>
      <c r="GM459" s="1804"/>
      <c r="GN459" s="1804"/>
      <c r="GO459" s="1804"/>
      <c r="GP459" s="1804"/>
      <c r="GQ459" s="1804"/>
      <c r="GR459" s="1804"/>
      <c r="GS459" s="1804"/>
      <c r="GT459" s="1804"/>
      <c r="GU459" s="1804"/>
      <c r="GV459" s="1804"/>
      <c r="GW459" s="1804"/>
      <c r="GX459" s="1804"/>
      <c r="GY459" s="1804"/>
      <c r="GZ459" s="1804"/>
      <c r="HA459" s="1804"/>
      <c r="HB459" s="1804"/>
      <c r="HC459" s="1804"/>
      <c r="HD459" s="1804"/>
      <c r="HE459" s="1804"/>
      <c r="HF459" s="1804"/>
      <c r="HG459" s="1804"/>
      <c r="HH459" s="1804"/>
      <c r="HI459" s="1804"/>
      <c r="HJ459" s="1804"/>
      <c r="HK459" s="1804"/>
      <c r="HL459" s="1804"/>
      <c r="HM459" s="1804"/>
      <c r="HN459" s="1804"/>
      <c r="HO459" s="1804"/>
      <c r="HP459" s="1804"/>
      <c r="HQ459" s="1804"/>
      <c r="HR459" s="1804"/>
      <c r="HS459" s="1804"/>
      <c r="HT459" s="1804"/>
      <c r="HU459" s="1804"/>
      <c r="HV459" s="1804"/>
      <c r="HW459" s="1804"/>
      <c r="HX459" s="1804"/>
      <c r="HY459" s="1804"/>
      <c r="HZ459" s="1804"/>
      <c r="IA459" s="1804"/>
      <c r="IB459" s="1804"/>
      <c r="IC459" s="1804"/>
      <c r="ID459" s="1804"/>
      <c r="IE459" s="1804"/>
      <c r="IF459" s="1804"/>
      <c r="IG459" s="1804"/>
      <c r="IH459" s="1804"/>
      <c r="II459" s="1804"/>
      <c r="IJ459" s="1804"/>
      <c r="IK459" s="1804"/>
      <c r="IL459" s="1804"/>
      <c r="IM459" s="1804"/>
      <c r="IN459" s="1804"/>
      <c r="IO459" s="1804"/>
      <c r="IP459" s="1804"/>
      <c r="IQ459" s="1804"/>
      <c r="IR459" s="1804"/>
      <c r="IS459" s="1804"/>
      <c r="IT459" s="1804"/>
      <c r="IU459" s="1804"/>
      <c r="IV459" s="1804"/>
      <c r="IW459" s="1804"/>
    </row>
    <row r="460" spans="3:257" s="888" customFormat="1" x14ac:dyDescent="0.45">
      <c r="C460" s="67" t="s">
        <v>557</v>
      </c>
      <c r="D460" s="68" t="s">
        <v>660</v>
      </c>
      <c r="E460" s="69"/>
      <c r="F460" s="153">
        <v>692421</v>
      </c>
      <c r="G460" s="153">
        <v>2383918</v>
      </c>
      <c r="H460" s="153">
        <v>15218926</v>
      </c>
      <c r="I460" s="153">
        <v>8230833</v>
      </c>
      <c r="J460" s="153">
        <v>83534</v>
      </c>
      <c r="K460" s="153">
        <v>5181411</v>
      </c>
      <c r="L460" s="153">
        <v>8139426</v>
      </c>
      <c r="M460" s="153">
        <v>1037184</v>
      </c>
      <c r="N460" s="153">
        <v>4670720</v>
      </c>
      <c r="O460" s="154">
        <v>1116114</v>
      </c>
      <c r="P460" s="165">
        <f t="shared" si="76"/>
        <v>30759606</v>
      </c>
      <c r="Q460" s="166">
        <f t="shared" si="77"/>
        <v>15994881</v>
      </c>
      <c r="R460" s="168">
        <f t="shared" si="75"/>
        <v>46754487</v>
      </c>
      <c r="S460" s="155">
        <f t="shared" si="78"/>
        <v>476824489.67699999</v>
      </c>
      <c r="T460" s="1804"/>
      <c r="U460" s="1804"/>
      <c r="V460" s="1804"/>
      <c r="W460" s="1804"/>
      <c r="X460" s="1804"/>
      <c r="Y460" s="1804"/>
      <c r="Z460" s="1804"/>
      <c r="AA460" s="1804"/>
      <c r="AB460" s="1804"/>
      <c r="AC460" s="1804"/>
      <c r="AD460" s="1804"/>
      <c r="AE460" s="1804"/>
      <c r="AF460" s="1804"/>
      <c r="AG460" s="1804"/>
      <c r="AH460" s="1804"/>
      <c r="AI460" s="1804"/>
      <c r="AJ460" s="1804"/>
      <c r="AK460" s="1804"/>
      <c r="AL460" s="1804"/>
      <c r="AM460" s="1804"/>
      <c r="AN460" s="1804"/>
      <c r="AO460" s="1804"/>
      <c r="AP460" s="1804"/>
      <c r="AQ460" s="1804"/>
      <c r="AR460" s="1804"/>
      <c r="AS460" s="1804"/>
      <c r="AT460" s="1804"/>
      <c r="AU460" s="1804"/>
      <c r="AV460" s="1804"/>
      <c r="AW460" s="1804"/>
      <c r="AX460" s="1804"/>
      <c r="AY460" s="1804"/>
      <c r="AZ460" s="1804"/>
      <c r="BA460" s="1804"/>
      <c r="BB460" s="1804"/>
      <c r="BC460" s="1804"/>
      <c r="BD460" s="1804"/>
      <c r="BE460" s="1804"/>
      <c r="BF460" s="1804"/>
      <c r="BG460" s="1804"/>
      <c r="BH460" s="1804"/>
      <c r="BI460" s="1804"/>
      <c r="BJ460" s="1804"/>
      <c r="BK460" s="1804"/>
      <c r="BL460" s="1804"/>
      <c r="BM460" s="1804"/>
      <c r="BN460" s="1804"/>
      <c r="BO460" s="1804"/>
      <c r="BP460" s="1804"/>
      <c r="BQ460" s="1804"/>
      <c r="BR460" s="1804"/>
      <c r="BS460" s="1804"/>
      <c r="BT460" s="1804"/>
      <c r="BU460" s="1804"/>
      <c r="BV460" s="1804"/>
      <c r="BW460" s="1804"/>
      <c r="BX460" s="1804"/>
      <c r="BY460" s="1804"/>
      <c r="BZ460" s="1804"/>
      <c r="CA460" s="1804"/>
      <c r="CB460" s="1804"/>
      <c r="CC460" s="1804"/>
      <c r="CD460" s="1804"/>
      <c r="CE460" s="1804"/>
      <c r="CF460" s="1804"/>
      <c r="CG460" s="1804"/>
      <c r="CH460" s="1804"/>
      <c r="CI460" s="1804"/>
      <c r="CJ460" s="1804"/>
      <c r="CK460" s="1804"/>
      <c r="CL460" s="1804"/>
      <c r="CM460" s="1804"/>
      <c r="CN460" s="1804"/>
      <c r="CO460" s="1804"/>
      <c r="CP460" s="1804"/>
      <c r="CQ460" s="1804"/>
      <c r="CR460" s="1804"/>
      <c r="CS460" s="1804"/>
      <c r="CT460" s="1804"/>
      <c r="CU460" s="1804"/>
      <c r="CV460" s="1804"/>
      <c r="CW460" s="1804"/>
      <c r="CX460" s="1804"/>
      <c r="CY460" s="1804"/>
      <c r="CZ460" s="1804"/>
      <c r="DA460" s="1804"/>
      <c r="DB460" s="1804"/>
      <c r="DC460" s="1804"/>
      <c r="DD460" s="1804"/>
      <c r="DE460" s="1804"/>
      <c r="DF460" s="1804"/>
      <c r="DG460" s="1804"/>
      <c r="DH460" s="1804"/>
      <c r="DI460" s="1804"/>
      <c r="DJ460" s="1804"/>
      <c r="DK460" s="1804"/>
      <c r="DL460" s="1804"/>
      <c r="DM460" s="1804"/>
      <c r="DN460" s="1804"/>
      <c r="DO460" s="1804"/>
      <c r="DP460" s="1804"/>
      <c r="DQ460" s="1804"/>
      <c r="DR460" s="1804"/>
      <c r="DS460" s="1804"/>
      <c r="DT460" s="1804"/>
      <c r="DU460" s="1804"/>
      <c r="DV460" s="1804"/>
      <c r="DW460" s="1804"/>
      <c r="DX460" s="1804"/>
      <c r="DY460" s="1804"/>
      <c r="DZ460" s="1804"/>
      <c r="EA460" s="1804"/>
      <c r="EB460" s="1804"/>
      <c r="EC460" s="1804"/>
      <c r="ED460" s="1804"/>
      <c r="EE460" s="1804"/>
      <c r="EF460" s="1804"/>
      <c r="EG460" s="1804"/>
      <c r="EH460" s="1804"/>
      <c r="EI460" s="1804"/>
      <c r="EJ460" s="1804"/>
      <c r="EK460" s="1804"/>
      <c r="EL460" s="1804"/>
      <c r="EM460" s="1804"/>
      <c r="EN460" s="1804"/>
      <c r="EO460" s="1804"/>
      <c r="EP460" s="1804"/>
      <c r="EQ460" s="1804"/>
      <c r="ER460" s="1804"/>
      <c r="ES460" s="1804"/>
      <c r="ET460" s="1804"/>
      <c r="EU460" s="1804"/>
      <c r="EV460" s="1804"/>
      <c r="EW460" s="1804"/>
      <c r="EX460" s="1804"/>
      <c r="EY460" s="1804"/>
      <c r="EZ460" s="1804"/>
      <c r="FA460" s="1804"/>
      <c r="FB460" s="1804"/>
      <c r="FC460" s="1804"/>
      <c r="FD460" s="1804"/>
      <c r="FE460" s="1804"/>
      <c r="FF460" s="1804"/>
      <c r="FG460" s="1804"/>
      <c r="FH460" s="1804"/>
      <c r="FI460" s="1804"/>
      <c r="FJ460" s="1804"/>
      <c r="FK460" s="1804"/>
      <c r="FL460" s="1804"/>
      <c r="FM460" s="1804"/>
      <c r="FN460" s="1804"/>
      <c r="FO460" s="1804"/>
      <c r="FP460" s="1804"/>
      <c r="FQ460" s="1804"/>
      <c r="FR460" s="1804"/>
      <c r="FS460" s="1804"/>
      <c r="FT460" s="1804"/>
      <c r="FU460" s="1804"/>
      <c r="FV460" s="1804"/>
      <c r="FW460" s="1804"/>
      <c r="FX460" s="1804"/>
      <c r="FY460" s="1804"/>
      <c r="FZ460" s="1804"/>
      <c r="GA460" s="1804"/>
      <c r="GB460" s="1804"/>
      <c r="GC460" s="1804"/>
      <c r="GD460" s="1804"/>
      <c r="GE460" s="1804"/>
      <c r="GF460" s="1804"/>
      <c r="GG460" s="1804"/>
      <c r="GH460" s="1804"/>
      <c r="GI460" s="1804"/>
      <c r="GJ460" s="1804"/>
      <c r="GK460" s="1804"/>
      <c r="GL460" s="1804"/>
      <c r="GM460" s="1804"/>
      <c r="GN460" s="1804"/>
      <c r="GO460" s="1804"/>
      <c r="GP460" s="1804"/>
      <c r="GQ460" s="1804"/>
      <c r="GR460" s="1804"/>
      <c r="GS460" s="1804"/>
      <c r="GT460" s="1804"/>
      <c r="GU460" s="1804"/>
      <c r="GV460" s="1804"/>
      <c r="GW460" s="1804"/>
      <c r="GX460" s="1804"/>
      <c r="GY460" s="1804"/>
      <c r="GZ460" s="1804"/>
      <c r="HA460" s="1804"/>
      <c r="HB460" s="1804"/>
      <c r="HC460" s="1804"/>
      <c r="HD460" s="1804"/>
      <c r="HE460" s="1804"/>
      <c r="HF460" s="1804"/>
      <c r="HG460" s="1804"/>
      <c r="HH460" s="1804"/>
      <c r="HI460" s="1804"/>
      <c r="HJ460" s="1804"/>
      <c r="HK460" s="1804"/>
      <c r="HL460" s="1804"/>
      <c r="HM460" s="1804"/>
      <c r="HN460" s="1804"/>
      <c r="HO460" s="1804"/>
      <c r="HP460" s="1804"/>
      <c r="HQ460" s="1804"/>
      <c r="HR460" s="1804"/>
      <c r="HS460" s="1804"/>
      <c r="HT460" s="1804"/>
      <c r="HU460" s="1804"/>
      <c r="HV460" s="1804"/>
      <c r="HW460" s="1804"/>
      <c r="HX460" s="1804"/>
      <c r="HY460" s="1804"/>
      <c r="HZ460" s="1804"/>
      <c r="IA460" s="1804"/>
      <c r="IB460" s="1804"/>
      <c r="IC460" s="1804"/>
      <c r="ID460" s="1804"/>
      <c r="IE460" s="1804"/>
      <c r="IF460" s="1804"/>
      <c r="IG460" s="1804"/>
      <c r="IH460" s="1804"/>
      <c r="II460" s="1804"/>
      <c r="IJ460" s="1804"/>
      <c r="IK460" s="1804"/>
      <c r="IL460" s="1804"/>
      <c r="IM460" s="1804"/>
      <c r="IN460" s="1804"/>
      <c r="IO460" s="1804"/>
      <c r="IP460" s="1804"/>
      <c r="IQ460" s="1804"/>
      <c r="IR460" s="1804"/>
      <c r="IS460" s="1804"/>
      <c r="IT460" s="1804"/>
      <c r="IU460" s="1804"/>
      <c r="IV460" s="1804"/>
      <c r="IW460" s="1804"/>
    </row>
    <row r="461" spans="3:257" s="888" customFormat="1" x14ac:dyDescent="0.45">
      <c r="C461" s="67" t="s">
        <v>558</v>
      </c>
      <c r="D461" s="68" t="s">
        <v>661</v>
      </c>
      <c r="E461" s="69"/>
      <c r="F461" s="153">
        <v>2030816</v>
      </c>
      <c r="G461" s="153">
        <v>15889610</v>
      </c>
      <c r="H461" s="153">
        <v>22524693</v>
      </c>
      <c r="I461" s="153">
        <v>12917328</v>
      </c>
      <c r="J461" s="153">
        <v>163820</v>
      </c>
      <c r="K461" s="153">
        <v>10062575</v>
      </c>
      <c r="L461" s="153">
        <v>15849615</v>
      </c>
      <c r="M461" s="153">
        <v>6166354</v>
      </c>
      <c r="N461" s="153">
        <v>7350335</v>
      </c>
      <c r="O461" s="154">
        <v>1602261</v>
      </c>
      <c r="P461" s="165">
        <f t="shared" si="76"/>
        <v>69838078</v>
      </c>
      <c r="Q461" s="166">
        <f t="shared" si="77"/>
        <v>24719329</v>
      </c>
      <c r="R461" s="168">
        <f t="shared" si="75"/>
        <v>94557407</v>
      </c>
      <c r="S461" s="155">
        <f t="shared" si="78"/>
        <v>972916512.4849999</v>
      </c>
      <c r="T461" s="1804"/>
      <c r="U461" s="1804"/>
      <c r="V461" s="1804"/>
      <c r="W461" s="1804"/>
      <c r="X461" s="1804"/>
      <c r="Y461" s="1804"/>
      <c r="Z461" s="1804"/>
      <c r="AA461" s="1804"/>
      <c r="AB461" s="1804"/>
      <c r="AC461" s="1804"/>
      <c r="AD461" s="1804"/>
      <c r="AE461" s="1804"/>
      <c r="AF461" s="1804"/>
      <c r="AG461" s="1804"/>
      <c r="AH461" s="1804"/>
      <c r="AI461" s="1804"/>
      <c r="AJ461" s="1804"/>
      <c r="AK461" s="1804"/>
      <c r="AL461" s="1804"/>
      <c r="AM461" s="1804"/>
      <c r="AN461" s="1804"/>
      <c r="AO461" s="1804"/>
      <c r="AP461" s="1804"/>
      <c r="AQ461" s="1804"/>
      <c r="AR461" s="1804"/>
      <c r="AS461" s="1804"/>
      <c r="AT461" s="1804"/>
      <c r="AU461" s="1804"/>
      <c r="AV461" s="1804"/>
      <c r="AW461" s="1804"/>
      <c r="AX461" s="1804"/>
      <c r="AY461" s="1804"/>
      <c r="AZ461" s="1804"/>
      <c r="BA461" s="1804"/>
      <c r="BB461" s="1804"/>
      <c r="BC461" s="1804"/>
      <c r="BD461" s="1804"/>
      <c r="BE461" s="1804"/>
      <c r="BF461" s="1804"/>
      <c r="BG461" s="1804"/>
      <c r="BH461" s="1804"/>
      <c r="BI461" s="1804"/>
      <c r="BJ461" s="1804"/>
      <c r="BK461" s="1804"/>
      <c r="BL461" s="1804"/>
      <c r="BM461" s="1804"/>
      <c r="BN461" s="1804"/>
      <c r="BO461" s="1804"/>
      <c r="BP461" s="1804"/>
      <c r="BQ461" s="1804"/>
      <c r="BR461" s="1804"/>
      <c r="BS461" s="1804"/>
      <c r="BT461" s="1804"/>
      <c r="BU461" s="1804"/>
      <c r="BV461" s="1804"/>
      <c r="BW461" s="1804"/>
      <c r="BX461" s="1804"/>
      <c r="BY461" s="1804"/>
      <c r="BZ461" s="1804"/>
      <c r="CA461" s="1804"/>
      <c r="CB461" s="1804"/>
      <c r="CC461" s="1804"/>
      <c r="CD461" s="1804"/>
      <c r="CE461" s="1804"/>
      <c r="CF461" s="1804"/>
      <c r="CG461" s="1804"/>
      <c r="CH461" s="1804"/>
      <c r="CI461" s="1804"/>
      <c r="CJ461" s="1804"/>
      <c r="CK461" s="1804"/>
      <c r="CL461" s="1804"/>
      <c r="CM461" s="1804"/>
      <c r="CN461" s="1804"/>
      <c r="CO461" s="1804"/>
      <c r="CP461" s="1804"/>
      <c r="CQ461" s="1804"/>
      <c r="CR461" s="1804"/>
      <c r="CS461" s="1804"/>
      <c r="CT461" s="1804"/>
      <c r="CU461" s="1804"/>
      <c r="CV461" s="1804"/>
      <c r="CW461" s="1804"/>
      <c r="CX461" s="1804"/>
      <c r="CY461" s="1804"/>
      <c r="CZ461" s="1804"/>
      <c r="DA461" s="1804"/>
      <c r="DB461" s="1804"/>
      <c r="DC461" s="1804"/>
      <c r="DD461" s="1804"/>
      <c r="DE461" s="1804"/>
      <c r="DF461" s="1804"/>
      <c r="DG461" s="1804"/>
      <c r="DH461" s="1804"/>
      <c r="DI461" s="1804"/>
      <c r="DJ461" s="1804"/>
      <c r="DK461" s="1804"/>
      <c r="DL461" s="1804"/>
      <c r="DM461" s="1804"/>
      <c r="DN461" s="1804"/>
      <c r="DO461" s="1804"/>
      <c r="DP461" s="1804"/>
      <c r="DQ461" s="1804"/>
      <c r="DR461" s="1804"/>
      <c r="DS461" s="1804"/>
      <c r="DT461" s="1804"/>
      <c r="DU461" s="1804"/>
      <c r="DV461" s="1804"/>
      <c r="DW461" s="1804"/>
      <c r="DX461" s="1804"/>
      <c r="DY461" s="1804"/>
      <c r="DZ461" s="1804"/>
      <c r="EA461" s="1804"/>
      <c r="EB461" s="1804"/>
      <c r="EC461" s="1804"/>
      <c r="ED461" s="1804"/>
      <c r="EE461" s="1804"/>
      <c r="EF461" s="1804"/>
      <c r="EG461" s="1804"/>
      <c r="EH461" s="1804"/>
      <c r="EI461" s="1804"/>
      <c r="EJ461" s="1804"/>
      <c r="EK461" s="1804"/>
      <c r="EL461" s="1804"/>
      <c r="EM461" s="1804"/>
      <c r="EN461" s="1804"/>
      <c r="EO461" s="1804"/>
      <c r="EP461" s="1804"/>
      <c r="EQ461" s="1804"/>
      <c r="ER461" s="1804"/>
      <c r="ES461" s="1804"/>
      <c r="ET461" s="1804"/>
      <c r="EU461" s="1804"/>
      <c r="EV461" s="1804"/>
      <c r="EW461" s="1804"/>
      <c r="EX461" s="1804"/>
      <c r="EY461" s="1804"/>
      <c r="EZ461" s="1804"/>
      <c r="FA461" s="1804"/>
      <c r="FB461" s="1804"/>
      <c r="FC461" s="1804"/>
      <c r="FD461" s="1804"/>
      <c r="FE461" s="1804"/>
      <c r="FF461" s="1804"/>
      <c r="FG461" s="1804"/>
      <c r="FH461" s="1804"/>
      <c r="FI461" s="1804"/>
      <c r="FJ461" s="1804"/>
      <c r="FK461" s="1804"/>
      <c r="FL461" s="1804"/>
      <c r="FM461" s="1804"/>
      <c r="FN461" s="1804"/>
      <c r="FO461" s="1804"/>
      <c r="FP461" s="1804"/>
      <c r="FQ461" s="1804"/>
      <c r="FR461" s="1804"/>
      <c r="FS461" s="1804"/>
      <c r="FT461" s="1804"/>
      <c r="FU461" s="1804"/>
      <c r="FV461" s="1804"/>
      <c r="FW461" s="1804"/>
      <c r="FX461" s="1804"/>
      <c r="FY461" s="1804"/>
      <c r="FZ461" s="1804"/>
      <c r="GA461" s="1804"/>
      <c r="GB461" s="1804"/>
      <c r="GC461" s="1804"/>
      <c r="GD461" s="1804"/>
      <c r="GE461" s="1804"/>
      <c r="GF461" s="1804"/>
      <c r="GG461" s="1804"/>
      <c r="GH461" s="1804"/>
      <c r="GI461" s="1804"/>
      <c r="GJ461" s="1804"/>
      <c r="GK461" s="1804"/>
      <c r="GL461" s="1804"/>
      <c r="GM461" s="1804"/>
      <c r="GN461" s="1804"/>
      <c r="GO461" s="1804"/>
      <c r="GP461" s="1804"/>
      <c r="GQ461" s="1804"/>
      <c r="GR461" s="1804"/>
      <c r="GS461" s="1804"/>
      <c r="GT461" s="1804"/>
      <c r="GU461" s="1804"/>
      <c r="GV461" s="1804"/>
      <c r="GW461" s="1804"/>
      <c r="GX461" s="1804"/>
      <c r="GY461" s="1804"/>
      <c r="GZ461" s="1804"/>
      <c r="HA461" s="1804"/>
      <c r="HB461" s="1804"/>
      <c r="HC461" s="1804"/>
      <c r="HD461" s="1804"/>
      <c r="HE461" s="1804"/>
      <c r="HF461" s="1804"/>
      <c r="HG461" s="1804"/>
      <c r="HH461" s="1804"/>
      <c r="HI461" s="1804"/>
      <c r="HJ461" s="1804"/>
      <c r="HK461" s="1804"/>
      <c r="HL461" s="1804"/>
      <c r="HM461" s="1804"/>
      <c r="HN461" s="1804"/>
      <c r="HO461" s="1804"/>
      <c r="HP461" s="1804"/>
      <c r="HQ461" s="1804"/>
      <c r="HR461" s="1804"/>
      <c r="HS461" s="1804"/>
      <c r="HT461" s="1804"/>
      <c r="HU461" s="1804"/>
      <c r="HV461" s="1804"/>
      <c r="HW461" s="1804"/>
      <c r="HX461" s="1804"/>
      <c r="HY461" s="1804"/>
      <c r="HZ461" s="1804"/>
      <c r="IA461" s="1804"/>
      <c r="IB461" s="1804"/>
      <c r="IC461" s="1804"/>
      <c r="ID461" s="1804"/>
      <c r="IE461" s="1804"/>
      <c r="IF461" s="1804"/>
      <c r="IG461" s="1804"/>
      <c r="IH461" s="1804"/>
      <c r="II461" s="1804"/>
      <c r="IJ461" s="1804"/>
      <c r="IK461" s="1804"/>
      <c r="IL461" s="1804"/>
      <c r="IM461" s="1804"/>
      <c r="IN461" s="1804"/>
      <c r="IO461" s="1804"/>
      <c r="IP461" s="1804"/>
      <c r="IQ461" s="1804"/>
      <c r="IR461" s="1804"/>
      <c r="IS461" s="1804"/>
      <c r="IT461" s="1804"/>
      <c r="IU461" s="1804"/>
      <c r="IV461" s="1804"/>
      <c r="IW461" s="1804"/>
    </row>
    <row r="462" spans="3:257" s="888" customFormat="1" x14ac:dyDescent="0.45">
      <c r="C462" s="67" t="s">
        <v>559</v>
      </c>
      <c r="D462" s="68" t="s">
        <v>662</v>
      </c>
      <c r="E462" s="69"/>
      <c r="F462" s="153">
        <v>862539</v>
      </c>
      <c r="G462" s="153">
        <v>2733296</v>
      </c>
      <c r="H462" s="153">
        <v>14862796</v>
      </c>
      <c r="I462" s="153">
        <v>8034397</v>
      </c>
      <c r="J462" s="153">
        <v>80505</v>
      </c>
      <c r="K462" s="153">
        <v>4995120</v>
      </c>
      <c r="L462" s="153">
        <v>5612752</v>
      </c>
      <c r="M462" s="153">
        <v>1407643</v>
      </c>
      <c r="N462" s="153">
        <v>3643440</v>
      </c>
      <c r="O462" s="154">
        <v>724522</v>
      </c>
      <c r="P462" s="165">
        <f t="shared" si="76"/>
        <v>27151170</v>
      </c>
      <c r="Q462" s="166">
        <f t="shared" si="77"/>
        <v>15805840</v>
      </c>
      <c r="R462" s="168">
        <f t="shared" si="75"/>
        <v>42957010</v>
      </c>
      <c r="S462" s="155">
        <f t="shared" si="78"/>
        <v>436848272.67000002</v>
      </c>
      <c r="T462" s="1804"/>
      <c r="U462" s="1804"/>
      <c r="V462" s="1804"/>
      <c r="W462" s="1804"/>
      <c r="X462" s="1804"/>
      <c r="Y462" s="1804"/>
      <c r="Z462" s="1804"/>
      <c r="AA462" s="1804"/>
      <c r="AB462" s="1804"/>
      <c r="AC462" s="1804"/>
      <c r="AD462" s="1804"/>
      <c r="AE462" s="1804"/>
      <c r="AF462" s="1804"/>
      <c r="AG462" s="1804"/>
      <c r="AH462" s="1804"/>
      <c r="AI462" s="1804"/>
      <c r="AJ462" s="1804"/>
      <c r="AK462" s="1804"/>
      <c r="AL462" s="1804"/>
      <c r="AM462" s="1804"/>
      <c r="AN462" s="1804"/>
      <c r="AO462" s="1804"/>
      <c r="AP462" s="1804"/>
      <c r="AQ462" s="1804"/>
      <c r="AR462" s="1804"/>
      <c r="AS462" s="1804"/>
      <c r="AT462" s="1804"/>
      <c r="AU462" s="1804"/>
      <c r="AV462" s="1804"/>
      <c r="AW462" s="1804"/>
      <c r="AX462" s="1804"/>
      <c r="AY462" s="1804"/>
      <c r="AZ462" s="1804"/>
      <c r="BA462" s="1804"/>
      <c r="BB462" s="1804"/>
      <c r="BC462" s="1804"/>
      <c r="BD462" s="1804"/>
      <c r="BE462" s="1804"/>
      <c r="BF462" s="1804"/>
      <c r="BG462" s="1804"/>
      <c r="BH462" s="1804"/>
      <c r="BI462" s="1804"/>
      <c r="BJ462" s="1804"/>
      <c r="BK462" s="1804"/>
      <c r="BL462" s="1804"/>
      <c r="BM462" s="1804"/>
      <c r="BN462" s="1804"/>
      <c r="BO462" s="1804"/>
      <c r="BP462" s="1804"/>
      <c r="BQ462" s="1804"/>
      <c r="BR462" s="1804"/>
      <c r="BS462" s="1804"/>
      <c r="BT462" s="1804"/>
      <c r="BU462" s="1804"/>
      <c r="BV462" s="1804"/>
      <c r="BW462" s="1804"/>
      <c r="BX462" s="1804"/>
      <c r="BY462" s="1804"/>
      <c r="BZ462" s="1804"/>
      <c r="CA462" s="1804"/>
      <c r="CB462" s="1804"/>
      <c r="CC462" s="1804"/>
      <c r="CD462" s="1804"/>
      <c r="CE462" s="1804"/>
      <c r="CF462" s="1804"/>
      <c r="CG462" s="1804"/>
      <c r="CH462" s="1804"/>
      <c r="CI462" s="1804"/>
      <c r="CJ462" s="1804"/>
      <c r="CK462" s="1804"/>
      <c r="CL462" s="1804"/>
      <c r="CM462" s="1804"/>
      <c r="CN462" s="1804"/>
      <c r="CO462" s="1804"/>
      <c r="CP462" s="1804"/>
      <c r="CQ462" s="1804"/>
      <c r="CR462" s="1804"/>
      <c r="CS462" s="1804"/>
      <c r="CT462" s="1804"/>
      <c r="CU462" s="1804"/>
      <c r="CV462" s="1804"/>
      <c r="CW462" s="1804"/>
      <c r="CX462" s="1804"/>
      <c r="CY462" s="1804"/>
      <c r="CZ462" s="1804"/>
      <c r="DA462" s="1804"/>
      <c r="DB462" s="1804"/>
      <c r="DC462" s="1804"/>
      <c r="DD462" s="1804"/>
      <c r="DE462" s="1804"/>
      <c r="DF462" s="1804"/>
      <c r="DG462" s="1804"/>
      <c r="DH462" s="1804"/>
      <c r="DI462" s="1804"/>
      <c r="DJ462" s="1804"/>
      <c r="DK462" s="1804"/>
      <c r="DL462" s="1804"/>
      <c r="DM462" s="1804"/>
      <c r="DN462" s="1804"/>
      <c r="DO462" s="1804"/>
      <c r="DP462" s="1804"/>
      <c r="DQ462" s="1804"/>
      <c r="DR462" s="1804"/>
      <c r="DS462" s="1804"/>
      <c r="DT462" s="1804"/>
      <c r="DU462" s="1804"/>
      <c r="DV462" s="1804"/>
      <c r="DW462" s="1804"/>
      <c r="DX462" s="1804"/>
      <c r="DY462" s="1804"/>
      <c r="DZ462" s="1804"/>
      <c r="EA462" s="1804"/>
      <c r="EB462" s="1804"/>
      <c r="EC462" s="1804"/>
      <c r="ED462" s="1804"/>
      <c r="EE462" s="1804"/>
      <c r="EF462" s="1804"/>
      <c r="EG462" s="1804"/>
      <c r="EH462" s="1804"/>
      <c r="EI462" s="1804"/>
      <c r="EJ462" s="1804"/>
      <c r="EK462" s="1804"/>
      <c r="EL462" s="1804"/>
      <c r="EM462" s="1804"/>
      <c r="EN462" s="1804"/>
      <c r="EO462" s="1804"/>
      <c r="EP462" s="1804"/>
      <c r="EQ462" s="1804"/>
      <c r="ER462" s="1804"/>
      <c r="ES462" s="1804"/>
      <c r="ET462" s="1804"/>
      <c r="EU462" s="1804"/>
      <c r="EV462" s="1804"/>
      <c r="EW462" s="1804"/>
      <c r="EX462" s="1804"/>
      <c r="EY462" s="1804"/>
      <c r="EZ462" s="1804"/>
      <c r="FA462" s="1804"/>
      <c r="FB462" s="1804"/>
      <c r="FC462" s="1804"/>
      <c r="FD462" s="1804"/>
      <c r="FE462" s="1804"/>
      <c r="FF462" s="1804"/>
      <c r="FG462" s="1804"/>
      <c r="FH462" s="1804"/>
      <c r="FI462" s="1804"/>
      <c r="FJ462" s="1804"/>
      <c r="FK462" s="1804"/>
      <c r="FL462" s="1804"/>
      <c r="FM462" s="1804"/>
      <c r="FN462" s="1804"/>
      <c r="FO462" s="1804"/>
      <c r="FP462" s="1804"/>
      <c r="FQ462" s="1804"/>
      <c r="FR462" s="1804"/>
      <c r="FS462" s="1804"/>
      <c r="FT462" s="1804"/>
      <c r="FU462" s="1804"/>
      <c r="FV462" s="1804"/>
      <c r="FW462" s="1804"/>
      <c r="FX462" s="1804"/>
      <c r="FY462" s="1804"/>
      <c r="FZ462" s="1804"/>
      <c r="GA462" s="1804"/>
      <c r="GB462" s="1804"/>
      <c r="GC462" s="1804"/>
      <c r="GD462" s="1804"/>
      <c r="GE462" s="1804"/>
      <c r="GF462" s="1804"/>
      <c r="GG462" s="1804"/>
      <c r="GH462" s="1804"/>
      <c r="GI462" s="1804"/>
      <c r="GJ462" s="1804"/>
      <c r="GK462" s="1804"/>
      <c r="GL462" s="1804"/>
      <c r="GM462" s="1804"/>
      <c r="GN462" s="1804"/>
      <c r="GO462" s="1804"/>
      <c r="GP462" s="1804"/>
      <c r="GQ462" s="1804"/>
      <c r="GR462" s="1804"/>
      <c r="GS462" s="1804"/>
      <c r="GT462" s="1804"/>
      <c r="GU462" s="1804"/>
      <c r="GV462" s="1804"/>
      <c r="GW462" s="1804"/>
      <c r="GX462" s="1804"/>
      <c r="GY462" s="1804"/>
      <c r="GZ462" s="1804"/>
      <c r="HA462" s="1804"/>
      <c r="HB462" s="1804"/>
      <c r="HC462" s="1804"/>
      <c r="HD462" s="1804"/>
      <c r="HE462" s="1804"/>
      <c r="HF462" s="1804"/>
      <c r="HG462" s="1804"/>
      <c r="HH462" s="1804"/>
      <c r="HI462" s="1804"/>
      <c r="HJ462" s="1804"/>
      <c r="HK462" s="1804"/>
      <c r="HL462" s="1804"/>
      <c r="HM462" s="1804"/>
      <c r="HN462" s="1804"/>
      <c r="HO462" s="1804"/>
      <c r="HP462" s="1804"/>
      <c r="HQ462" s="1804"/>
      <c r="HR462" s="1804"/>
      <c r="HS462" s="1804"/>
      <c r="HT462" s="1804"/>
      <c r="HU462" s="1804"/>
      <c r="HV462" s="1804"/>
      <c r="HW462" s="1804"/>
      <c r="HX462" s="1804"/>
      <c r="HY462" s="1804"/>
      <c r="HZ462" s="1804"/>
      <c r="IA462" s="1804"/>
      <c r="IB462" s="1804"/>
      <c r="IC462" s="1804"/>
      <c r="ID462" s="1804"/>
      <c r="IE462" s="1804"/>
      <c r="IF462" s="1804"/>
      <c r="IG462" s="1804"/>
      <c r="IH462" s="1804"/>
      <c r="II462" s="1804"/>
      <c r="IJ462" s="1804"/>
      <c r="IK462" s="1804"/>
      <c r="IL462" s="1804"/>
      <c r="IM462" s="1804"/>
      <c r="IN462" s="1804"/>
      <c r="IO462" s="1804"/>
      <c r="IP462" s="1804"/>
      <c r="IQ462" s="1804"/>
      <c r="IR462" s="1804"/>
      <c r="IS462" s="1804"/>
      <c r="IT462" s="1804"/>
      <c r="IU462" s="1804"/>
      <c r="IV462" s="1804"/>
      <c r="IW462" s="1804"/>
    </row>
    <row r="463" spans="3:257" s="888" customFormat="1" ht="14.65" thickBot="1" x14ac:dyDescent="0.5">
      <c r="C463" s="67" t="s">
        <v>560</v>
      </c>
      <c r="D463" s="169" t="s">
        <v>663</v>
      </c>
      <c r="E463" s="69"/>
      <c r="F463" s="153">
        <v>533166</v>
      </c>
      <c r="G463" s="153">
        <v>2481307</v>
      </c>
      <c r="H463" s="170">
        <v>19028391</v>
      </c>
      <c r="I463" s="170">
        <v>10435683</v>
      </c>
      <c r="J463" s="170">
        <v>87043</v>
      </c>
      <c r="K463" s="170">
        <v>5368362</v>
      </c>
      <c r="L463" s="170">
        <v>7594070</v>
      </c>
      <c r="M463" s="170">
        <v>909024</v>
      </c>
      <c r="N463" s="170">
        <v>4268254</v>
      </c>
      <c r="O463" s="154">
        <v>1197620</v>
      </c>
      <c r="P463" s="165">
        <f t="shared" si="76"/>
        <v>32254320</v>
      </c>
      <c r="Q463" s="166">
        <f t="shared" si="77"/>
        <v>19648600</v>
      </c>
      <c r="R463" s="171">
        <f t="shared" si="75"/>
        <v>51902920</v>
      </c>
      <c r="S463" s="155">
        <f t="shared" si="78"/>
        <v>527203575.96000004</v>
      </c>
      <c r="T463" s="1804"/>
      <c r="U463" s="1804"/>
      <c r="V463" s="1804"/>
      <c r="W463" s="1804"/>
      <c r="X463" s="1804"/>
      <c r="Y463" s="1804"/>
      <c r="Z463" s="1804"/>
      <c r="AA463" s="1804"/>
      <c r="AB463" s="1804"/>
      <c r="AC463" s="1804"/>
      <c r="AD463" s="1804"/>
      <c r="AE463" s="1804"/>
      <c r="AF463" s="1804"/>
      <c r="AG463" s="1804"/>
      <c r="AH463" s="1804"/>
      <c r="AI463" s="1804"/>
      <c r="AJ463" s="1804"/>
      <c r="AK463" s="1804"/>
      <c r="AL463" s="1804"/>
      <c r="AM463" s="1804"/>
      <c r="AN463" s="1804"/>
      <c r="AO463" s="1804"/>
      <c r="AP463" s="1804"/>
      <c r="AQ463" s="1804"/>
      <c r="AR463" s="1804"/>
      <c r="AS463" s="1804"/>
      <c r="AT463" s="1804"/>
      <c r="AU463" s="1804"/>
      <c r="AV463" s="1804"/>
      <c r="AW463" s="1804"/>
      <c r="AX463" s="1804"/>
      <c r="AY463" s="1804"/>
      <c r="AZ463" s="1804"/>
      <c r="BA463" s="1804"/>
      <c r="BB463" s="1804"/>
      <c r="BC463" s="1804"/>
      <c r="BD463" s="1804"/>
      <c r="BE463" s="1804"/>
      <c r="BF463" s="1804"/>
      <c r="BG463" s="1804"/>
      <c r="BH463" s="1804"/>
      <c r="BI463" s="1804"/>
      <c r="BJ463" s="1804"/>
      <c r="BK463" s="1804"/>
      <c r="BL463" s="1804"/>
      <c r="BM463" s="1804"/>
      <c r="BN463" s="1804"/>
      <c r="BO463" s="1804"/>
      <c r="BP463" s="1804"/>
      <c r="BQ463" s="1804"/>
      <c r="BR463" s="1804"/>
      <c r="BS463" s="1804"/>
      <c r="BT463" s="1804"/>
      <c r="BU463" s="1804"/>
      <c r="BV463" s="1804"/>
      <c r="BW463" s="1804"/>
      <c r="BX463" s="1804"/>
      <c r="BY463" s="1804"/>
      <c r="BZ463" s="1804"/>
      <c r="CA463" s="1804"/>
      <c r="CB463" s="1804"/>
      <c r="CC463" s="1804"/>
      <c r="CD463" s="1804"/>
      <c r="CE463" s="1804"/>
      <c r="CF463" s="1804"/>
      <c r="CG463" s="1804"/>
      <c r="CH463" s="1804"/>
      <c r="CI463" s="1804"/>
      <c r="CJ463" s="1804"/>
      <c r="CK463" s="1804"/>
      <c r="CL463" s="1804"/>
      <c r="CM463" s="1804"/>
      <c r="CN463" s="1804"/>
      <c r="CO463" s="1804"/>
      <c r="CP463" s="1804"/>
      <c r="CQ463" s="1804"/>
      <c r="CR463" s="1804"/>
      <c r="CS463" s="1804"/>
      <c r="CT463" s="1804"/>
      <c r="CU463" s="1804"/>
      <c r="CV463" s="1804"/>
      <c r="CW463" s="1804"/>
      <c r="CX463" s="1804"/>
      <c r="CY463" s="1804"/>
      <c r="CZ463" s="1804"/>
      <c r="DA463" s="1804"/>
      <c r="DB463" s="1804"/>
      <c r="DC463" s="1804"/>
      <c r="DD463" s="1804"/>
      <c r="DE463" s="1804"/>
      <c r="DF463" s="1804"/>
      <c r="DG463" s="1804"/>
      <c r="DH463" s="1804"/>
      <c r="DI463" s="1804"/>
      <c r="DJ463" s="1804"/>
      <c r="DK463" s="1804"/>
      <c r="DL463" s="1804"/>
      <c r="DM463" s="1804"/>
      <c r="DN463" s="1804"/>
      <c r="DO463" s="1804"/>
      <c r="DP463" s="1804"/>
      <c r="DQ463" s="1804"/>
      <c r="DR463" s="1804"/>
      <c r="DS463" s="1804"/>
      <c r="DT463" s="1804"/>
      <c r="DU463" s="1804"/>
      <c r="DV463" s="1804"/>
      <c r="DW463" s="1804"/>
      <c r="DX463" s="1804"/>
      <c r="DY463" s="1804"/>
      <c r="DZ463" s="1804"/>
      <c r="EA463" s="1804"/>
      <c r="EB463" s="1804"/>
      <c r="EC463" s="1804"/>
      <c r="ED463" s="1804"/>
      <c r="EE463" s="1804"/>
      <c r="EF463" s="1804"/>
      <c r="EG463" s="1804"/>
      <c r="EH463" s="1804"/>
      <c r="EI463" s="1804"/>
      <c r="EJ463" s="1804"/>
      <c r="EK463" s="1804"/>
      <c r="EL463" s="1804"/>
      <c r="EM463" s="1804"/>
      <c r="EN463" s="1804"/>
      <c r="EO463" s="1804"/>
      <c r="EP463" s="1804"/>
      <c r="EQ463" s="1804"/>
      <c r="ER463" s="1804"/>
      <c r="ES463" s="1804"/>
      <c r="ET463" s="1804"/>
      <c r="EU463" s="1804"/>
      <c r="EV463" s="1804"/>
      <c r="EW463" s="1804"/>
      <c r="EX463" s="1804"/>
      <c r="EY463" s="1804"/>
      <c r="EZ463" s="1804"/>
      <c r="FA463" s="1804"/>
      <c r="FB463" s="1804"/>
      <c r="FC463" s="1804"/>
      <c r="FD463" s="1804"/>
      <c r="FE463" s="1804"/>
      <c r="FF463" s="1804"/>
      <c r="FG463" s="1804"/>
      <c r="FH463" s="1804"/>
      <c r="FI463" s="1804"/>
      <c r="FJ463" s="1804"/>
      <c r="FK463" s="1804"/>
      <c r="FL463" s="1804"/>
      <c r="FM463" s="1804"/>
      <c r="FN463" s="1804"/>
      <c r="FO463" s="1804"/>
      <c r="FP463" s="1804"/>
      <c r="FQ463" s="1804"/>
      <c r="FR463" s="1804"/>
      <c r="FS463" s="1804"/>
      <c r="FT463" s="1804"/>
      <c r="FU463" s="1804"/>
      <c r="FV463" s="1804"/>
      <c r="FW463" s="1804"/>
      <c r="FX463" s="1804"/>
      <c r="FY463" s="1804"/>
      <c r="FZ463" s="1804"/>
      <c r="GA463" s="1804"/>
      <c r="GB463" s="1804"/>
      <c r="GC463" s="1804"/>
      <c r="GD463" s="1804"/>
      <c r="GE463" s="1804"/>
      <c r="GF463" s="1804"/>
      <c r="GG463" s="1804"/>
      <c r="GH463" s="1804"/>
      <c r="GI463" s="1804"/>
      <c r="GJ463" s="1804"/>
      <c r="GK463" s="1804"/>
      <c r="GL463" s="1804"/>
      <c r="GM463" s="1804"/>
      <c r="GN463" s="1804"/>
      <c r="GO463" s="1804"/>
      <c r="GP463" s="1804"/>
      <c r="GQ463" s="1804"/>
      <c r="GR463" s="1804"/>
      <c r="GS463" s="1804"/>
      <c r="GT463" s="1804"/>
      <c r="GU463" s="1804"/>
      <c r="GV463" s="1804"/>
      <c r="GW463" s="1804"/>
      <c r="GX463" s="1804"/>
      <c r="GY463" s="1804"/>
      <c r="GZ463" s="1804"/>
      <c r="HA463" s="1804"/>
      <c r="HB463" s="1804"/>
      <c r="HC463" s="1804"/>
      <c r="HD463" s="1804"/>
      <c r="HE463" s="1804"/>
      <c r="HF463" s="1804"/>
      <c r="HG463" s="1804"/>
      <c r="HH463" s="1804"/>
      <c r="HI463" s="1804"/>
      <c r="HJ463" s="1804"/>
      <c r="HK463" s="1804"/>
      <c r="HL463" s="1804"/>
      <c r="HM463" s="1804"/>
      <c r="HN463" s="1804"/>
      <c r="HO463" s="1804"/>
      <c r="HP463" s="1804"/>
      <c r="HQ463" s="1804"/>
      <c r="HR463" s="1804"/>
      <c r="HS463" s="1804"/>
      <c r="HT463" s="1804"/>
      <c r="HU463" s="1804"/>
      <c r="HV463" s="1804"/>
      <c r="HW463" s="1804"/>
      <c r="HX463" s="1804"/>
      <c r="HY463" s="1804"/>
      <c r="HZ463" s="1804"/>
      <c r="IA463" s="1804"/>
      <c r="IB463" s="1804"/>
      <c r="IC463" s="1804"/>
      <c r="ID463" s="1804"/>
      <c r="IE463" s="1804"/>
      <c r="IF463" s="1804"/>
      <c r="IG463" s="1804"/>
      <c r="IH463" s="1804"/>
      <c r="II463" s="1804"/>
      <c r="IJ463" s="1804"/>
      <c r="IK463" s="1804"/>
      <c r="IL463" s="1804"/>
      <c r="IM463" s="1804"/>
      <c r="IN463" s="1804"/>
      <c r="IO463" s="1804"/>
      <c r="IP463" s="1804"/>
      <c r="IQ463" s="1804"/>
      <c r="IR463" s="1804"/>
      <c r="IS463" s="1804"/>
      <c r="IT463" s="1804"/>
      <c r="IU463" s="1804"/>
      <c r="IV463" s="1804"/>
      <c r="IW463" s="1804"/>
    </row>
    <row r="464" spans="3:257" s="888" customFormat="1" ht="14.65" thickBot="1" x14ac:dyDescent="0.5">
      <c r="C464" s="172" t="s">
        <v>665</v>
      </c>
      <c r="D464" s="2318"/>
      <c r="E464" s="2311"/>
      <c r="F464" s="156">
        <f t="shared" ref="F464:S464" si="79">SUM(F431:F463)</f>
        <v>27385082</v>
      </c>
      <c r="G464" s="156">
        <f t="shared" si="79"/>
        <v>97822057</v>
      </c>
      <c r="H464" s="156">
        <f t="shared" si="79"/>
        <v>962364358</v>
      </c>
      <c r="I464" s="156">
        <f t="shared" si="79"/>
        <v>540229268</v>
      </c>
      <c r="J464" s="156">
        <f t="shared" si="79"/>
        <v>4475821</v>
      </c>
      <c r="K464" s="156">
        <f t="shared" si="79"/>
        <v>271875669</v>
      </c>
      <c r="L464" s="156">
        <f t="shared" si="79"/>
        <v>231501426</v>
      </c>
      <c r="M464" s="156">
        <f t="shared" si="79"/>
        <v>69311109</v>
      </c>
      <c r="N464" s="156">
        <f t="shared" si="79"/>
        <v>219722067</v>
      </c>
      <c r="O464" s="146">
        <f t="shared" si="79"/>
        <v>107615595</v>
      </c>
      <c r="P464" s="173">
        <f t="shared" si="79"/>
        <v>1538077191</v>
      </c>
      <c r="Q464" s="174">
        <f t="shared" si="79"/>
        <v>994225261</v>
      </c>
      <c r="R464" s="157">
        <f t="shared" si="79"/>
        <v>2532302452</v>
      </c>
      <c r="S464" s="158">
        <f t="shared" si="79"/>
        <v>25681847656.151993</v>
      </c>
      <c r="T464" s="1804"/>
      <c r="U464" s="1804"/>
      <c r="V464" s="1804"/>
      <c r="W464" s="1804"/>
      <c r="X464" s="1804"/>
      <c r="Y464" s="1804"/>
      <c r="Z464" s="1804"/>
      <c r="AA464" s="1804"/>
      <c r="AB464" s="1804"/>
      <c r="AC464" s="1804"/>
      <c r="AD464" s="1804"/>
      <c r="AE464" s="1804"/>
      <c r="AF464" s="1804"/>
      <c r="AG464" s="1804"/>
      <c r="AH464" s="1804"/>
      <c r="AI464" s="1804"/>
      <c r="AJ464" s="1804"/>
      <c r="AK464" s="1804"/>
      <c r="AL464" s="1804"/>
      <c r="AM464" s="1804"/>
      <c r="AN464" s="1804"/>
      <c r="AO464" s="1804"/>
      <c r="AP464" s="1804"/>
      <c r="AQ464" s="1804"/>
      <c r="AR464" s="1804"/>
      <c r="AS464" s="1804"/>
      <c r="AT464" s="1804"/>
      <c r="AU464" s="1804"/>
      <c r="AV464" s="1804"/>
      <c r="AW464" s="1804"/>
      <c r="AX464" s="1804"/>
      <c r="AY464" s="1804"/>
      <c r="AZ464" s="1804"/>
      <c r="BA464" s="1804"/>
      <c r="BB464" s="1804"/>
      <c r="BC464" s="1804"/>
      <c r="BD464" s="1804"/>
      <c r="BE464" s="1804"/>
      <c r="BF464" s="1804"/>
      <c r="BG464" s="1804"/>
      <c r="BH464" s="1804"/>
      <c r="BI464" s="1804"/>
      <c r="BJ464" s="1804"/>
      <c r="BK464" s="1804"/>
      <c r="BL464" s="1804"/>
      <c r="BM464" s="1804"/>
      <c r="BN464" s="1804"/>
      <c r="BO464" s="1804"/>
      <c r="BP464" s="1804"/>
      <c r="BQ464" s="1804"/>
      <c r="BR464" s="1804"/>
      <c r="BS464" s="1804"/>
      <c r="BT464" s="1804"/>
      <c r="BU464" s="1804"/>
      <c r="BV464" s="1804"/>
      <c r="BW464" s="1804"/>
      <c r="BX464" s="1804"/>
      <c r="BY464" s="1804"/>
      <c r="BZ464" s="1804"/>
      <c r="CA464" s="1804"/>
      <c r="CB464" s="1804"/>
      <c r="CC464" s="1804"/>
      <c r="CD464" s="1804"/>
      <c r="CE464" s="1804"/>
      <c r="CF464" s="1804"/>
      <c r="CG464" s="1804"/>
      <c r="CH464" s="1804"/>
      <c r="CI464" s="1804"/>
      <c r="CJ464" s="1804"/>
      <c r="CK464" s="1804"/>
      <c r="CL464" s="1804"/>
      <c r="CM464" s="1804"/>
      <c r="CN464" s="1804"/>
      <c r="CO464" s="1804"/>
      <c r="CP464" s="1804"/>
      <c r="CQ464" s="1804"/>
      <c r="CR464" s="1804"/>
      <c r="CS464" s="1804"/>
      <c r="CT464" s="1804"/>
      <c r="CU464" s="1804"/>
      <c r="CV464" s="1804"/>
      <c r="CW464" s="1804"/>
      <c r="CX464" s="1804"/>
      <c r="CY464" s="1804"/>
      <c r="CZ464" s="1804"/>
      <c r="DA464" s="1804"/>
      <c r="DB464" s="1804"/>
      <c r="DC464" s="1804"/>
      <c r="DD464" s="1804"/>
      <c r="DE464" s="1804"/>
      <c r="DF464" s="1804"/>
      <c r="DG464" s="1804"/>
      <c r="DH464" s="1804"/>
      <c r="DI464" s="1804"/>
      <c r="DJ464" s="1804"/>
      <c r="DK464" s="1804"/>
      <c r="DL464" s="1804"/>
      <c r="DM464" s="1804"/>
      <c r="DN464" s="1804"/>
      <c r="DO464" s="1804"/>
      <c r="DP464" s="1804"/>
      <c r="DQ464" s="1804"/>
      <c r="DR464" s="1804"/>
      <c r="DS464" s="1804"/>
      <c r="DT464" s="1804"/>
      <c r="DU464" s="1804"/>
      <c r="DV464" s="1804"/>
      <c r="DW464" s="1804"/>
      <c r="DX464" s="1804"/>
      <c r="DY464" s="1804"/>
      <c r="DZ464" s="1804"/>
      <c r="EA464" s="1804"/>
      <c r="EB464" s="1804"/>
      <c r="EC464" s="1804"/>
      <c r="ED464" s="1804"/>
      <c r="EE464" s="1804"/>
      <c r="EF464" s="1804"/>
      <c r="EG464" s="1804"/>
      <c r="EH464" s="1804"/>
      <c r="EI464" s="1804"/>
      <c r="EJ464" s="1804"/>
      <c r="EK464" s="1804"/>
      <c r="EL464" s="1804"/>
      <c r="EM464" s="1804"/>
      <c r="EN464" s="1804"/>
      <c r="EO464" s="1804"/>
      <c r="EP464" s="1804"/>
      <c r="EQ464" s="1804"/>
      <c r="ER464" s="1804"/>
      <c r="ES464" s="1804"/>
      <c r="ET464" s="1804"/>
      <c r="EU464" s="1804"/>
      <c r="EV464" s="1804"/>
      <c r="EW464" s="1804"/>
      <c r="EX464" s="1804"/>
      <c r="EY464" s="1804"/>
      <c r="EZ464" s="1804"/>
      <c r="FA464" s="1804"/>
      <c r="FB464" s="1804"/>
      <c r="FC464" s="1804"/>
      <c r="FD464" s="1804"/>
      <c r="FE464" s="1804"/>
      <c r="FF464" s="1804"/>
      <c r="FG464" s="1804"/>
      <c r="FH464" s="1804"/>
      <c r="FI464" s="1804"/>
      <c r="FJ464" s="1804"/>
      <c r="FK464" s="1804"/>
      <c r="FL464" s="1804"/>
      <c r="FM464" s="1804"/>
      <c r="FN464" s="1804"/>
      <c r="FO464" s="1804"/>
      <c r="FP464" s="1804"/>
      <c r="FQ464" s="1804"/>
      <c r="FR464" s="1804"/>
      <c r="FS464" s="1804"/>
      <c r="FT464" s="1804"/>
      <c r="FU464" s="1804"/>
      <c r="FV464" s="1804"/>
      <c r="FW464" s="1804"/>
      <c r="FX464" s="1804"/>
      <c r="FY464" s="1804"/>
      <c r="FZ464" s="1804"/>
      <c r="GA464" s="1804"/>
      <c r="GB464" s="1804"/>
      <c r="GC464" s="1804"/>
      <c r="GD464" s="1804"/>
      <c r="GE464" s="1804"/>
      <c r="GF464" s="1804"/>
      <c r="GG464" s="1804"/>
      <c r="GH464" s="1804"/>
      <c r="GI464" s="1804"/>
      <c r="GJ464" s="1804"/>
      <c r="GK464" s="1804"/>
      <c r="GL464" s="1804"/>
      <c r="GM464" s="1804"/>
      <c r="GN464" s="1804"/>
      <c r="GO464" s="1804"/>
      <c r="GP464" s="1804"/>
      <c r="GQ464" s="1804"/>
      <c r="GR464" s="1804"/>
      <c r="GS464" s="1804"/>
      <c r="GT464" s="1804"/>
      <c r="GU464" s="1804"/>
      <c r="GV464" s="1804"/>
      <c r="GW464" s="1804"/>
      <c r="GX464" s="1804"/>
      <c r="GY464" s="1804"/>
      <c r="GZ464" s="1804"/>
      <c r="HA464" s="1804"/>
      <c r="HB464" s="1804"/>
      <c r="HC464" s="1804"/>
      <c r="HD464" s="1804"/>
      <c r="HE464" s="1804"/>
      <c r="HF464" s="1804"/>
      <c r="HG464" s="1804"/>
      <c r="HH464" s="1804"/>
      <c r="HI464" s="1804"/>
      <c r="HJ464" s="1804"/>
      <c r="HK464" s="1804"/>
      <c r="HL464" s="1804"/>
      <c r="HM464" s="1804"/>
      <c r="HN464" s="1804"/>
      <c r="HO464" s="1804"/>
      <c r="HP464" s="1804"/>
      <c r="HQ464" s="1804"/>
      <c r="HR464" s="1804"/>
      <c r="HS464" s="1804"/>
      <c r="HT464" s="1804"/>
      <c r="HU464" s="1804"/>
      <c r="HV464" s="1804"/>
      <c r="HW464" s="1804"/>
      <c r="HX464" s="1804"/>
      <c r="HY464" s="1804"/>
      <c r="HZ464" s="1804"/>
      <c r="IA464" s="1804"/>
      <c r="IB464" s="1804"/>
      <c r="IC464" s="1804"/>
      <c r="ID464" s="1804"/>
      <c r="IE464" s="1804"/>
      <c r="IF464" s="1804"/>
      <c r="IG464" s="1804"/>
      <c r="IH464" s="1804"/>
      <c r="II464" s="1804"/>
      <c r="IJ464" s="1804"/>
      <c r="IK464" s="1804"/>
      <c r="IL464" s="1804"/>
      <c r="IM464" s="1804"/>
      <c r="IN464" s="1804"/>
      <c r="IO464" s="1804"/>
      <c r="IP464" s="1804"/>
      <c r="IQ464" s="1804"/>
      <c r="IR464" s="1804"/>
      <c r="IS464" s="1804"/>
      <c r="IT464" s="1804"/>
      <c r="IU464" s="1804"/>
      <c r="IV464" s="1804"/>
      <c r="IW464" s="1804"/>
    </row>
    <row r="465" spans="3:257" s="888" customFormat="1" ht="14.65" thickBot="1" x14ac:dyDescent="0.5">
      <c r="C465" s="1804"/>
      <c r="D465" s="1804"/>
      <c r="E465" s="1804"/>
      <c r="F465" s="1804"/>
      <c r="G465" s="1804"/>
      <c r="H465" s="1804"/>
      <c r="I465" s="1804"/>
      <c r="J465" s="1804"/>
      <c r="K465" s="1804"/>
      <c r="L465" s="1804"/>
      <c r="M465" s="1804"/>
      <c r="N465" s="1804"/>
      <c r="O465" s="1804"/>
      <c r="P465" s="1808"/>
      <c r="Q465" s="1808"/>
      <c r="R465" s="1804"/>
      <c r="S465" s="1808"/>
      <c r="T465" s="1804"/>
      <c r="U465" s="1804"/>
      <c r="V465" s="1804"/>
      <c r="W465" s="1804"/>
      <c r="X465" s="1804"/>
      <c r="Y465" s="1804"/>
      <c r="Z465" s="1804"/>
      <c r="AA465" s="1804"/>
      <c r="AB465" s="1804"/>
      <c r="AC465" s="1804"/>
      <c r="AD465" s="1804"/>
      <c r="AE465" s="1804"/>
      <c r="AF465" s="1804"/>
      <c r="AG465" s="1804"/>
      <c r="AH465" s="1804"/>
      <c r="AI465" s="1804"/>
      <c r="AJ465" s="1804"/>
      <c r="AK465" s="1804"/>
      <c r="AL465" s="1804"/>
      <c r="AM465" s="1804"/>
      <c r="AN465" s="1804"/>
      <c r="AO465" s="1804"/>
      <c r="AP465" s="1804"/>
      <c r="AQ465" s="1804"/>
      <c r="AR465" s="1804"/>
      <c r="AS465" s="1804"/>
      <c r="AT465" s="1802"/>
      <c r="AU465" s="1802"/>
      <c r="AV465" s="1802"/>
      <c r="AW465" s="1802"/>
      <c r="AX465" s="1802"/>
      <c r="AY465" s="1802"/>
      <c r="AZ465" s="1802"/>
      <c r="BA465" s="1802"/>
      <c r="BB465" s="1802"/>
      <c r="BC465" s="1802"/>
      <c r="BD465" s="1802"/>
      <c r="BE465" s="1802"/>
      <c r="BF465" s="1802"/>
      <c r="BG465" s="1802"/>
      <c r="BH465" s="1802"/>
      <c r="BI465" s="1802"/>
      <c r="BJ465" s="1802"/>
      <c r="BK465" s="1802"/>
      <c r="BL465" s="1802"/>
      <c r="BM465" s="1802"/>
      <c r="BN465" s="1802"/>
      <c r="BO465" s="1802"/>
      <c r="BP465" s="1802"/>
      <c r="BQ465" s="1802"/>
      <c r="BR465" s="1802"/>
      <c r="BS465" s="1802"/>
      <c r="BT465" s="1802"/>
      <c r="BU465" s="1802"/>
      <c r="BV465" s="1802"/>
      <c r="BW465" s="1802"/>
      <c r="BX465" s="1802"/>
      <c r="BY465" s="1802"/>
      <c r="BZ465" s="1802"/>
      <c r="CA465" s="1802"/>
      <c r="CB465" s="1802"/>
      <c r="CC465" s="1802"/>
      <c r="CD465" s="1802"/>
      <c r="CE465" s="1802"/>
      <c r="CF465" s="1802"/>
      <c r="CG465" s="1802"/>
      <c r="CH465" s="1802"/>
      <c r="CI465" s="1802"/>
      <c r="CJ465" s="1802"/>
      <c r="CK465" s="1802"/>
      <c r="CL465" s="1802"/>
      <c r="CM465" s="1802"/>
      <c r="CN465" s="1802"/>
      <c r="CO465" s="1802"/>
      <c r="CP465" s="1802"/>
      <c r="CQ465" s="1802"/>
      <c r="CR465" s="1802"/>
      <c r="CS465" s="1802"/>
      <c r="CT465" s="1802"/>
      <c r="CU465" s="1802"/>
      <c r="CV465" s="1802"/>
      <c r="CW465" s="1802"/>
      <c r="CX465" s="1802"/>
      <c r="CY465" s="1802"/>
      <c r="CZ465" s="1802"/>
      <c r="DA465" s="1802"/>
      <c r="DB465" s="1802"/>
      <c r="DC465" s="1802"/>
      <c r="DD465" s="1802"/>
      <c r="DE465" s="1802"/>
      <c r="DF465" s="1802"/>
      <c r="DG465" s="1802"/>
      <c r="DH465" s="1802"/>
      <c r="DI465" s="1802"/>
      <c r="DJ465" s="1802"/>
      <c r="DK465" s="1802"/>
      <c r="DL465" s="1802"/>
      <c r="DM465" s="1802"/>
      <c r="DN465" s="1802"/>
      <c r="DO465" s="1802"/>
      <c r="DP465" s="1802"/>
      <c r="DQ465" s="1802"/>
      <c r="DR465" s="1802"/>
      <c r="DS465" s="1802"/>
      <c r="DT465" s="1802"/>
      <c r="DU465" s="1802"/>
      <c r="DV465" s="1802"/>
      <c r="DW465" s="1802"/>
      <c r="DX465" s="1802"/>
      <c r="DY465" s="1802"/>
      <c r="DZ465" s="1802"/>
      <c r="EA465" s="1802"/>
      <c r="EB465" s="1802"/>
      <c r="EC465" s="1802"/>
      <c r="ED465" s="1802"/>
      <c r="EE465" s="1802"/>
      <c r="EF465" s="1802"/>
      <c r="EG465" s="1802"/>
      <c r="EH465" s="1802"/>
      <c r="EI465" s="1802"/>
      <c r="EJ465" s="1802"/>
      <c r="EK465" s="1802"/>
      <c r="EL465" s="1802"/>
      <c r="EM465" s="1802"/>
      <c r="EN465" s="1802"/>
      <c r="EO465" s="1802"/>
      <c r="EP465" s="1802"/>
      <c r="EQ465" s="1802"/>
      <c r="ER465" s="1802"/>
      <c r="ES465" s="1802"/>
      <c r="ET465" s="1802"/>
      <c r="EU465" s="1802"/>
      <c r="EV465" s="1802"/>
      <c r="EW465" s="1802"/>
      <c r="EX465" s="1802"/>
      <c r="EY465" s="1802"/>
      <c r="EZ465" s="1802"/>
      <c r="FA465" s="1802"/>
      <c r="FB465" s="1802"/>
      <c r="FC465" s="1802"/>
      <c r="FD465" s="1802"/>
      <c r="FE465" s="1802"/>
      <c r="FF465" s="1802"/>
      <c r="FG465" s="1802"/>
      <c r="FH465" s="1802"/>
      <c r="FI465" s="1802"/>
      <c r="FJ465" s="1802"/>
      <c r="FK465" s="1802"/>
      <c r="FL465" s="1802"/>
      <c r="FM465" s="1802"/>
      <c r="FN465" s="1802"/>
      <c r="FO465" s="1802"/>
      <c r="FP465" s="1802"/>
      <c r="FQ465" s="1802"/>
      <c r="FR465" s="1802"/>
      <c r="FS465" s="1802"/>
      <c r="FT465" s="1802"/>
      <c r="FU465" s="1802"/>
      <c r="FV465" s="1802"/>
      <c r="FW465" s="1802"/>
      <c r="FX465" s="1802"/>
      <c r="FY465" s="1802"/>
      <c r="FZ465" s="1802"/>
      <c r="GA465" s="1802"/>
      <c r="GB465" s="1802"/>
      <c r="GC465" s="1802"/>
      <c r="GD465" s="1802"/>
      <c r="GE465" s="1802"/>
      <c r="GF465" s="1802"/>
      <c r="GG465" s="1802"/>
      <c r="GH465" s="1802"/>
      <c r="GI465" s="1802"/>
      <c r="GJ465" s="1802"/>
      <c r="GK465" s="1802"/>
      <c r="GL465" s="1802"/>
      <c r="GM465" s="1802"/>
      <c r="GN465" s="1802"/>
      <c r="GO465" s="1802"/>
      <c r="GP465" s="1802"/>
      <c r="GQ465" s="1802"/>
      <c r="GR465" s="1802"/>
      <c r="GS465" s="1802"/>
      <c r="GT465" s="1802"/>
      <c r="GU465" s="1802"/>
      <c r="GV465" s="1802"/>
      <c r="GW465" s="1802"/>
      <c r="GX465" s="1802"/>
      <c r="GY465" s="1802"/>
      <c r="GZ465" s="1802"/>
      <c r="HA465" s="1802"/>
      <c r="HB465" s="1802"/>
      <c r="HC465" s="1802"/>
      <c r="HD465" s="1802"/>
      <c r="HE465" s="1802"/>
      <c r="HF465" s="1802"/>
      <c r="HG465" s="1802"/>
      <c r="HH465" s="1802"/>
      <c r="HI465" s="1802"/>
      <c r="HJ465" s="1802"/>
      <c r="HK465" s="1802"/>
      <c r="HL465" s="1802"/>
      <c r="HM465" s="1802"/>
      <c r="HN465" s="1802"/>
      <c r="HO465" s="1802"/>
      <c r="HP465" s="1802"/>
      <c r="HQ465" s="1802"/>
      <c r="HR465" s="1802"/>
      <c r="HS465" s="1802"/>
      <c r="HT465" s="1802"/>
      <c r="HU465" s="1802"/>
      <c r="HV465" s="1802"/>
      <c r="HW465" s="1802"/>
      <c r="HX465" s="1802"/>
      <c r="HY465" s="1802"/>
      <c r="HZ465" s="1802"/>
      <c r="IA465" s="1802"/>
      <c r="IB465" s="1802"/>
      <c r="IC465" s="1802"/>
      <c r="ID465" s="1802"/>
      <c r="IE465" s="1802"/>
      <c r="IF465" s="1802"/>
      <c r="IG465" s="1802"/>
      <c r="IH465" s="1802"/>
      <c r="II465" s="1802"/>
      <c r="IJ465" s="1802"/>
      <c r="IK465" s="1802"/>
      <c r="IL465" s="1802"/>
      <c r="IM465" s="1802"/>
      <c r="IN465" s="1802"/>
      <c r="IO465" s="1802"/>
      <c r="IP465" s="1802"/>
      <c r="IQ465" s="1802"/>
      <c r="IR465" s="1802"/>
      <c r="IS465" s="1802"/>
      <c r="IT465" s="1802"/>
      <c r="IU465" s="1802"/>
      <c r="IV465" s="1802"/>
      <c r="IW465" s="1802"/>
    </row>
    <row r="466" spans="3:257" s="888" customFormat="1" ht="14.65" thickBot="1" x14ac:dyDescent="0.5">
      <c r="C466" s="175" t="s">
        <v>752</v>
      </c>
      <c r="D466" s="176" t="s">
        <v>753</v>
      </c>
      <c r="E466" s="2319" t="s">
        <v>589</v>
      </c>
      <c r="F466" s="2319"/>
      <c r="G466" s="2319"/>
      <c r="H466" s="2319"/>
      <c r="I466" s="2320"/>
      <c r="J466" s="1802"/>
      <c r="K466" s="1801"/>
      <c r="L466" s="1835"/>
      <c r="M466" s="1801"/>
      <c r="N466" s="1801"/>
      <c r="O466" s="1801"/>
      <c r="P466" s="1801"/>
      <c r="Q466" s="1801"/>
      <c r="R466" s="1801"/>
      <c r="S466" s="1801"/>
      <c r="T466" s="1801"/>
      <c r="U466" s="1801"/>
      <c r="V466" s="1801"/>
      <c r="W466" s="1800"/>
      <c r="X466" s="1800"/>
      <c r="Y466" s="1800"/>
      <c r="Z466" s="1800"/>
      <c r="AA466" s="1800"/>
      <c r="AB466" s="1801"/>
      <c r="AC466" s="1801"/>
      <c r="AD466" s="1801"/>
      <c r="AE466" s="1801"/>
      <c r="AF466" s="1801"/>
      <c r="AG466" s="1801"/>
      <c r="AH466" s="1801"/>
      <c r="AI466" s="1801"/>
      <c r="AJ466" s="1801"/>
      <c r="AK466" s="1801"/>
      <c r="AL466" s="1801"/>
      <c r="AM466" s="1801"/>
      <c r="AN466" s="1801"/>
      <c r="AO466" s="1802"/>
      <c r="AP466" s="1802"/>
      <c r="AQ466" s="1802"/>
      <c r="AR466" s="1802"/>
      <c r="AS466" s="1802"/>
      <c r="AT466" s="1802"/>
      <c r="AU466" s="1802"/>
      <c r="AV466" s="1802"/>
      <c r="AW466" s="1802"/>
      <c r="AX466" s="1802"/>
      <c r="AY466" s="1802"/>
      <c r="AZ466" s="1802"/>
      <c r="BA466" s="1802"/>
      <c r="BB466" s="1802"/>
      <c r="BC466" s="1802"/>
      <c r="BD466" s="1802"/>
      <c r="BE466" s="1802"/>
      <c r="BF466" s="1802"/>
      <c r="BG466" s="1802"/>
      <c r="BH466" s="1802"/>
      <c r="BI466" s="1802"/>
      <c r="BJ466" s="1802"/>
      <c r="BK466" s="1802"/>
      <c r="BL466" s="1802"/>
      <c r="BM466" s="1802"/>
      <c r="BN466" s="1802"/>
      <c r="BO466" s="1802"/>
      <c r="BP466" s="1802"/>
      <c r="BQ466" s="1802"/>
      <c r="BR466" s="1802"/>
      <c r="BS466" s="1802"/>
      <c r="BT466" s="1802"/>
      <c r="BU466" s="1802"/>
      <c r="BV466" s="1802"/>
      <c r="BW466" s="1802"/>
      <c r="BX466" s="1802"/>
      <c r="BY466" s="1802"/>
      <c r="BZ466" s="1802"/>
      <c r="CA466" s="1802"/>
      <c r="CB466" s="1802"/>
      <c r="CC466" s="1802"/>
      <c r="CD466" s="1802"/>
      <c r="CE466" s="1802"/>
      <c r="CF466" s="1802"/>
      <c r="CG466" s="1802"/>
      <c r="CH466" s="1802"/>
      <c r="CI466" s="1802"/>
      <c r="CJ466" s="1802"/>
      <c r="CK466" s="1802"/>
      <c r="CL466" s="1802"/>
      <c r="CM466" s="1802"/>
      <c r="CN466" s="1802"/>
      <c r="CO466" s="1802"/>
      <c r="CP466" s="1802"/>
      <c r="CQ466" s="1802"/>
      <c r="CR466" s="1802"/>
      <c r="CS466" s="1802"/>
      <c r="CT466" s="1802"/>
      <c r="CU466" s="1802"/>
      <c r="CV466" s="1802"/>
      <c r="CW466" s="1802"/>
      <c r="CX466" s="1802"/>
      <c r="CY466" s="1802"/>
      <c r="CZ466" s="1802"/>
      <c r="DA466" s="1802"/>
      <c r="DB466" s="1802"/>
      <c r="DC466" s="1802"/>
      <c r="DD466" s="1802"/>
      <c r="DE466" s="1802"/>
      <c r="DF466" s="1802"/>
      <c r="DG466" s="1802"/>
      <c r="DH466" s="1802"/>
      <c r="DI466" s="1802"/>
      <c r="DJ466" s="1802"/>
      <c r="DK466" s="1802"/>
      <c r="DL466" s="1802"/>
      <c r="DM466" s="1802"/>
      <c r="DN466" s="1802"/>
      <c r="DO466" s="1802"/>
      <c r="DP466" s="1802"/>
      <c r="DQ466" s="1802"/>
      <c r="DR466" s="1802"/>
      <c r="DS466" s="1802"/>
      <c r="DT466" s="1802"/>
      <c r="DU466" s="1802"/>
      <c r="DV466" s="1802"/>
      <c r="DW466" s="1802"/>
      <c r="DX466" s="1802"/>
      <c r="DY466" s="1802"/>
      <c r="DZ466" s="1802"/>
      <c r="EA466" s="1802"/>
      <c r="EB466" s="1802"/>
      <c r="EC466" s="1802"/>
      <c r="ED466" s="1802"/>
      <c r="EE466" s="1802"/>
      <c r="EF466" s="1802"/>
      <c r="EG466" s="1802"/>
      <c r="EH466" s="1802"/>
      <c r="EI466" s="1802"/>
      <c r="EJ466" s="1802"/>
      <c r="EK466" s="1802"/>
      <c r="EL466" s="1802"/>
      <c r="EM466" s="1802"/>
      <c r="EN466" s="1802"/>
      <c r="EO466" s="1802"/>
      <c r="EP466" s="1802"/>
      <c r="EQ466" s="1802"/>
      <c r="ER466" s="1802"/>
      <c r="ES466" s="1802"/>
      <c r="ET466" s="1802"/>
      <c r="EU466" s="1802"/>
      <c r="EV466" s="1802"/>
      <c r="EW466" s="1802"/>
      <c r="EX466" s="1802"/>
      <c r="EY466" s="1802"/>
      <c r="EZ466" s="1802"/>
      <c r="FA466" s="1802"/>
      <c r="FB466" s="1802"/>
      <c r="FC466" s="1802"/>
      <c r="FD466" s="1802"/>
      <c r="FE466" s="1802"/>
      <c r="FF466" s="1802"/>
      <c r="FG466" s="1802"/>
      <c r="FH466" s="1802"/>
      <c r="FI466" s="1802"/>
      <c r="FJ466" s="1802"/>
      <c r="FK466" s="1802"/>
      <c r="FL466" s="1802"/>
      <c r="FM466" s="1802"/>
      <c r="FN466" s="1802"/>
      <c r="FO466" s="1802"/>
      <c r="FP466" s="1802"/>
      <c r="FQ466" s="1802"/>
      <c r="FR466" s="1802"/>
      <c r="FS466" s="1802"/>
      <c r="FT466" s="1802"/>
      <c r="FU466" s="1802"/>
      <c r="FV466" s="1802"/>
      <c r="FW466" s="1802"/>
      <c r="FX466" s="1802"/>
      <c r="FY466" s="1802"/>
      <c r="FZ466" s="1802"/>
      <c r="GA466" s="1802"/>
      <c r="GB466" s="1802"/>
      <c r="GC466" s="1802"/>
      <c r="GD466" s="1802"/>
      <c r="GE466" s="1802"/>
      <c r="GF466" s="1802"/>
      <c r="GG466" s="1802"/>
      <c r="GH466" s="1802"/>
      <c r="GI466" s="1802"/>
      <c r="GJ466" s="1802"/>
      <c r="GK466" s="1802"/>
      <c r="GL466" s="1802"/>
      <c r="GM466" s="1802"/>
      <c r="GN466" s="1802"/>
      <c r="GO466" s="1802"/>
      <c r="GP466" s="1802"/>
      <c r="GQ466" s="1802"/>
      <c r="GR466" s="1802"/>
      <c r="GS466" s="1802"/>
      <c r="GT466" s="1802"/>
      <c r="GU466" s="1802"/>
      <c r="GV466" s="1802"/>
      <c r="GW466" s="1802"/>
      <c r="GX466" s="1802"/>
      <c r="GY466" s="1802"/>
      <c r="GZ466" s="1802"/>
      <c r="HA466" s="1802"/>
      <c r="HB466" s="1802"/>
      <c r="HC466" s="1802"/>
      <c r="HD466" s="1802"/>
      <c r="HE466" s="1802"/>
      <c r="HF466" s="1802"/>
      <c r="HG466" s="1802"/>
      <c r="HH466" s="1802"/>
      <c r="HI466" s="1802"/>
      <c r="HJ466" s="1802"/>
      <c r="HK466" s="1802"/>
      <c r="HL466" s="1802"/>
      <c r="HM466" s="1802"/>
      <c r="HN466" s="1802"/>
      <c r="HO466" s="1802"/>
      <c r="HP466" s="1802"/>
      <c r="HQ466" s="1802"/>
      <c r="HR466" s="1802"/>
      <c r="HS466" s="1802"/>
      <c r="HT466" s="1802"/>
      <c r="HU466" s="1802"/>
      <c r="HV466" s="1802"/>
      <c r="HW466" s="1802"/>
      <c r="HX466" s="1802"/>
      <c r="HY466" s="1802"/>
      <c r="HZ466" s="1802"/>
      <c r="IA466" s="1802"/>
      <c r="IB466" s="1802"/>
      <c r="IC466" s="1802"/>
      <c r="ID466" s="1802"/>
      <c r="IE466" s="1802"/>
      <c r="IF466" s="1802"/>
      <c r="IG466" s="1802"/>
      <c r="IH466" s="1802"/>
      <c r="II466" s="1802"/>
      <c r="IJ466" s="1802"/>
      <c r="IK466" s="1802"/>
      <c r="IL466" s="1802"/>
      <c r="IM466" s="1802"/>
      <c r="IN466" s="1802"/>
      <c r="IO466" s="1802"/>
      <c r="IP466" s="1802"/>
      <c r="IQ466" s="1802"/>
      <c r="IR466" s="1802"/>
      <c r="IS466" s="1802"/>
      <c r="IT466" s="1802"/>
      <c r="IU466" s="1802"/>
      <c r="IV466" s="1802"/>
      <c r="IW466" s="1802"/>
    </row>
    <row r="467" spans="3:257" s="888" customFormat="1" x14ac:dyDescent="0.45">
      <c r="C467" s="67" t="s">
        <v>603</v>
      </c>
      <c r="D467" s="335">
        <v>9.4589999999999996</v>
      </c>
      <c r="E467" s="2321" t="s">
        <v>871</v>
      </c>
      <c r="F467" s="2322"/>
      <c r="G467" s="2322"/>
      <c r="H467" s="2322"/>
      <c r="I467" s="2323"/>
      <c r="J467" s="1802"/>
      <c r="K467" s="1801"/>
      <c r="L467" s="1835"/>
      <c r="M467" s="1801"/>
      <c r="N467" s="1801"/>
      <c r="O467" s="1801"/>
      <c r="P467" s="1801"/>
      <c r="Q467" s="1801"/>
      <c r="R467" s="1801"/>
      <c r="S467" s="1801"/>
      <c r="T467" s="1801"/>
      <c r="U467" s="1801"/>
      <c r="V467" s="1801"/>
      <c r="W467" s="1800"/>
      <c r="X467" s="1800"/>
      <c r="Y467" s="1800"/>
      <c r="Z467" s="1800"/>
      <c r="AA467" s="1800"/>
      <c r="AB467" s="1801"/>
      <c r="AC467" s="1801"/>
      <c r="AD467" s="1801"/>
      <c r="AE467" s="1801"/>
      <c r="AF467" s="1801"/>
      <c r="AG467" s="1801"/>
      <c r="AH467" s="1801"/>
      <c r="AI467" s="1801"/>
      <c r="AJ467" s="1801"/>
      <c r="AK467" s="1801"/>
      <c r="AL467" s="1801"/>
      <c r="AM467" s="1801"/>
      <c r="AN467" s="1801"/>
      <c r="AO467" s="1802"/>
      <c r="AP467" s="1802"/>
      <c r="AQ467" s="1802"/>
      <c r="AR467" s="1802"/>
      <c r="AS467" s="1802"/>
      <c r="AT467" s="1802"/>
      <c r="AU467" s="1802"/>
      <c r="AV467" s="1802"/>
      <c r="AW467" s="1802"/>
      <c r="AX467" s="1802"/>
      <c r="AY467" s="1802"/>
      <c r="AZ467" s="1802"/>
      <c r="BA467" s="1802"/>
      <c r="BB467" s="1802"/>
      <c r="BC467" s="1802"/>
      <c r="BD467" s="1802"/>
      <c r="BE467" s="1802"/>
      <c r="BF467" s="1802"/>
      <c r="BG467" s="1802"/>
      <c r="BH467" s="1802"/>
      <c r="BI467" s="1802"/>
      <c r="BJ467" s="1802"/>
      <c r="BK467" s="1802"/>
      <c r="BL467" s="1802"/>
      <c r="BM467" s="1802"/>
      <c r="BN467" s="1802"/>
      <c r="BO467" s="1802"/>
      <c r="BP467" s="1802"/>
      <c r="BQ467" s="1802"/>
      <c r="BR467" s="1802"/>
      <c r="BS467" s="1802"/>
      <c r="BT467" s="1802"/>
      <c r="BU467" s="1802"/>
      <c r="BV467" s="1802"/>
      <c r="BW467" s="1802"/>
      <c r="BX467" s="1802"/>
      <c r="BY467" s="1802"/>
      <c r="BZ467" s="1802"/>
      <c r="CA467" s="1802"/>
      <c r="CB467" s="1802"/>
      <c r="CC467" s="1802"/>
      <c r="CD467" s="1802"/>
      <c r="CE467" s="1802"/>
      <c r="CF467" s="1802"/>
      <c r="CG467" s="1802"/>
      <c r="CH467" s="1802"/>
      <c r="CI467" s="1802"/>
      <c r="CJ467" s="1802"/>
      <c r="CK467" s="1802"/>
      <c r="CL467" s="1802"/>
      <c r="CM467" s="1802"/>
      <c r="CN467" s="1802"/>
      <c r="CO467" s="1802"/>
      <c r="CP467" s="1802"/>
      <c r="CQ467" s="1802"/>
      <c r="CR467" s="1802"/>
      <c r="CS467" s="1802"/>
      <c r="CT467" s="1802"/>
      <c r="CU467" s="1802"/>
      <c r="CV467" s="1802"/>
      <c r="CW467" s="1802"/>
      <c r="CX467" s="1802"/>
      <c r="CY467" s="1802"/>
      <c r="CZ467" s="1802"/>
      <c r="DA467" s="1802"/>
      <c r="DB467" s="1802"/>
      <c r="DC467" s="1802"/>
      <c r="DD467" s="1802"/>
      <c r="DE467" s="1802"/>
      <c r="DF467" s="1802"/>
      <c r="DG467" s="1802"/>
      <c r="DH467" s="1802"/>
      <c r="DI467" s="1802"/>
      <c r="DJ467" s="1802"/>
      <c r="DK467" s="1802"/>
      <c r="DL467" s="1802"/>
      <c r="DM467" s="1802"/>
      <c r="DN467" s="1802"/>
      <c r="DO467" s="1802"/>
      <c r="DP467" s="1802"/>
      <c r="DQ467" s="1802"/>
      <c r="DR467" s="1802"/>
      <c r="DS467" s="1802"/>
      <c r="DT467" s="1802"/>
      <c r="DU467" s="1802"/>
      <c r="DV467" s="1802"/>
      <c r="DW467" s="1802"/>
      <c r="DX467" s="1802"/>
      <c r="DY467" s="1802"/>
      <c r="DZ467" s="1802"/>
      <c r="EA467" s="1802"/>
      <c r="EB467" s="1802"/>
      <c r="EC467" s="1802"/>
      <c r="ED467" s="1802"/>
      <c r="EE467" s="1802"/>
      <c r="EF467" s="1802"/>
      <c r="EG467" s="1802"/>
      <c r="EH467" s="1802"/>
      <c r="EI467" s="1802"/>
      <c r="EJ467" s="1802"/>
      <c r="EK467" s="1802"/>
      <c r="EL467" s="1802"/>
      <c r="EM467" s="1802"/>
      <c r="EN467" s="1802"/>
      <c r="EO467" s="1802"/>
      <c r="EP467" s="1802"/>
      <c r="EQ467" s="1802"/>
      <c r="ER467" s="1802"/>
      <c r="ES467" s="1802"/>
      <c r="ET467" s="1802"/>
      <c r="EU467" s="1802"/>
      <c r="EV467" s="1802"/>
      <c r="EW467" s="1802"/>
      <c r="EX467" s="1802"/>
      <c r="EY467" s="1802"/>
      <c r="EZ467" s="1802"/>
      <c r="FA467" s="1802"/>
      <c r="FB467" s="1802"/>
      <c r="FC467" s="1802"/>
      <c r="FD467" s="1802"/>
      <c r="FE467" s="1802"/>
      <c r="FF467" s="1802"/>
      <c r="FG467" s="1802"/>
      <c r="FH467" s="1802"/>
      <c r="FI467" s="1802"/>
      <c r="FJ467" s="1802"/>
      <c r="FK467" s="1802"/>
      <c r="FL467" s="1802"/>
      <c r="FM467" s="1802"/>
      <c r="FN467" s="1802"/>
      <c r="FO467" s="1802"/>
      <c r="FP467" s="1802"/>
      <c r="FQ467" s="1802"/>
      <c r="FR467" s="1802"/>
      <c r="FS467" s="1802"/>
      <c r="FT467" s="1802"/>
      <c r="FU467" s="1802"/>
      <c r="FV467" s="1802"/>
      <c r="FW467" s="1802"/>
      <c r="FX467" s="1802"/>
      <c r="FY467" s="1802"/>
      <c r="FZ467" s="1802"/>
      <c r="GA467" s="1802"/>
      <c r="GB467" s="1802"/>
      <c r="GC467" s="1802"/>
      <c r="GD467" s="1802"/>
      <c r="GE467" s="1802"/>
      <c r="GF467" s="1802"/>
      <c r="GG467" s="1802"/>
      <c r="GH467" s="1802"/>
      <c r="GI467" s="1802"/>
      <c r="GJ467" s="1802"/>
      <c r="GK467" s="1802"/>
      <c r="GL467" s="1802"/>
      <c r="GM467" s="1802"/>
      <c r="GN467" s="1802"/>
      <c r="GO467" s="1802"/>
      <c r="GP467" s="1802"/>
      <c r="GQ467" s="1802"/>
      <c r="GR467" s="1802"/>
      <c r="GS467" s="1802"/>
      <c r="GT467" s="1802"/>
      <c r="GU467" s="1802"/>
      <c r="GV467" s="1802"/>
      <c r="GW467" s="1802"/>
      <c r="GX467" s="1802"/>
      <c r="GY467" s="1802"/>
      <c r="GZ467" s="1802"/>
      <c r="HA467" s="1802"/>
      <c r="HB467" s="1802"/>
      <c r="HC467" s="1802"/>
      <c r="HD467" s="1802"/>
      <c r="HE467" s="1802"/>
      <c r="HF467" s="1802"/>
      <c r="HG467" s="1802"/>
      <c r="HH467" s="1802"/>
      <c r="HI467" s="1802"/>
      <c r="HJ467" s="1802"/>
      <c r="HK467" s="1802"/>
      <c r="HL467" s="1802"/>
      <c r="HM467" s="1802"/>
      <c r="HN467" s="1802"/>
      <c r="HO467" s="1802"/>
      <c r="HP467" s="1802"/>
      <c r="HQ467" s="1802"/>
      <c r="HR467" s="1802"/>
      <c r="HS467" s="1802"/>
      <c r="HT467" s="1802"/>
      <c r="HU467" s="1802"/>
      <c r="HV467" s="1802"/>
      <c r="HW467" s="1802"/>
      <c r="HX467" s="1802"/>
      <c r="HY467" s="1802"/>
      <c r="HZ467" s="1802"/>
      <c r="IA467" s="1802"/>
      <c r="IB467" s="1802"/>
      <c r="IC467" s="1802"/>
      <c r="ID467" s="1802"/>
      <c r="IE467" s="1802"/>
      <c r="IF467" s="1802"/>
      <c r="IG467" s="1802"/>
      <c r="IH467" s="1802"/>
      <c r="II467" s="1802"/>
      <c r="IJ467" s="1802"/>
      <c r="IK467" s="1802"/>
      <c r="IL467" s="1802"/>
      <c r="IM467" s="1802"/>
      <c r="IN467" s="1802"/>
      <c r="IO467" s="1802"/>
      <c r="IP467" s="1802"/>
      <c r="IQ467" s="1802"/>
      <c r="IR467" s="1802"/>
      <c r="IS467" s="1802"/>
      <c r="IT467" s="1802"/>
      <c r="IU467" s="1802"/>
      <c r="IV467" s="1802"/>
      <c r="IW467" s="1802"/>
    </row>
    <row r="468" spans="3:257" s="888" customFormat="1" x14ac:dyDescent="0.45">
      <c r="C468" s="177" t="s">
        <v>604</v>
      </c>
      <c r="D468" s="336">
        <v>10.583</v>
      </c>
      <c r="E468" s="2324"/>
      <c r="F468" s="2325"/>
      <c r="G468" s="2325"/>
      <c r="H468" s="2325"/>
      <c r="I468" s="2326"/>
      <c r="J468" s="1802"/>
      <c r="K468" s="1801"/>
      <c r="L468" s="1835"/>
      <c r="M468" s="1801"/>
      <c r="N468" s="1801"/>
      <c r="O468" s="1801"/>
      <c r="P468" s="1801"/>
      <c r="Q468" s="1801"/>
      <c r="R468" s="1801"/>
      <c r="S468" s="1801"/>
      <c r="T468" s="1801"/>
      <c r="U468" s="1801"/>
      <c r="V468" s="1801"/>
      <c r="W468" s="1800"/>
      <c r="X468" s="1800"/>
      <c r="Y468" s="1800"/>
      <c r="Z468" s="1800"/>
      <c r="AA468" s="1800"/>
      <c r="AB468" s="1801"/>
      <c r="AC468" s="1801"/>
      <c r="AD468" s="1801"/>
      <c r="AE468" s="1801"/>
      <c r="AF468" s="1801"/>
      <c r="AG468" s="1801"/>
      <c r="AH468" s="1801"/>
      <c r="AI468" s="1801"/>
      <c r="AJ468" s="1801"/>
      <c r="AK468" s="1801"/>
      <c r="AL468" s="1801"/>
      <c r="AM468" s="1801"/>
      <c r="AN468" s="1801"/>
      <c r="AO468" s="1802"/>
      <c r="AP468" s="1802"/>
      <c r="AQ468" s="1802"/>
      <c r="AR468" s="1802"/>
      <c r="AS468" s="1802"/>
      <c r="AT468" s="1802"/>
      <c r="AU468" s="1802"/>
      <c r="AV468" s="1802"/>
      <c r="AW468" s="1802"/>
      <c r="AX468" s="1802"/>
      <c r="AY468" s="1802"/>
      <c r="AZ468" s="1802"/>
      <c r="BA468" s="1802"/>
      <c r="BB468" s="1802"/>
      <c r="BC468" s="1802"/>
      <c r="BD468" s="1802"/>
      <c r="BE468" s="1802"/>
      <c r="BF468" s="1802"/>
      <c r="BG468" s="1802"/>
      <c r="BH468" s="1802"/>
      <c r="BI468" s="1802"/>
      <c r="BJ468" s="1802"/>
      <c r="BK468" s="1802"/>
      <c r="BL468" s="1802"/>
      <c r="BM468" s="1802"/>
      <c r="BN468" s="1802"/>
      <c r="BO468" s="1802"/>
      <c r="BP468" s="1802"/>
      <c r="BQ468" s="1802"/>
      <c r="BR468" s="1802"/>
      <c r="BS468" s="1802"/>
      <c r="BT468" s="1802"/>
      <c r="BU468" s="1802"/>
      <c r="BV468" s="1802"/>
      <c r="BW468" s="1802"/>
      <c r="BX468" s="1802"/>
      <c r="BY468" s="1802"/>
      <c r="BZ468" s="1802"/>
      <c r="CA468" s="1802"/>
      <c r="CB468" s="1802"/>
      <c r="CC468" s="1802"/>
      <c r="CD468" s="1802"/>
      <c r="CE468" s="1802"/>
      <c r="CF468" s="1802"/>
      <c r="CG468" s="1802"/>
      <c r="CH468" s="1802"/>
      <c r="CI468" s="1802"/>
      <c r="CJ468" s="1802"/>
      <c r="CK468" s="1802"/>
      <c r="CL468" s="1802"/>
      <c r="CM468" s="1802"/>
      <c r="CN468" s="1802"/>
      <c r="CO468" s="1802"/>
      <c r="CP468" s="1802"/>
      <c r="CQ468" s="1802"/>
      <c r="CR468" s="1802"/>
      <c r="CS468" s="1802"/>
      <c r="CT468" s="1802"/>
      <c r="CU468" s="1802"/>
      <c r="CV468" s="1802"/>
      <c r="CW468" s="1802"/>
      <c r="CX468" s="1802"/>
      <c r="CY468" s="1802"/>
      <c r="CZ468" s="1802"/>
      <c r="DA468" s="1802"/>
      <c r="DB468" s="1802"/>
      <c r="DC468" s="1802"/>
      <c r="DD468" s="1802"/>
      <c r="DE468" s="1802"/>
      <c r="DF468" s="1802"/>
      <c r="DG468" s="1802"/>
      <c r="DH468" s="1802"/>
      <c r="DI468" s="1802"/>
      <c r="DJ468" s="1802"/>
      <c r="DK468" s="1802"/>
      <c r="DL468" s="1802"/>
      <c r="DM468" s="1802"/>
      <c r="DN468" s="1802"/>
      <c r="DO468" s="1802"/>
      <c r="DP468" s="1802"/>
      <c r="DQ468" s="1802"/>
      <c r="DR468" s="1802"/>
      <c r="DS468" s="1802"/>
      <c r="DT468" s="1802"/>
      <c r="DU468" s="1802"/>
      <c r="DV468" s="1802"/>
      <c r="DW468" s="1802"/>
      <c r="DX468" s="1802"/>
      <c r="DY468" s="1802"/>
      <c r="DZ468" s="1802"/>
      <c r="EA468" s="1802"/>
      <c r="EB468" s="1802"/>
      <c r="EC468" s="1802"/>
      <c r="ED468" s="1802"/>
      <c r="EE468" s="1802"/>
      <c r="EF468" s="1802"/>
      <c r="EG468" s="1802"/>
      <c r="EH468" s="1802"/>
      <c r="EI468" s="1802"/>
      <c r="EJ468" s="1802"/>
      <c r="EK468" s="1802"/>
      <c r="EL468" s="1802"/>
      <c r="EM468" s="1802"/>
      <c r="EN468" s="1802"/>
      <c r="EO468" s="1802"/>
      <c r="EP468" s="1802"/>
      <c r="EQ468" s="1802"/>
      <c r="ER468" s="1802"/>
      <c r="ES468" s="1802"/>
      <c r="ET468" s="1802"/>
      <c r="EU468" s="1802"/>
      <c r="EV468" s="1802"/>
      <c r="EW468" s="1802"/>
      <c r="EX468" s="1802"/>
      <c r="EY468" s="1802"/>
      <c r="EZ468" s="1802"/>
      <c r="FA468" s="1802"/>
      <c r="FB468" s="1802"/>
      <c r="FC468" s="1802"/>
      <c r="FD468" s="1802"/>
      <c r="FE468" s="1802"/>
      <c r="FF468" s="1802"/>
      <c r="FG468" s="1802"/>
      <c r="FH468" s="1802"/>
      <c r="FI468" s="1802"/>
      <c r="FJ468" s="1802"/>
      <c r="FK468" s="1802"/>
      <c r="FL468" s="1802"/>
      <c r="FM468" s="1802"/>
      <c r="FN468" s="1802"/>
      <c r="FO468" s="1802"/>
      <c r="FP468" s="1802"/>
      <c r="FQ468" s="1802"/>
      <c r="FR468" s="1802"/>
      <c r="FS468" s="1802"/>
      <c r="FT468" s="1802"/>
      <c r="FU468" s="1802"/>
      <c r="FV468" s="1802"/>
      <c r="FW468" s="1802"/>
      <c r="FX468" s="1802"/>
      <c r="FY468" s="1802"/>
      <c r="FZ468" s="1802"/>
      <c r="GA468" s="1802"/>
      <c r="GB468" s="1802"/>
      <c r="GC468" s="1802"/>
      <c r="GD468" s="1802"/>
      <c r="GE468" s="1802"/>
      <c r="GF468" s="1802"/>
      <c r="GG468" s="1802"/>
      <c r="GH468" s="1802"/>
      <c r="GI468" s="1802"/>
      <c r="GJ468" s="1802"/>
      <c r="GK468" s="1802"/>
      <c r="GL468" s="1802"/>
      <c r="GM468" s="1802"/>
      <c r="GN468" s="1802"/>
      <c r="GO468" s="1802"/>
      <c r="GP468" s="1802"/>
      <c r="GQ468" s="1802"/>
      <c r="GR468" s="1802"/>
      <c r="GS468" s="1802"/>
      <c r="GT468" s="1802"/>
      <c r="GU468" s="1802"/>
      <c r="GV468" s="1802"/>
      <c r="GW468" s="1802"/>
      <c r="GX468" s="1802"/>
      <c r="GY468" s="1802"/>
      <c r="GZ468" s="1802"/>
      <c r="HA468" s="1802"/>
      <c r="HB468" s="1802"/>
      <c r="HC468" s="1802"/>
      <c r="HD468" s="1802"/>
      <c r="HE468" s="1802"/>
      <c r="HF468" s="1802"/>
      <c r="HG468" s="1802"/>
      <c r="HH468" s="1802"/>
      <c r="HI468" s="1802"/>
      <c r="HJ468" s="1802"/>
      <c r="HK468" s="1802"/>
      <c r="HL468" s="1802"/>
      <c r="HM468" s="1802"/>
      <c r="HN468" s="1802"/>
      <c r="HO468" s="1802"/>
      <c r="HP468" s="1802"/>
      <c r="HQ468" s="1802"/>
      <c r="HR468" s="1802"/>
      <c r="HS468" s="1802"/>
      <c r="HT468" s="1802"/>
      <c r="HU468" s="1802"/>
      <c r="HV468" s="1802"/>
      <c r="HW468" s="1802"/>
      <c r="HX468" s="1802"/>
      <c r="HY468" s="1802"/>
      <c r="HZ468" s="1802"/>
      <c r="IA468" s="1802"/>
      <c r="IB468" s="1802"/>
      <c r="IC468" s="1802"/>
      <c r="ID468" s="1802"/>
      <c r="IE468" s="1802"/>
      <c r="IF468" s="1802"/>
      <c r="IG468" s="1802"/>
      <c r="IH468" s="1802"/>
      <c r="II468" s="1802"/>
      <c r="IJ468" s="1802"/>
      <c r="IK468" s="1802"/>
      <c r="IL468" s="1802"/>
      <c r="IM468" s="1802"/>
      <c r="IN468" s="1802"/>
      <c r="IO468" s="1802"/>
      <c r="IP468" s="1802"/>
      <c r="IQ468" s="1802"/>
      <c r="IR468" s="1802"/>
      <c r="IS468" s="1802"/>
      <c r="IT468" s="1802"/>
      <c r="IU468" s="1802"/>
      <c r="IV468" s="1802"/>
      <c r="IW468" s="1802"/>
    </row>
    <row r="469" spans="3:257" s="888" customFormat="1" x14ac:dyDescent="0.45">
      <c r="C469" s="177" t="s">
        <v>754</v>
      </c>
      <c r="D469" s="336">
        <v>10.742000000000001</v>
      </c>
      <c r="E469" s="2327"/>
      <c r="F469" s="2328"/>
      <c r="G469" s="2328"/>
      <c r="H469" s="2328"/>
      <c r="I469" s="2329"/>
      <c r="J469" s="1802"/>
      <c r="K469" s="1801"/>
      <c r="L469" s="1835"/>
      <c r="M469" s="1801"/>
      <c r="N469" s="1801"/>
      <c r="O469" s="1801"/>
      <c r="P469" s="1801"/>
      <c r="Q469" s="1801"/>
      <c r="R469" s="1801"/>
      <c r="S469" s="1801"/>
      <c r="T469" s="1801"/>
      <c r="U469" s="1801"/>
      <c r="V469" s="1801"/>
      <c r="W469" s="1800"/>
      <c r="X469" s="1800"/>
      <c r="Y469" s="1800"/>
      <c r="Z469" s="1800"/>
      <c r="AA469" s="1800"/>
      <c r="AB469" s="1801"/>
      <c r="AC469" s="1801"/>
      <c r="AD469" s="1801"/>
      <c r="AE469" s="1801"/>
      <c r="AF469" s="1801"/>
      <c r="AG469" s="1801"/>
      <c r="AH469" s="1801"/>
      <c r="AI469" s="1801"/>
      <c r="AJ469" s="1801"/>
      <c r="AK469" s="1801"/>
      <c r="AL469" s="1801"/>
      <c r="AM469" s="1801"/>
      <c r="AN469" s="1801"/>
      <c r="AO469" s="1802"/>
      <c r="AP469" s="1802"/>
      <c r="AQ469" s="1802"/>
      <c r="AR469" s="1802"/>
      <c r="AS469" s="1802"/>
      <c r="AT469" s="1802"/>
      <c r="AU469" s="1802"/>
      <c r="AV469" s="1802"/>
      <c r="AW469" s="1802"/>
      <c r="AX469" s="1802"/>
      <c r="AY469" s="1802"/>
      <c r="AZ469" s="1802"/>
      <c r="BA469" s="1802"/>
      <c r="BB469" s="1802"/>
      <c r="BC469" s="1802"/>
      <c r="BD469" s="1802"/>
      <c r="BE469" s="1802"/>
      <c r="BF469" s="1802"/>
      <c r="BG469" s="1802"/>
      <c r="BH469" s="1802"/>
      <c r="BI469" s="1802"/>
      <c r="BJ469" s="1802"/>
      <c r="BK469" s="1802"/>
      <c r="BL469" s="1802"/>
      <c r="BM469" s="1802"/>
      <c r="BN469" s="1802"/>
      <c r="BO469" s="1802"/>
      <c r="BP469" s="1802"/>
      <c r="BQ469" s="1802"/>
      <c r="BR469" s="1802"/>
      <c r="BS469" s="1802"/>
      <c r="BT469" s="1802"/>
      <c r="BU469" s="1802"/>
      <c r="BV469" s="1802"/>
      <c r="BW469" s="1802"/>
      <c r="BX469" s="1802"/>
      <c r="BY469" s="1802"/>
      <c r="BZ469" s="1802"/>
      <c r="CA469" s="1802"/>
      <c r="CB469" s="1802"/>
      <c r="CC469" s="1802"/>
      <c r="CD469" s="1802"/>
      <c r="CE469" s="1802"/>
      <c r="CF469" s="1802"/>
      <c r="CG469" s="1802"/>
      <c r="CH469" s="1802"/>
      <c r="CI469" s="1802"/>
      <c r="CJ469" s="1802"/>
      <c r="CK469" s="1802"/>
      <c r="CL469" s="1802"/>
      <c r="CM469" s="1802"/>
      <c r="CN469" s="1802"/>
      <c r="CO469" s="1802"/>
      <c r="CP469" s="1802"/>
      <c r="CQ469" s="1802"/>
      <c r="CR469" s="1802"/>
      <c r="CS469" s="1802"/>
      <c r="CT469" s="1802"/>
      <c r="CU469" s="1802"/>
      <c r="CV469" s="1802"/>
      <c r="CW469" s="1802"/>
      <c r="CX469" s="1802"/>
      <c r="CY469" s="1802"/>
      <c r="CZ469" s="1802"/>
      <c r="DA469" s="1802"/>
      <c r="DB469" s="1802"/>
      <c r="DC469" s="1802"/>
      <c r="DD469" s="1802"/>
      <c r="DE469" s="1802"/>
      <c r="DF469" s="1802"/>
      <c r="DG469" s="1802"/>
      <c r="DH469" s="1802"/>
      <c r="DI469" s="1802"/>
      <c r="DJ469" s="1802"/>
      <c r="DK469" s="1802"/>
      <c r="DL469" s="1802"/>
      <c r="DM469" s="1802"/>
      <c r="DN469" s="1802"/>
      <c r="DO469" s="1802"/>
      <c r="DP469" s="1802"/>
      <c r="DQ469" s="1802"/>
      <c r="DR469" s="1802"/>
      <c r="DS469" s="1802"/>
      <c r="DT469" s="1802"/>
      <c r="DU469" s="1802"/>
      <c r="DV469" s="1802"/>
      <c r="DW469" s="1802"/>
      <c r="DX469" s="1802"/>
      <c r="DY469" s="1802"/>
      <c r="DZ469" s="1802"/>
      <c r="EA469" s="1802"/>
      <c r="EB469" s="1802"/>
      <c r="EC469" s="1802"/>
      <c r="ED469" s="1802"/>
      <c r="EE469" s="1802"/>
      <c r="EF469" s="1802"/>
      <c r="EG469" s="1802"/>
      <c r="EH469" s="1802"/>
      <c r="EI469" s="1802"/>
      <c r="EJ469" s="1802"/>
      <c r="EK469" s="1802"/>
      <c r="EL469" s="1802"/>
      <c r="EM469" s="1802"/>
      <c r="EN469" s="1802"/>
      <c r="EO469" s="1802"/>
      <c r="EP469" s="1802"/>
      <c r="EQ469" s="1802"/>
      <c r="ER469" s="1802"/>
      <c r="ES469" s="1802"/>
      <c r="ET469" s="1802"/>
      <c r="EU469" s="1802"/>
      <c r="EV469" s="1802"/>
      <c r="EW469" s="1802"/>
      <c r="EX469" s="1802"/>
      <c r="EY469" s="1802"/>
      <c r="EZ469" s="1802"/>
      <c r="FA469" s="1802"/>
      <c r="FB469" s="1802"/>
      <c r="FC469" s="1802"/>
      <c r="FD469" s="1802"/>
      <c r="FE469" s="1802"/>
      <c r="FF469" s="1802"/>
      <c r="FG469" s="1802"/>
      <c r="FH469" s="1802"/>
      <c r="FI469" s="1802"/>
      <c r="FJ469" s="1802"/>
      <c r="FK469" s="1802"/>
      <c r="FL469" s="1802"/>
      <c r="FM469" s="1802"/>
      <c r="FN469" s="1802"/>
      <c r="FO469" s="1802"/>
      <c r="FP469" s="1802"/>
      <c r="FQ469" s="1802"/>
      <c r="FR469" s="1802"/>
      <c r="FS469" s="1802"/>
      <c r="FT469" s="1802"/>
      <c r="FU469" s="1802"/>
      <c r="FV469" s="1802"/>
      <c r="FW469" s="1802"/>
      <c r="FX469" s="1802"/>
      <c r="FY469" s="1802"/>
      <c r="FZ469" s="1802"/>
      <c r="GA469" s="1802"/>
      <c r="GB469" s="1802"/>
      <c r="GC469" s="1802"/>
      <c r="GD469" s="1802"/>
      <c r="GE469" s="1802"/>
      <c r="GF469" s="1802"/>
      <c r="GG469" s="1802"/>
      <c r="GH469" s="1802"/>
      <c r="GI469" s="1802"/>
      <c r="GJ469" s="1802"/>
      <c r="GK469" s="1802"/>
      <c r="GL469" s="1802"/>
      <c r="GM469" s="1802"/>
      <c r="GN469" s="1802"/>
      <c r="GO469" s="1802"/>
      <c r="GP469" s="1802"/>
      <c r="GQ469" s="1802"/>
      <c r="GR469" s="1802"/>
      <c r="GS469" s="1802"/>
      <c r="GT469" s="1802"/>
      <c r="GU469" s="1802"/>
      <c r="GV469" s="1802"/>
      <c r="GW469" s="1802"/>
      <c r="GX469" s="1802"/>
      <c r="GY469" s="1802"/>
      <c r="GZ469" s="1802"/>
      <c r="HA469" s="1802"/>
      <c r="HB469" s="1802"/>
      <c r="HC469" s="1802"/>
      <c r="HD469" s="1802"/>
      <c r="HE469" s="1802"/>
      <c r="HF469" s="1802"/>
      <c r="HG469" s="1802"/>
      <c r="HH469" s="1802"/>
      <c r="HI469" s="1802"/>
      <c r="HJ469" s="1802"/>
      <c r="HK469" s="1802"/>
      <c r="HL469" s="1802"/>
      <c r="HM469" s="1802"/>
      <c r="HN469" s="1802"/>
      <c r="HO469" s="1802"/>
      <c r="HP469" s="1802"/>
      <c r="HQ469" s="1802"/>
      <c r="HR469" s="1802"/>
      <c r="HS469" s="1802"/>
      <c r="HT469" s="1802"/>
      <c r="HU469" s="1802"/>
      <c r="HV469" s="1802"/>
      <c r="HW469" s="1802"/>
      <c r="HX469" s="1802"/>
      <c r="HY469" s="1802"/>
      <c r="HZ469" s="1802"/>
      <c r="IA469" s="1802"/>
      <c r="IB469" s="1802"/>
      <c r="IC469" s="1802"/>
      <c r="ID469" s="1802"/>
      <c r="IE469" s="1802"/>
      <c r="IF469" s="1802"/>
      <c r="IG469" s="1802"/>
      <c r="IH469" s="1802"/>
      <c r="II469" s="1802"/>
      <c r="IJ469" s="1802"/>
      <c r="IK469" s="1802"/>
      <c r="IL469" s="1802"/>
      <c r="IM469" s="1802"/>
      <c r="IN469" s="1802"/>
      <c r="IO469" s="1802"/>
      <c r="IP469" s="1802"/>
      <c r="IQ469" s="1802"/>
      <c r="IR469" s="1802"/>
      <c r="IS469" s="1802"/>
      <c r="IT469" s="1802"/>
      <c r="IU469" s="1802"/>
      <c r="IV469" s="1802"/>
      <c r="IW469" s="1802"/>
    </row>
    <row r="470" spans="3:257" s="888" customFormat="1" x14ac:dyDescent="0.45">
      <c r="C470" s="178"/>
      <c r="D470" s="179" t="s">
        <v>755</v>
      </c>
      <c r="E470" s="337"/>
      <c r="F470" s="338"/>
      <c r="G470" s="338"/>
      <c r="H470" s="338"/>
      <c r="I470" s="339"/>
      <c r="J470" s="1802"/>
      <c r="K470" s="1801"/>
      <c r="L470" s="1835"/>
      <c r="M470" s="1801"/>
      <c r="N470" s="1801"/>
      <c r="O470" s="1801"/>
      <c r="P470" s="1801"/>
      <c r="Q470" s="1801"/>
      <c r="R470" s="1801"/>
      <c r="S470" s="1801"/>
      <c r="T470" s="1801"/>
      <c r="U470" s="1801"/>
      <c r="V470" s="1801"/>
      <c r="W470" s="1800"/>
      <c r="X470" s="1800"/>
      <c r="Y470" s="1800"/>
      <c r="Z470" s="1800"/>
      <c r="AA470" s="1800"/>
      <c r="AB470" s="1801"/>
      <c r="AC470" s="1801"/>
      <c r="AD470" s="1801"/>
      <c r="AE470" s="1801"/>
      <c r="AF470" s="1801"/>
      <c r="AG470" s="1801"/>
      <c r="AH470" s="1801"/>
      <c r="AI470" s="1801"/>
      <c r="AJ470" s="1801"/>
      <c r="AK470" s="1801"/>
      <c r="AL470" s="1801"/>
      <c r="AM470" s="1801"/>
      <c r="AN470" s="1801"/>
      <c r="AO470" s="1802"/>
      <c r="AP470" s="1802"/>
      <c r="AQ470" s="1802"/>
      <c r="AR470" s="1802"/>
      <c r="AS470" s="1802"/>
      <c r="AT470" s="1802"/>
      <c r="AU470" s="1802"/>
      <c r="AV470" s="1802"/>
      <c r="AW470" s="1802"/>
      <c r="AX470" s="1802"/>
      <c r="AY470" s="1802"/>
      <c r="AZ470" s="1802"/>
      <c r="BA470" s="1802"/>
      <c r="BB470" s="1802"/>
      <c r="BC470" s="1802"/>
      <c r="BD470" s="1802"/>
      <c r="BE470" s="1802"/>
      <c r="BF470" s="1802"/>
      <c r="BG470" s="1802"/>
      <c r="BH470" s="1802"/>
      <c r="BI470" s="1802"/>
      <c r="BJ470" s="1802"/>
      <c r="BK470" s="1802"/>
      <c r="BL470" s="1802"/>
      <c r="BM470" s="1802"/>
      <c r="BN470" s="1802"/>
      <c r="BO470" s="1802"/>
      <c r="BP470" s="1802"/>
      <c r="BQ470" s="1802"/>
      <c r="BR470" s="1802"/>
      <c r="BS470" s="1802"/>
      <c r="BT470" s="1802"/>
      <c r="BU470" s="1802"/>
      <c r="BV470" s="1802"/>
      <c r="BW470" s="1802"/>
      <c r="BX470" s="1802"/>
      <c r="BY470" s="1802"/>
      <c r="BZ470" s="1802"/>
      <c r="CA470" s="1802"/>
      <c r="CB470" s="1802"/>
      <c r="CC470" s="1802"/>
      <c r="CD470" s="1802"/>
      <c r="CE470" s="1802"/>
      <c r="CF470" s="1802"/>
      <c r="CG470" s="1802"/>
      <c r="CH470" s="1802"/>
      <c r="CI470" s="1802"/>
      <c r="CJ470" s="1802"/>
      <c r="CK470" s="1802"/>
      <c r="CL470" s="1802"/>
      <c r="CM470" s="1802"/>
      <c r="CN470" s="1802"/>
      <c r="CO470" s="1802"/>
      <c r="CP470" s="1802"/>
      <c r="CQ470" s="1802"/>
      <c r="CR470" s="1802"/>
      <c r="CS470" s="1802"/>
      <c r="CT470" s="1802"/>
      <c r="CU470" s="1802"/>
      <c r="CV470" s="1802"/>
      <c r="CW470" s="1802"/>
      <c r="CX470" s="1802"/>
      <c r="CY470" s="1802"/>
      <c r="CZ470" s="1802"/>
      <c r="DA470" s="1802"/>
      <c r="DB470" s="1802"/>
      <c r="DC470" s="1802"/>
      <c r="DD470" s="1802"/>
      <c r="DE470" s="1802"/>
      <c r="DF470" s="1802"/>
      <c r="DG470" s="1802"/>
      <c r="DH470" s="1802"/>
      <c r="DI470" s="1802"/>
      <c r="DJ470" s="1802"/>
      <c r="DK470" s="1802"/>
      <c r="DL470" s="1802"/>
      <c r="DM470" s="1802"/>
      <c r="DN470" s="1802"/>
      <c r="DO470" s="1802"/>
      <c r="DP470" s="1802"/>
      <c r="DQ470" s="1802"/>
      <c r="DR470" s="1802"/>
      <c r="DS470" s="1802"/>
      <c r="DT470" s="1802"/>
      <c r="DU470" s="1802"/>
      <c r="DV470" s="1802"/>
      <c r="DW470" s="1802"/>
      <c r="DX470" s="1802"/>
      <c r="DY470" s="1802"/>
      <c r="DZ470" s="1802"/>
      <c r="EA470" s="1802"/>
      <c r="EB470" s="1802"/>
      <c r="EC470" s="1802"/>
      <c r="ED470" s="1802"/>
      <c r="EE470" s="1802"/>
      <c r="EF470" s="1802"/>
      <c r="EG470" s="1802"/>
      <c r="EH470" s="1802"/>
      <c r="EI470" s="1802"/>
      <c r="EJ470" s="1802"/>
      <c r="EK470" s="1802"/>
      <c r="EL470" s="1802"/>
      <c r="EM470" s="1802"/>
      <c r="EN470" s="1802"/>
      <c r="EO470" s="1802"/>
      <c r="EP470" s="1802"/>
      <c r="EQ470" s="1802"/>
      <c r="ER470" s="1802"/>
      <c r="ES470" s="1802"/>
      <c r="ET470" s="1802"/>
      <c r="EU470" s="1802"/>
      <c r="EV470" s="1802"/>
      <c r="EW470" s="1802"/>
      <c r="EX470" s="1802"/>
      <c r="EY470" s="1802"/>
      <c r="EZ470" s="1802"/>
      <c r="FA470" s="1802"/>
      <c r="FB470" s="1802"/>
      <c r="FC470" s="1802"/>
      <c r="FD470" s="1802"/>
      <c r="FE470" s="1802"/>
      <c r="FF470" s="1802"/>
      <c r="FG470" s="1802"/>
      <c r="FH470" s="1802"/>
      <c r="FI470" s="1802"/>
      <c r="FJ470" s="1802"/>
      <c r="FK470" s="1802"/>
      <c r="FL470" s="1802"/>
      <c r="FM470" s="1802"/>
      <c r="FN470" s="1802"/>
      <c r="FO470" s="1802"/>
      <c r="FP470" s="1802"/>
      <c r="FQ470" s="1802"/>
      <c r="FR470" s="1802"/>
      <c r="FS470" s="1802"/>
      <c r="FT470" s="1802"/>
      <c r="FU470" s="1802"/>
      <c r="FV470" s="1802"/>
      <c r="FW470" s="1802"/>
      <c r="FX470" s="1802"/>
      <c r="FY470" s="1802"/>
      <c r="FZ470" s="1802"/>
      <c r="GA470" s="1802"/>
      <c r="GB470" s="1802"/>
      <c r="GC470" s="1802"/>
      <c r="GD470" s="1802"/>
      <c r="GE470" s="1802"/>
      <c r="GF470" s="1802"/>
      <c r="GG470" s="1802"/>
      <c r="GH470" s="1802"/>
      <c r="GI470" s="1802"/>
      <c r="GJ470" s="1802"/>
      <c r="GK470" s="1802"/>
      <c r="GL470" s="1802"/>
      <c r="GM470" s="1802"/>
      <c r="GN470" s="1802"/>
      <c r="GO470" s="1802"/>
      <c r="GP470" s="1802"/>
      <c r="GQ470" s="1802"/>
      <c r="GR470" s="1802"/>
      <c r="GS470" s="1802"/>
      <c r="GT470" s="1802"/>
      <c r="GU470" s="1802"/>
      <c r="GV470" s="1802"/>
      <c r="GW470" s="1802"/>
      <c r="GX470" s="1802"/>
      <c r="GY470" s="1802"/>
      <c r="GZ470" s="1802"/>
      <c r="HA470" s="1802"/>
      <c r="HB470" s="1802"/>
      <c r="HC470" s="1802"/>
      <c r="HD470" s="1802"/>
      <c r="HE470" s="1802"/>
      <c r="HF470" s="1802"/>
      <c r="HG470" s="1802"/>
      <c r="HH470" s="1802"/>
      <c r="HI470" s="1802"/>
      <c r="HJ470" s="1802"/>
      <c r="HK470" s="1802"/>
      <c r="HL470" s="1802"/>
      <c r="HM470" s="1802"/>
      <c r="HN470" s="1802"/>
      <c r="HO470" s="1802"/>
      <c r="HP470" s="1802"/>
      <c r="HQ470" s="1802"/>
      <c r="HR470" s="1802"/>
      <c r="HS470" s="1802"/>
      <c r="HT470" s="1802"/>
      <c r="HU470" s="1802"/>
      <c r="HV470" s="1802"/>
      <c r="HW470" s="1802"/>
      <c r="HX470" s="1802"/>
      <c r="HY470" s="1802"/>
      <c r="HZ470" s="1802"/>
      <c r="IA470" s="1802"/>
      <c r="IB470" s="1802"/>
      <c r="IC470" s="1802"/>
      <c r="ID470" s="1802"/>
      <c r="IE470" s="1802"/>
      <c r="IF470" s="1802"/>
      <c r="IG470" s="1802"/>
      <c r="IH470" s="1802"/>
      <c r="II470" s="1802"/>
      <c r="IJ470" s="1802"/>
      <c r="IK470" s="1802"/>
      <c r="IL470" s="1802"/>
      <c r="IM470" s="1802"/>
      <c r="IN470" s="1802"/>
      <c r="IO470" s="1802"/>
      <c r="IP470" s="1802"/>
      <c r="IQ470" s="1802"/>
      <c r="IR470" s="1802"/>
      <c r="IS470" s="1802"/>
      <c r="IT470" s="1802"/>
      <c r="IU470" s="1802"/>
      <c r="IV470" s="1802"/>
      <c r="IW470" s="1802"/>
    </row>
    <row r="471" spans="3:257" s="888" customFormat="1" x14ac:dyDescent="0.45">
      <c r="C471" s="67" t="s">
        <v>603</v>
      </c>
      <c r="D471" s="335">
        <v>12836</v>
      </c>
      <c r="E471" s="2303" t="s">
        <v>871</v>
      </c>
      <c r="F471" s="2304"/>
      <c r="G471" s="2304"/>
      <c r="H471" s="2304"/>
      <c r="I471" s="2305"/>
      <c r="J471" s="1802"/>
      <c r="K471" s="1801"/>
      <c r="L471" s="1835"/>
      <c r="M471" s="1801"/>
      <c r="N471" s="1801"/>
      <c r="O471" s="1801"/>
      <c r="P471" s="1801"/>
      <c r="Q471" s="1801"/>
      <c r="R471" s="1801"/>
      <c r="S471" s="1801"/>
      <c r="T471" s="1801"/>
      <c r="U471" s="1801"/>
      <c r="V471" s="1801"/>
      <c r="W471" s="1800"/>
      <c r="X471" s="1800"/>
      <c r="Y471" s="1800"/>
      <c r="Z471" s="1800"/>
      <c r="AA471" s="1800"/>
      <c r="AB471" s="1801"/>
      <c r="AC471" s="1801"/>
      <c r="AD471" s="1801"/>
      <c r="AE471" s="1801"/>
      <c r="AF471" s="1801"/>
      <c r="AG471" s="1801"/>
      <c r="AH471" s="1801"/>
      <c r="AI471" s="1801"/>
      <c r="AJ471" s="1801"/>
      <c r="AK471" s="1801"/>
      <c r="AL471" s="1801"/>
      <c r="AM471" s="1801"/>
      <c r="AN471" s="1801"/>
      <c r="AO471" s="1802"/>
      <c r="AP471" s="1802"/>
      <c r="AQ471" s="1802"/>
      <c r="AR471" s="1802"/>
      <c r="AS471" s="1802"/>
      <c r="AT471" s="1802"/>
      <c r="AU471" s="1802"/>
      <c r="AV471" s="1802"/>
      <c r="AW471" s="1802"/>
      <c r="AX471" s="1802"/>
      <c r="AY471" s="1802"/>
      <c r="AZ471" s="1802"/>
      <c r="BA471" s="1802"/>
      <c r="BB471" s="1802"/>
      <c r="BC471" s="1802"/>
      <c r="BD471" s="1802"/>
      <c r="BE471" s="1802"/>
      <c r="BF471" s="1802"/>
      <c r="BG471" s="1802"/>
      <c r="BH471" s="1802"/>
      <c r="BI471" s="1802"/>
      <c r="BJ471" s="1802"/>
      <c r="BK471" s="1802"/>
      <c r="BL471" s="1802"/>
      <c r="BM471" s="1802"/>
      <c r="BN471" s="1802"/>
      <c r="BO471" s="1802"/>
      <c r="BP471" s="1802"/>
      <c r="BQ471" s="1802"/>
      <c r="BR471" s="1802"/>
      <c r="BS471" s="1802"/>
      <c r="BT471" s="1802"/>
      <c r="BU471" s="1802"/>
      <c r="BV471" s="1802"/>
      <c r="BW471" s="1802"/>
      <c r="BX471" s="1802"/>
      <c r="BY471" s="1802"/>
      <c r="BZ471" s="1802"/>
      <c r="CA471" s="1802"/>
      <c r="CB471" s="1802"/>
      <c r="CC471" s="1802"/>
      <c r="CD471" s="1802"/>
      <c r="CE471" s="1802"/>
      <c r="CF471" s="1802"/>
      <c r="CG471" s="1802"/>
      <c r="CH471" s="1802"/>
      <c r="CI471" s="1802"/>
      <c r="CJ471" s="1802"/>
      <c r="CK471" s="1802"/>
      <c r="CL471" s="1802"/>
      <c r="CM471" s="1802"/>
      <c r="CN471" s="1802"/>
      <c r="CO471" s="1802"/>
      <c r="CP471" s="1802"/>
      <c r="CQ471" s="1802"/>
      <c r="CR471" s="1802"/>
      <c r="CS471" s="1802"/>
      <c r="CT471" s="1802"/>
      <c r="CU471" s="1802"/>
      <c r="CV471" s="1802"/>
      <c r="CW471" s="1802"/>
      <c r="CX471" s="1802"/>
      <c r="CY471" s="1802"/>
      <c r="CZ471" s="1802"/>
      <c r="DA471" s="1802"/>
      <c r="DB471" s="1802"/>
      <c r="DC471" s="1802"/>
      <c r="DD471" s="1802"/>
      <c r="DE471" s="1802"/>
      <c r="DF471" s="1802"/>
      <c r="DG471" s="1802"/>
      <c r="DH471" s="1802"/>
      <c r="DI471" s="1802"/>
      <c r="DJ471" s="1802"/>
      <c r="DK471" s="1802"/>
      <c r="DL471" s="1802"/>
      <c r="DM471" s="1802"/>
      <c r="DN471" s="1802"/>
      <c r="DO471" s="1802"/>
      <c r="DP471" s="1802"/>
      <c r="DQ471" s="1802"/>
      <c r="DR471" s="1802"/>
      <c r="DS471" s="1802"/>
      <c r="DT471" s="1802"/>
      <c r="DU471" s="1802"/>
      <c r="DV471" s="1802"/>
      <c r="DW471" s="1802"/>
      <c r="DX471" s="1802"/>
      <c r="DY471" s="1802"/>
      <c r="DZ471" s="1802"/>
      <c r="EA471" s="1802"/>
      <c r="EB471" s="1802"/>
      <c r="EC471" s="1802"/>
      <c r="ED471" s="1802"/>
      <c r="EE471" s="1802"/>
      <c r="EF471" s="1802"/>
      <c r="EG471" s="1802"/>
      <c r="EH471" s="1802"/>
      <c r="EI471" s="1802"/>
      <c r="EJ471" s="1802"/>
      <c r="EK471" s="1802"/>
      <c r="EL471" s="1802"/>
      <c r="EM471" s="1802"/>
      <c r="EN471" s="1802"/>
      <c r="EO471" s="1802"/>
      <c r="EP471" s="1802"/>
      <c r="EQ471" s="1802"/>
      <c r="ER471" s="1802"/>
      <c r="ES471" s="1802"/>
      <c r="ET471" s="1802"/>
      <c r="EU471" s="1802"/>
      <c r="EV471" s="1802"/>
      <c r="EW471" s="1802"/>
      <c r="EX471" s="1802"/>
      <c r="EY471" s="1802"/>
      <c r="EZ471" s="1802"/>
      <c r="FA471" s="1802"/>
      <c r="FB471" s="1802"/>
      <c r="FC471" s="1802"/>
      <c r="FD471" s="1802"/>
      <c r="FE471" s="1802"/>
      <c r="FF471" s="1802"/>
      <c r="FG471" s="1802"/>
      <c r="FH471" s="1802"/>
      <c r="FI471" s="1802"/>
      <c r="FJ471" s="1802"/>
      <c r="FK471" s="1802"/>
      <c r="FL471" s="1802"/>
      <c r="FM471" s="1802"/>
      <c r="FN471" s="1802"/>
      <c r="FO471" s="1802"/>
      <c r="FP471" s="1802"/>
      <c r="FQ471" s="1802"/>
      <c r="FR471" s="1802"/>
      <c r="FS471" s="1802"/>
      <c r="FT471" s="1802"/>
      <c r="FU471" s="1802"/>
      <c r="FV471" s="1802"/>
      <c r="FW471" s="1802"/>
      <c r="FX471" s="1802"/>
      <c r="FY471" s="1802"/>
      <c r="FZ471" s="1802"/>
      <c r="GA471" s="1802"/>
      <c r="GB471" s="1802"/>
      <c r="GC471" s="1802"/>
      <c r="GD471" s="1802"/>
      <c r="GE471" s="1802"/>
      <c r="GF471" s="1802"/>
      <c r="GG471" s="1802"/>
      <c r="GH471" s="1802"/>
      <c r="GI471" s="1802"/>
      <c r="GJ471" s="1802"/>
      <c r="GK471" s="1802"/>
      <c r="GL471" s="1802"/>
      <c r="GM471" s="1802"/>
      <c r="GN471" s="1802"/>
      <c r="GO471" s="1802"/>
      <c r="GP471" s="1802"/>
      <c r="GQ471" s="1802"/>
      <c r="GR471" s="1802"/>
      <c r="GS471" s="1802"/>
      <c r="GT471" s="1802"/>
      <c r="GU471" s="1802"/>
      <c r="GV471" s="1802"/>
      <c r="GW471" s="1802"/>
      <c r="GX471" s="1802"/>
      <c r="GY471" s="1802"/>
      <c r="GZ471" s="1802"/>
      <c r="HA471" s="1802"/>
      <c r="HB471" s="1802"/>
      <c r="HC471" s="1802"/>
      <c r="HD471" s="1802"/>
      <c r="HE471" s="1802"/>
      <c r="HF471" s="1802"/>
      <c r="HG471" s="1802"/>
      <c r="HH471" s="1802"/>
      <c r="HI471" s="1802"/>
      <c r="HJ471" s="1802"/>
      <c r="HK471" s="1802"/>
      <c r="HL471" s="1802"/>
      <c r="HM471" s="1802"/>
      <c r="HN471" s="1802"/>
      <c r="HO471" s="1802"/>
      <c r="HP471" s="1802"/>
      <c r="HQ471" s="1802"/>
      <c r="HR471" s="1802"/>
      <c r="HS471" s="1802"/>
      <c r="HT471" s="1802"/>
      <c r="HU471" s="1802"/>
      <c r="HV471" s="1802"/>
      <c r="HW471" s="1802"/>
      <c r="HX471" s="1802"/>
      <c r="HY471" s="1802"/>
      <c r="HZ471" s="1802"/>
      <c r="IA471" s="1802"/>
      <c r="IB471" s="1802"/>
      <c r="IC471" s="1802"/>
      <c r="ID471" s="1802"/>
      <c r="IE471" s="1802"/>
      <c r="IF471" s="1802"/>
      <c r="IG471" s="1802"/>
      <c r="IH471" s="1802"/>
      <c r="II471" s="1802"/>
      <c r="IJ471" s="1802"/>
      <c r="IK471" s="1802"/>
      <c r="IL471" s="1802"/>
      <c r="IM471" s="1802"/>
      <c r="IN471" s="1802"/>
      <c r="IO471" s="1802"/>
      <c r="IP471" s="1802"/>
      <c r="IQ471" s="1802"/>
      <c r="IR471" s="1802"/>
      <c r="IS471" s="1802"/>
      <c r="IT471" s="1802"/>
      <c r="IU471" s="1802"/>
      <c r="IV471" s="1802"/>
      <c r="IW471" s="1802"/>
    </row>
    <row r="472" spans="3:257" s="888" customFormat="1" x14ac:dyDescent="0.45">
      <c r="C472" s="67" t="s">
        <v>604</v>
      </c>
      <c r="D472" s="335">
        <v>12589</v>
      </c>
      <c r="E472" s="2306"/>
      <c r="F472" s="2306"/>
      <c r="G472" s="2306"/>
      <c r="H472" s="2306"/>
      <c r="I472" s="2307"/>
      <c r="J472" s="1802"/>
      <c r="K472" s="1801"/>
      <c r="L472" s="1835"/>
      <c r="M472" s="1801"/>
      <c r="N472" s="1801"/>
      <c r="O472" s="1801"/>
      <c r="P472" s="1801"/>
      <c r="Q472" s="1801"/>
      <c r="R472" s="1801"/>
      <c r="S472" s="1801"/>
      <c r="T472" s="1801"/>
      <c r="U472" s="1801"/>
      <c r="V472" s="1801"/>
      <c r="W472" s="1800"/>
      <c r="X472" s="1800"/>
      <c r="Y472" s="1800"/>
      <c r="Z472" s="1800"/>
      <c r="AA472" s="1800"/>
      <c r="AB472" s="1801"/>
      <c r="AC472" s="1801"/>
      <c r="AD472" s="1801"/>
      <c r="AE472" s="1801"/>
      <c r="AF472" s="1801"/>
      <c r="AG472" s="1801"/>
      <c r="AH472" s="1801"/>
      <c r="AI472" s="1801"/>
      <c r="AJ472" s="1801"/>
      <c r="AK472" s="1801"/>
      <c r="AL472" s="1801"/>
      <c r="AM472" s="1801"/>
      <c r="AN472" s="1801"/>
      <c r="AO472" s="1802"/>
      <c r="AP472" s="1802"/>
      <c r="AQ472" s="1802"/>
      <c r="AR472" s="1802"/>
      <c r="AS472" s="1802"/>
      <c r="AT472" s="1802"/>
      <c r="AU472" s="1802"/>
      <c r="AV472" s="1802"/>
      <c r="AW472" s="1802"/>
      <c r="AX472" s="1802"/>
      <c r="AY472" s="1802"/>
      <c r="AZ472" s="1802"/>
      <c r="BA472" s="1802"/>
      <c r="BB472" s="1802"/>
      <c r="BC472" s="1802"/>
      <c r="BD472" s="1802"/>
      <c r="BE472" s="1802"/>
      <c r="BF472" s="1802"/>
      <c r="BG472" s="1802"/>
      <c r="BH472" s="1802"/>
      <c r="BI472" s="1802"/>
      <c r="BJ472" s="1802"/>
      <c r="BK472" s="1802"/>
      <c r="BL472" s="1802"/>
      <c r="BM472" s="1802"/>
      <c r="BN472" s="1802"/>
      <c r="BO472" s="1802"/>
      <c r="BP472" s="1802"/>
      <c r="BQ472" s="1802"/>
      <c r="BR472" s="1802"/>
      <c r="BS472" s="1802"/>
      <c r="BT472" s="1802"/>
      <c r="BU472" s="1802"/>
      <c r="BV472" s="1802"/>
      <c r="BW472" s="1802"/>
      <c r="BX472" s="1802"/>
      <c r="BY472" s="1802"/>
      <c r="BZ472" s="1802"/>
      <c r="CA472" s="1802"/>
      <c r="CB472" s="1802"/>
      <c r="CC472" s="1802"/>
      <c r="CD472" s="1802"/>
      <c r="CE472" s="1802"/>
      <c r="CF472" s="1802"/>
      <c r="CG472" s="1802"/>
      <c r="CH472" s="1802"/>
      <c r="CI472" s="1802"/>
      <c r="CJ472" s="1802"/>
      <c r="CK472" s="1802"/>
      <c r="CL472" s="1802"/>
      <c r="CM472" s="1802"/>
      <c r="CN472" s="1802"/>
      <c r="CO472" s="1802"/>
      <c r="CP472" s="1802"/>
      <c r="CQ472" s="1802"/>
      <c r="CR472" s="1802"/>
      <c r="CS472" s="1802"/>
      <c r="CT472" s="1802"/>
      <c r="CU472" s="1802"/>
      <c r="CV472" s="1802"/>
      <c r="CW472" s="1802"/>
      <c r="CX472" s="1802"/>
      <c r="CY472" s="1802"/>
      <c r="CZ472" s="1802"/>
      <c r="DA472" s="1802"/>
      <c r="DB472" s="1802"/>
      <c r="DC472" s="1802"/>
      <c r="DD472" s="1802"/>
      <c r="DE472" s="1802"/>
      <c r="DF472" s="1802"/>
      <c r="DG472" s="1802"/>
      <c r="DH472" s="1802"/>
      <c r="DI472" s="1802"/>
      <c r="DJ472" s="1802"/>
      <c r="DK472" s="1802"/>
      <c r="DL472" s="1802"/>
      <c r="DM472" s="1802"/>
      <c r="DN472" s="1802"/>
      <c r="DO472" s="1802"/>
      <c r="DP472" s="1802"/>
      <c r="DQ472" s="1802"/>
      <c r="DR472" s="1802"/>
      <c r="DS472" s="1802"/>
      <c r="DT472" s="1802"/>
      <c r="DU472" s="1802"/>
      <c r="DV472" s="1802"/>
      <c r="DW472" s="1802"/>
      <c r="DX472" s="1802"/>
      <c r="DY472" s="1802"/>
      <c r="DZ472" s="1802"/>
      <c r="EA472" s="1802"/>
      <c r="EB472" s="1802"/>
      <c r="EC472" s="1802"/>
      <c r="ED472" s="1802"/>
      <c r="EE472" s="1802"/>
      <c r="EF472" s="1802"/>
      <c r="EG472" s="1802"/>
      <c r="EH472" s="1802"/>
      <c r="EI472" s="1802"/>
      <c r="EJ472" s="1802"/>
      <c r="EK472" s="1802"/>
      <c r="EL472" s="1802"/>
      <c r="EM472" s="1802"/>
      <c r="EN472" s="1802"/>
      <c r="EO472" s="1802"/>
      <c r="EP472" s="1802"/>
      <c r="EQ472" s="1802"/>
      <c r="ER472" s="1802"/>
      <c r="ES472" s="1802"/>
      <c r="ET472" s="1802"/>
      <c r="EU472" s="1802"/>
      <c r="EV472" s="1802"/>
      <c r="EW472" s="1802"/>
      <c r="EX472" s="1802"/>
      <c r="EY472" s="1802"/>
      <c r="EZ472" s="1802"/>
      <c r="FA472" s="1802"/>
      <c r="FB472" s="1802"/>
      <c r="FC472" s="1802"/>
      <c r="FD472" s="1802"/>
      <c r="FE472" s="1802"/>
      <c r="FF472" s="1802"/>
      <c r="FG472" s="1802"/>
      <c r="FH472" s="1802"/>
      <c r="FI472" s="1802"/>
      <c r="FJ472" s="1802"/>
      <c r="FK472" s="1802"/>
      <c r="FL472" s="1802"/>
      <c r="FM472" s="1802"/>
      <c r="FN472" s="1802"/>
      <c r="FO472" s="1802"/>
      <c r="FP472" s="1802"/>
      <c r="FQ472" s="1802"/>
      <c r="FR472" s="1802"/>
      <c r="FS472" s="1802"/>
      <c r="FT472" s="1802"/>
      <c r="FU472" s="1802"/>
      <c r="FV472" s="1802"/>
      <c r="FW472" s="1802"/>
      <c r="FX472" s="1802"/>
      <c r="FY472" s="1802"/>
      <c r="FZ472" s="1802"/>
      <c r="GA472" s="1802"/>
      <c r="GB472" s="1802"/>
      <c r="GC472" s="1802"/>
      <c r="GD472" s="1802"/>
      <c r="GE472" s="1802"/>
      <c r="GF472" s="1802"/>
      <c r="GG472" s="1802"/>
      <c r="GH472" s="1802"/>
      <c r="GI472" s="1802"/>
      <c r="GJ472" s="1802"/>
      <c r="GK472" s="1802"/>
      <c r="GL472" s="1802"/>
      <c r="GM472" s="1802"/>
      <c r="GN472" s="1802"/>
      <c r="GO472" s="1802"/>
      <c r="GP472" s="1802"/>
      <c r="GQ472" s="1802"/>
      <c r="GR472" s="1802"/>
      <c r="GS472" s="1802"/>
      <c r="GT472" s="1802"/>
      <c r="GU472" s="1802"/>
      <c r="GV472" s="1802"/>
      <c r="GW472" s="1802"/>
      <c r="GX472" s="1802"/>
      <c r="GY472" s="1802"/>
      <c r="GZ472" s="1802"/>
      <c r="HA472" s="1802"/>
      <c r="HB472" s="1802"/>
      <c r="HC472" s="1802"/>
      <c r="HD472" s="1802"/>
      <c r="HE472" s="1802"/>
      <c r="HF472" s="1802"/>
      <c r="HG472" s="1802"/>
      <c r="HH472" s="1802"/>
      <c r="HI472" s="1802"/>
      <c r="HJ472" s="1802"/>
      <c r="HK472" s="1802"/>
      <c r="HL472" s="1802"/>
      <c r="HM472" s="1802"/>
      <c r="HN472" s="1802"/>
      <c r="HO472" s="1802"/>
      <c r="HP472" s="1802"/>
      <c r="HQ472" s="1802"/>
      <c r="HR472" s="1802"/>
      <c r="HS472" s="1802"/>
      <c r="HT472" s="1802"/>
      <c r="HU472" s="1802"/>
      <c r="HV472" s="1802"/>
      <c r="HW472" s="1802"/>
      <c r="HX472" s="1802"/>
      <c r="HY472" s="1802"/>
      <c r="HZ472" s="1802"/>
      <c r="IA472" s="1802"/>
      <c r="IB472" s="1802"/>
      <c r="IC472" s="1802"/>
      <c r="ID472" s="1802"/>
      <c r="IE472" s="1802"/>
      <c r="IF472" s="1802"/>
      <c r="IG472" s="1802"/>
      <c r="IH472" s="1802"/>
      <c r="II472" s="1802"/>
      <c r="IJ472" s="1802"/>
      <c r="IK472" s="1802"/>
      <c r="IL472" s="1802"/>
      <c r="IM472" s="1802"/>
      <c r="IN472" s="1802"/>
      <c r="IO472" s="1802"/>
      <c r="IP472" s="1802"/>
      <c r="IQ472" s="1802"/>
      <c r="IR472" s="1802"/>
      <c r="IS472" s="1802"/>
      <c r="IT472" s="1802"/>
      <c r="IU472" s="1802"/>
      <c r="IV472" s="1802"/>
      <c r="IW472" s="1802"/>
    </row>
    <row r="473" spans="3:257" s="888" customFormat="1" x14ac:dyDescent="0.45">
      <c r="C473" s="67" t="s">
        <v>756</v>
      </c>
      <c r="D473" s="335">
        <v>12579</v>
      </c>
      <c r="E473" s="180"/>
      <c r="F473" s="180"/>
      <c r="G473" s="180"/>
      <c r="H473" s="180"/>
      <c r="I473" s="181"/>
      <c r="J473" s="1802"/>
      <c r="K473" s="1801"/>
      <c r="L473" s="1835"/>
      <c r="M473" s="1801"/>
      <c r="N473" s="1801"/>
      <c r="O473" s="1801"/>
      <c r="P473" s="1801"/>
      <c r="Q473" s="1801"/>
      <c r="R473" s="1801"/>
      <c r="S473" s="1801"/>
      <c r="T473" s="1801"/>
      <c r="U473" s="1801"/>
      <c r="V473" s="1801"/>
      <c r="W473" s="1800"/>
      <c r="X473" s="1800"/>
      <c r="Y473" s="1800"/>
      <c r="Z473" s="1800"/>
      <c r="AA473" s="1800"/>
      <c r="AB473" s="1801"/>
      <c r="AC473" s="1801"/>
      <c r="AD473" s="1801"/>
      <c r="AE473" s="1801"/>
      <c r="AF473" s="1801"/>
      <c r="AG473" s="1801"/>
      <c r="AH473" s="1801"/>
      <c r="AI473" s="1801"/>
      <c r="AJ473" s="1801"/>
      <c r="AK473" s="1801"/>
      <c r="AL473" s="1801"/>
      <c r="AM473" s="1801"/>
      <c r="AN473" s="1801"/>
      <c r="AO473" s="1802"/>
      <c r="AP473" s="1802"/>
      <c r="AQ473" s="1802"/>
      <c r="AR473" s="1802"/>
      <c r="AS473" s="1802"/>
      <c r="AT473" s="1802"/>
      <c r="AU473" s="1802"/>
      <c r="AV473" s="1802"/>
      <c r="AW473" s="1802"/>
      <c r="AX473" s="1802"/>
      <c r="AY473" s="1802"/>
      <c r="AZ473" s="1802"/>
      <c r="BA473" s="1802"/>
      <c r="BB473" s="1802"/>
      <c r="BC473" s="1802"/>
      <c r="BD473" s="1802"/>
      <c r="BE473" s="1802"/>
      <c r="BF473" s="1802"/>
      <c r="BG473" s="1802"/>
      <c r="BH473" s="1802"/>
      <c r="BI473" s="1802"/>
      <c r="BJ473" s="1802"/>
      <c r="BK473" s="1802"/>
      <c r="BL473" s="1802"/>
      <c r="BM473" s="1802"/>
      <c r="BN473" s="1802"/>
      <c r="BO473" s="1802"/>
      <c r="BP473" s="1802"/>
      <c r="BQ473" s="1802"/>
      <c r="BR473" s="1802"/>
      <c r="BS473" s="1802"/>
      <c r="BT473" s="1802"/>
      <c r="BU473" s="1802"/>
      <c r="BV473" s="1802"/>
      <c r="BW473" s="1802"/>
      <c r="BX473" s="1802"/>
      <c r="BY473" s="1802"/>
      <c r="BZ473" s="1802"/>
      <c r="CA473" s="1802"/>
      <c r="CB473" s="1802"/>
      <c r="CC473" s="1802"/>
      <c r="CD473" s="1802"/>
      <c r="CE473" s="1802"/>
      <c r="CF473" s="1802"/>
      <c r="CG473" s="1802"/>
      <c r="CH473" s="1802"/>
      <c r="CI473" s="1802"/>
      <c r="CJ473" s="1802"/>
      <c r="CK473" s="1802"/>
      <c r="CL473" s="1802"/>
      <c r="CM473" s="1802"/>
      <c r="CN473" s="1802"/>
      <c r="CO473" s="1802"/>
      <c r="CP473" s="1802"/>
      <c r="CQ473" s="1802"/>
      <c r="CR473" s="1802"/>
      <c r="CS473" s="1802"/>
      <c r="CT473" s="1802"/>
      <c r="CU473" s="1802"/>
      <c r="CV473" s="1802"/>
      <c r="CW473" s="1802"/>
      <c r="CX473" s="1802"/>
      <c r="CY473" s="1802"/>
      <c r="CZ473" s="1802"/>
      <c r="DA473" s="1802"/>
      <c r="DB473" s="1802"/>
      <c r="DC473" s="1802"/>
      <c r="DD473" s="1802"/>
      <c r="DE473" s="1802"/>
      <c r="DF473" s="1802"/>
      <c r="DG473" s="1802"/>
      <c r="DH473" s="1802"/>
      <c r="DI473" s="1802"/>
      <c r="DJ473" s="1802"/>
      <c r="DK473" s="1802"/>
      <c r="DL473" s="1802"/>
      <c r="DM473" s="1802"/>
      <c r="DN473" s="1802"/>
      <c r="DO473" s="1802"/>
      <c r="DP473" s="1802"/>
      <c r="DQ473" s="1802"/>
      <c r="DR473" s="1802"/>
      <c r="DS473" s="1802"/>
      <c r="DT473" s="1802"/>
      <c r="DU473" s="1802"/>
      <c r="DV473" s="1802"/>
      <c r="DW473" s="1802"/>
      <c r="DX473" s="1802"/>
      <c r="DY473" s="1802"/>
      <c r="DZ473" s="1802"/>
      <c r="EA473" s="1802"/>
      <c r="EB473" s="1802"/>
      <c r="EC473" s="1802"/>
      <c r="ED473" s="1802"/>
      <c r="EE473" s="1802"/>
      <c r="EF473" s="1802"/>
      <c r="EG473" s="1802"/>
      <c r="EH473" s="1802"/>
      <c r="EI473" s="1802"/>
      <c r="EJ473" s="1802"/>
      <c r="EK473" s="1802"/>
      <c r="EL473" s="1802"/>
      <c r="EM473" s="1802"/>
      <c r="EN473" s="1802"/>
      <c r="EO473" s="1802"/>
      <c r="EP473" s="1802"/>
      <c r="EQ473" s="1802"/>
      <c r="ER473" s="1802"/>
      <c r="ES473" s="1802"/>
      <c r="ET473" s="1802"/>
      <c r="EU473" s="1802"/>
      <c r="EV473" s="1802"/>
      <c r="EW473" s="1802"/>
      <c r="EX473" s="1802"/>
      <c r="EY473" s="1802"/>
      <c r="EZ473" s="1802"/>
      <c r="FA473" s="1802"/>
      <c r="FB473" s="1802"/>
      <c r="FC473" s="1802"/>
      <c r="FD473" s="1802"/>
      <c r="FE473" s="1802"/>
      <c r="FF473" s="1802"/>
      <c r="FG473" s="1802"/>
      <c r="FH473" s="1802"/>
      <c r="FI473" s="1802"/>
      <c r="FJ473" s="1802"/>
      <c r="FK473" s="1802"/>
      <c r="FL473" s="1802"/>
      <c r="FM473" s="1802"/>
      <c r="FN473" s="1802"/>
      <c r="FO473" s="1802"/>
      <c r="FP473" s="1802"/>
      <c r="FQ473" s="1802"/>
      <c r="FR473" s="1802"/>
      <c r="FS473" s="1802"/>
      <c r="FT473" s="1802"/>
      <c r="FU473" s="1802"/>
      <c r="FV473" s="1802"/>
      <c r="FW473" s="1802"/>
      <c r="FX473" s="1802"/>
      <c r="FY473" s="1802"/>
      <c r="FZ473" s="1802"/>
      <c r="GA473" s="1802"/>
      <c r="GB473" s="1802"/>
      <c r="GC473" s="1802"/>
      <c r="GD473" s="1802"/>
      <c r="GE473" s="1802"/>
      <c r="GF473" s="1802"/>
      <c r="GG473" s="1802"/>
      <c r="GH473" s="1802"/>
      <c r="GI473" s="1802"/>
      <c r="GJ473" s="1802"/>
      <c r="GK473" s="1802"/>
      <c r="GL473" s="1802"/>
      <c r="GM473" s="1802"/>
      <c r="GN473" s="1802"/>
      <c r="GO473" s="1802"/>
      <c r="GP473" s="1802"/>
      <c r="GQ473" s="1802"/>
      <c r="GR473" s="1802"/>
      <c r="GS473" s="1802"/>
      <c r="GT473" s="1802"/>
      <c r="GU473" s="1802"/>
      <c r="GV473" s="1802"/>
      <c r="GW473" s="1802"/>
      <c r="GX473" s="1802"/>
      <c r="GY473" s="1802"/>
      <c r="GZ473" s="1802"/>
      <c r="HA473" s="1802"/>
      <c r="HB473" s="1802"/>
      <c r="HC473" s="1802"/>
      <c r="HD473" s="1802"/>
      <c r="HE473" s="1802"/>
      <c r="HF473" s="1802"/>
      <c r="HG473" s="1802"/>
      <c r="HH473" s="1802"/>
      <c r="HI473" s="1802"/>
      <c r="HJ473" s="1802"/>
      <c r="HK473" s="1802"/>
      <c r="HL473" s="1802"/>
      <c r="HM473" s="1802"/>
      <c r="HN473" s="1802"/>
      <c r="HO473" s="1802"/>
      <c r="HP473" s="1802"/>
      <c r="HQ473" s="1802"/>
      <c r="HR473" s="1802"/>
      <c r="HS473" s="1802"/>
      <c r="HT473" s="1802"/>
      <c r="HU473" s="1802"/>
      <c r="HV473" s="1802"/>
      <c r="HW473" s="1802"/>
      <c r="HX473" s="1802"/>
      <c r="HY473" s="1802"/>
      <c r="HZ473" s="1802"/>
      <c r="IA473" s="1802"/>
      <c r="IB473" s="1802"/>
      <c r="IC473" s="1802"/>
      <c r="ID473" s="1802"/>
      <c r="IE473" s="1802"/>
      <c r="IF473" s="1802"/>
      <c r="IG473" s="1802"/>
      <c r="IH473" s="1802"/>
      <c r="II473" s="1802"/>
      <c r="IJ473" s="1802"/>
      <c r="IK473" s="1802"/>
      <c r="IL473" s="1802"/>
      <c r="IM473" s="1802"/>
      <c r="IN473" s="1802"/>
      <c r="IO473" s="1802"/>
      <c r="IP473" s="1802"/>
      <c r="IQ473" s="1802"/>
      <c r="IR473" s="1802"/>
      <c r="IS473" s="1802"/>
      <c r="IT473" s="1802"/>
      <c r="IU473" s="1802"/>
      <c r="IV473" s="1802"/>
      <c r="IW473" s="1802"/>
    </row>
    <row r="474" spans="3:257" s="888" customFormat="1" x14ac:dyDescent="0.45">
      <c r="C474" s="67" t="s">
        <v>607</v>
      </c>
      <c r="D474" s="335">
        <v>13702</v>
      </c>
      <c r="E474" s="182"/>
      <c r="F474" s="182"/>
      <c r="G474" s="182"/>
      <c r="H474" s="182"/>
      <c r="I474" s="183"/>
      <c r="J474" s="1802"/>
      <c r="K474" s="1801"/>
      <c r="L474" s="1835"/>
      <c r="M474" s="1801"/>
      <c r="N474" s="1801"/>
      <c r="O474" s="1801"/>
      <c r="P474" s="1801"/>
      <c r="Q474" s="1801"/>
      <c r="R474" s="1801"/>
      <c r="S474" s="1801"/>
      <c r="T474" s="1801"/>
      <c r="U474" s="1801"/>
      <c r="V474" s="1801"/>
      <c r="W474" s="1800"/>
      <c r="X474" s="1800"/>
      <c r="Y474" s="1800"/>
      <c r="Z474" s="1800"/>
      <c r="AA474" s="1800"/>
      <c r="AB474" s="1801"/>
      <c r="AC474" s="1801"/>
      <c r="AD474" s="1801"/>
      <c r="AE474" s="1801"/>
      <c r="AF474" s="1801"/>
      <c r="AG474" s="1801"/>
      <c r="AH474" s="1801"/>
      <c r="AI474" s="1801"/>
      <c r="AJ474" s="1801"/>
      <c r="AK474" s="1801"/>
      <c r="AL474" s="1801"/>
      <c r="AM474" s="1801"/>
      <c r="AN474" s="1801"/>
      <c r="AO474" s="1802"/>
      <c r="AP474" s="1802"/>
      <c r="AQ474" s="1802"/>
      <c r="AR474" s="1802"/>
      <c r="AS474" s="1802"/>
      <c r="AT474" s="1802"/>
      <c r="AU474" s="1802"/>
      <c r="AV474" s="1802"/>
      <c r="AW474" s="1802"/>
      <c r="AX474" s="1802"/>
      <c r="AY474" s="1802"/>
      <c r="AZ474" s="1802"/>
      <c r="BA474" s="1802"/>
      <c r="BB474" s="1802"/>
      <c r="BC474" s="1802"/>
      <c r="BD474" s="1802"/>
      <c r="BE474" s="1802"/>
      <c r="BF474" s="1802"/>
      <c r="BG474" s="1802"/>
      <c r="BH474" s="1802"/>
      <c r="BI474" s="1802"/>
      <c r="BJ474" s="1802"/>
      <c r="BK474" s="1802"/>
      <c r="BL474" s="1802"/>
      <c r="BM474" s="1802"/>
      <c r="BN474" s="1802"/>
      <c r="BO474" s="1802"/>
      <c r="BP474" s="1802"/>
      <c r="BQ474" s="1802"/>
      <c r="BR474" s="1802"/>
      <c r="BS474" s="1802"/>
      <c r="BT474" s="1802"/>
      <c r="BU474" s="1802"/>
      <c r="BV474" s="1802"/>
      <c r="BW474" s="1802"/>
      <c r="BX474" s="1802"/>
      <c r="BY474" s="1802"/>
      <c r="BZ474" s="1802"/>
      <c r="CA474" s="1802"/>
      <c r="CB474" s="1802"/>
      <c r="CC474" s="1802"/>
      <c r="CD474" s="1802"/>
      <c r="CE474" s="1802"/>
      <c r="CF474" s="1802"/>
      <c r="CG474" s="1802"/>
      <c r="CH474" s="1802"/>
      <c r="CI474" s="1802"/>
      <c r="CJ474" s="1802"/>
      <c r="CK474" s="1802"/>
      <c r="CL474" s="1802"/>
      <c r="CM474" s="1802"/>
      <c r="CN474" s="1802"/>
      <c r="CO474" s="1802"/>
      <c r="CP474" s="1802"/>
      <c r="CQ474" s="1802"/>
      <c r="CR474" s="1802"/>
      <c r="CS474" s="1802"/>
      <c r="CT474" s="1802"/>
      <c r="CU474" s="1802"/>
      <c r="CV474" s="1802"/>
      <c r="CW474" s="1802"/>
      <c r="CX474" s="1802"/>
      <c r="CY474" s="1802"/>
      <c r="CZ474" s="1802"/>
      <c r="DA474" s="1802"/>
      <c r="DB474" s="1802"/>
      <c r="DC474" s="1802"/>
      <c r="DD474" s="1802"/>
      <c r="DE474" s="1802"/>
      <c r="DF474" s="1802"/>
      <c r="DG474" s="1802"/>
      <c r="DH474" s="1802"/>
      <c r="DI474" s="1802"/>
      <c r="DJ474" s="1802"/>
      <c r="DK474" s="1802"/>
      <c r="DL474" s="1802"/>
      <c r="DM474" s="1802"/>
      <c r="DN474" s="1802"/>
      <c r="DO474" s="1802"/>
      <c r="DP474" s="1802"/>
      <c r="DQ474" s="1802"/>
      <c r="DR474" s="1802"/>
      <c r="DS474" s="1802"/>
      <c r="DT474" s="1802"/>
      <c r="DU474" s="1802"/>
      <c r="DV474" s="1802"/>
      <c r="DW474" s="1802"/>
      <c r="DX474" s="1802"/>
      <c r="DY474" s="1802"/>
      <c r="DZ474" s="1802"/>
      <c r="EA474" s="1802"/>
      <c r="EB474" s="1802"/>
      <c r="EC474" s="1802"/>
      <c r="ED474" s="1802"/>
      <c r="EE474" s="1802"/>
      <c r="EF474" s="1802"/>
      <c r="EG474" s="1802"/>
      <c r="EH474" s="1802"/>
      <c r="EI474" s="1802"/>
      <c r="EJ474" s="1802"/>
      <c r="EK474" s="1802"/>
      <c r="EL474" s="1802"/>
      <c r="EM474" s="1802"/>
      <c r="EN474" s="1802"/>
      <c r="EO474" s="1802"/>
      <c r="EP474" s="1802"/>
      <c r="EQ474" s="1802"/>
      <c r="ER474" s="1802"/>
      <c r="ES474" s="1802"/>
      <c r="ET474" s="1802"/>
      <c r="EU474" s="1802"/>
      <c r="EV474" s="1802"/>
      <c r="EW474" s="1802"/>
      <c r="EX474" s="1802"/>
      <c r="EY474" s="1802"/>
      <c r="EZ474" s="1802"/>
      <c r="FA474" s="1802"/>
      <c r="FB474" s="1802"/>
      <c r="FC474" s="1802"/>
      <c r="FD474" s="1802"/>
      <c r="FE474" s="1802"/>
      <c r="FF474" s="1802"/>
      <c r="FG474" s="1802"/>
      <c r="FH474" s="1802"/>
      <c r="FI474" s="1802"/>
      <c r="FJ474" s="1802"/>
      <c r="FK474" s="1802"/>
      <c r="FL474" s="1802"/>
      <c r="FM474" s="1802"/>
      <c r="FN474" s="1802"/>
      <c r="FO474" s="1802"/>
      <c r="FP474" s="1802"/>
      <c r="FQ474" s="1802"/>
      <c r="FR474" s="1802"/>
      <c r="FS474" s="1802"/>
      <c r="FT474" s="1802"/>
      <c r="FU474" s="1802"/>
      <c r="FV474" s="1802"/>
      <c r="FW474" s="1802"/>
      <c r="FX474" s="1802"/>
      <c r="FY474" s="1802"/>
      <c r="FZ474" s="1802"/>
      <c r="GA474" s="1802"/>
      <c r="GB474" s="1802"/>
      <c r="GC474" s="1802"/>
      <c r="GD474" s="1802"/>
      <c r="GE474" s="1802"/>
      <c r="GF474" s="1802"/>
      <c r="GG474" s="1802"/>
      <c r="GH474" s="1802"/>
      <c r="GI474" s="1802"/>
      <c r="GJ474" s="1802"/>
      <c r="GK474" s="1802"/>
      <c r="GL474" s="1802"/>
      <c r="GM474" s="1802"/>
      <c r="GN474" s="1802"/>
      <c r="GO474" s="1802"/>
      <c r="GP474" s="1802"/>
      <c r="GQ474" s="1802"/>
      <c r="GR474" s="1802"/>
      <c r="GS474" s="1802"/>
      <c r="GT474" s="1802"/>
      <c r="GU474" s="1802"/>
      <c r="GV474" s="1802"/>
      <c r="GW474" s="1802"/>
      <c r="GX474" s="1802"/>
      <c r="GY474" s="1802"/>
      <c r="GZ474" s="1802"/>
      <c r="HA474" s="1802"/>
      <c r="HB474" s="1802"/>
      <c r="HC474" s="1802"/>
      <c r="HD474" s="1802"/>
      <c r="HE474" s="1802"/>
      <c r="HF474" s="1802"/>
      <c r="HG474" s="1802"/>
      <c r="HH474" s="1802"/>
      <c r="HI474" s="1802"/>
      <c r="HJ474" s="1802"/>
      <c r="HK474" s="1802"/>
      <c r="HL474" s="1802"/>
      <c r="HM474" s="1802"/>
      <c r="HN474" s="1802"/>
      <c r="HO474" s="1802"/>
      <c r="HP474" s="1802"/>
      <c r="HQ474" s="1802"/>
      <c r="HR474" s="1802"/>
      <c r="HS474" s="1802"/>
      <c r="HT474" s="1802"/>
      <c r="HU474" s="1802"/>
      <c r="HV474" s="1802"/>
      <c r="HW474" s="1802"/>
      <c r="HX474" s="1802"/>
      <c r="HY474" s="1802"/>
      <c r="HZ474" s="1802"/>
      <c r="IA474" s="1802"/>
      <c r="IB474" s="1802"/>
      <c r="IC474" s="1802"/>
      <c r="ID474" s="1802"/>
      <c r="IE474" s="1802"/>
      <c r="IF474" s="1802"/>
      <c r="IG474" s="1802"/>
      <c r="IH474" s="1802"/>
      <c r="II474" s="1802"/>
      <c r="IJ474" s="1802"/>
      <c r="IK474" s="1802"/>
      <c r="IL474" s="1802"/>
      <c r="IM474" s="1802"/>
      <c r="IN474" s="1802"/>
      <c r="IO474" s="1802"/>
      <c r="IP474" s="1802"/>
      <c r="IQ474" s="1802"/>
      <c r="IR474" s="1802"/>
      <c r="IS474" s="1802"/>
      <c r="IT474" s="1802"/>
      <c r="IU474" s="1802"/>
      <c r="IV474" s="1802"/>
      <c r="IW474" s="1802"/>
    </row>
    <row r="475" spans="3:257" s="888" customFormat="1" ht="14.65" thickBot="1" x14ac:dyDescent="0.5">
      <c r="C475" s="184" t="s">
        <v>757</v>
      </c>
      <c r="D475" s="335">
        <v>12838</v>
      </c>
      <c r="E475" s="185"/>
      <c r="F475" s="185"/>
      <c r="G475" s="185"/>
      <c r="H475" s="185"/>
      <c r="I475" s="186"/>
      <c r="J475" s="1802"/>
      <c r="K475" s="1801"/>
      <c r="L475" s="1835"/>
      <c r="M475" s="1801"/>
      <c r="N475" s="1801"/>
      <c r="O475" s="1801"/>
      <c r="P475" s="1801"/>
      <c r="Q475" s="1801"/>
      <c r="R475" s="1801"/>
      <c r="S475" s="1801"/>
      <c r="T475" s="1801"/>
      <c r="U475" s="1801"/>
      <c r="V475" s="1801"/>
      <c r="W475" s="1800"/>
      <c r="X475" s="1800"/>
      <c r="Y475" s="1800"/>
      <c r="Z475" s="1800"/>
      <c r="AA475" s="1800"/>
      <c r="AB475" s="1801"/>
      <c r="AC475" s="1801"/>
      <c r="AD475" s="1801"/>
      <c r="AE475" s="1801"/>
      <c r="AF475" s="1801"/>
      <c r="AG475" s="1801"/>
      <c r="AH475" s="1801"/>
      <c r="AI475" s="1801"/>
      <c r="AJ475" s="1801"/>
      <c r="AK475" s="1801"/>
      <c r="AL475" s="1801"/>
      <c r="AM475" s="1801"/>
      <c r="AN475" s="1801"/>
      <c r="AO475" s="1802"/>
      <c r="AP475" s="1802"/>
      <c r="AQ475" s="1802"/>
      <c r="AR475" s="1802"/>
      <c r="AS475" s="1802"/>
    </row>
    <row r="476" spans="3:257" s="888" customFormat="1" x14ac:dyDescent="0.45">
      <c r="U476" s="1207"/>
      <c r="V476" s="1207"/>
      <c r="W476" s="1207"/>
      <c r="X476" s="1207"/>
      <c r="Y476" s="1207"/>
      <c r="Z476" s="1207"/>
      <c r="AA476" s="1207"/>
      <c r="AB476" s="1207"/>
      <c r="AC476" s="1207"/>
      <c r="AD476" s="1207"/>
      <c r="AE476" s="1207"/>
      <c r="AF476" s="1207"/>
      <c r="AG476" s="1207"/>
    </row>
    <row r="479" spans="3:257" ht="15.4" x14ac:dyDescent="0.45">
      <c r="C479" s="1832"/>
      <c r="U479" s="1788"/>
      <c r="V479" s="1788"/>
      <c r="W479" s="1788"/>
      <c r="X479" s="1788"/>
      <c r="Y479" s="1788"/>
      <c r="Z479" s="1788"/>
      <c r="AA479" s="1788"/>
      <c r="AB479" s="1788"/>
      <c r="AC479" s="1788"/>
      <c r="AD479" s="1788"/>
      <c r="AE479" s="1788"/>
      <c r="AF479" s="1788"/>
      <c r="AG479" s="1788"/>
    </row>
    <row r="480" spans="3:257" ht="15.4" x14ac:dyDescent="0.45">
      <c r="C480" s="1788"/>
      <c r="D480" s="1788"/>
      <c r="E480" s="1788"/>
      <c r="F480" s="1788"/>
      <c r="G480" s="1788"/>
      <c r="H480" s="1788"/>
      <c r="I480" s="1788"/>
      <c r="J480" s="1788"/>
      <c r="K480" s="1788"/>
      <c r="L480" s="1788"/>
      <c r="M480" s="1788"/>
      <c r="N480" s="1788"/>
      <c r="O480" s="1788"/>
      <c r="P480" s="1788"/>
      <c r="Q480" s="1788"/>
      <c r="R480" s="1788"/>
      <c r="S480" s="1788"/>
      <c r="T480" s="1788"/>
      <c r="U480" s="1788"/>
      <c r="V480" s="1788"/>
      <c r="W480" s="1788"/>
      <c r="X480" s="1788"/>
      <c r="Y480" s="1788"/>
      <c r="Z480" s="1788"/>
      <c r="AA480" s="1788"/>
      <c r="AB480" s="1788"/>
      <c r="AC480" s="1788"/>
      <c r="AD480" s="1788"/>
      <c r="AE480" s="1788"/>
      <c r="AF480" s="1788"/>
      <c r="AG480" s="1788"/>
      <c r="AH480" s="1788"/>
      <c r="AI480" s="1788"/>
      <c r="AJ480" s="1788"/>
      <c r="AK480" s="1788"/>
    </row>
    <row r="481" spans="1:37" ht="15.4" x14ac:dyDescent="0.45">
      <c r="C481" s="1788"/>
      <c r="D481" s="1788"/>
      <c r="E481" s="1788"/>
      <c r="F481" s="1788"/>
      <c r="G481" s="1788"/>
      <c r="H481" s="1788"/>
      <c r="I481" s="1788"/>
      <c r="J481" s="1788"/>
      <c r="K481" s="1788"/>
      <c r="L481" s="1788"/>
      <c r="M481" s="1788"/>
      <c r="N481" s="1788"/>
      <c r="O481" s="1788"/>
      <c r="P481" s="1788"/>
      <c r="Q481" s="1788"/>
      <c r="R481" s="1788"/>
      <c r="S481" s="1788"/>
      <c r="T481" s="1788"/>
      <c r="U481" s="1833"/>
      <c r="V481" s="1833"/>
      <c r="W481" s="1833"/>
      <c r="X481" s="1833"/>
      <c r="Y481" s="1833"/>
      <c r="Z481" s="1833"/>
      <c r="AA481" s="1833"/>
      <c r="AB481" s="1833"/>
      <c r="AC481" s="1833"/>
      <c r="AD481" s="1833"/>
      <c r="AE481" s="1833"/>
      <c r="AF481" s="1833"/>
      <c r="AG481" s="1833"/>
      <c r="AH481" s="1788"/>
      <c r="AI481" s="1788"/>
      <c r="AJ481" s="1788"/>
      <c r="AK481" s="1788"/>
    </row>
    <row r="482" spans="1:37" x14ac:dyDescent="0.45">
      <c r="C482" s="1834"/>
      <c r="D482" s="1833"/>
      <c r="E482" s="1833"/>
      <c r="F482" s="1833"/>
      <c r="G482" s="1833"/>
      <c r="H482" s="1833"/>
      <c r="I482" s="1833"/>
      <c r="J482" s="1833"/>
      <c r="K482" s="1833"/>
      <c r="L482" s="1833"/>
      <c r="M482" s="1833"/>
      <c r="N482" s="1833"/>
      <c r="O482" s="1833"/>
      <c r="P482" s="1833"/>
      <c r="Q482" s="1833"/>
      <c r="R482" s="1833"/>
      <c r="S482" s="1833"/>
      <c r="T482" s="1833"/>
      <c r="U482" s="1833"/>
      <c r="V482" s="1833"/>
      <c r="W482" s="1833"/>
      <c r="X482" s="1833"/>
      <c r="Y482" s="1833"/>
      <c r="Z482" s="1833"/>
      <c r="AA482" s="1833"/>
      <c r="AB482" s="1833"/>
      <c r="AC482" s="1833"/>
      <c r="AD482" s="1833"/>
      <c r="AE482" s="1833"/>
      <c r="AF482" s="1833"/>
      <c r="AG482" s="1833"/>
      <c r="AH482" s="1833"/>
      <c r="AI482" s="1833"/>
      <c r="AJ482" s="1833"/>
      <c r="AK482" s="1833"/>
    </row>
    <row r="483" spans="1:37" x14ac:dyDescent="0.45">
      <c r="C483" s="1834"/>
      <c r="D483" s="1833"/>
      <c r="E483" s="1833"/>
      <c r="F483" s="1833"/>
      <c r="G483" s="1833"/>
      <c r="H483" s="1833"/>
      <c r="I483" s="1833"/>
      <c r="J483" s="1833"/>
      <c r="K483" s="1833"/>
      <c r="L483" s="1833"/>
      <c r="M483" s="1833"/>
      <c r="N483" s="1833"/>
      <c r="O483" s="1833"/>
      <c r="P483" s="1833"/>
      <c r="Q483" s="1833"/>
      <c r="R483" s="1833"/>
      <c r="S483" s="1833"/>
      <c r="T483" s="1833"/>
      <c r="AH483" s="1833"/>
      <c r="AI483" s="1833"/>
      <c r="AJ483" s="1833"/>
      <c r="AK483" s="1833"/>
    </row>
    <row r="486" spans="1:37" ht="15.4" x14ac:dyDescent="0.45">
      <c r="A486" s="1788"/>
      <c r="B486" s="1683"/>
      <c r="C486" s="1833"/>
      <c r="D486" s="1833"/>
    </row>
    <row r="487" spans="1:37" ht="15.4" x14ac:dyDescent="0.45">
      <c r="A487" s="1788"/>
      <c r="B487" s="1683"/>
      <c r="C487" s="1833"/>
      <c r="D487" s="1833"/>
    </row>
    <row r="488" spans="1:37" ht="15.4" x14ac:dyDescent="0.45">
      <c r="A488" s="1788"/>
      <c r="B488" s="1683"/>
      <c r="C488" s="1833"/>
      <c r="D488" s="1833"/>
    </row>
    <row r="489" spans="1:37" ht="15.4" x14ac:dyDescent="0.45">
      <c r="A489" s="1788"/>
      <c r="B489" s="1683"/>
      <c r="C489" s="1833"/>
      <c r="D489" s="1833"/>
    </row>
    <row r="490" spans="1:37" ht="15.4" x14ac:dyDescent="0.45">
      <c r="A490" s="1788"/>
      <c r="B490" s="1683"/>
      <c r="C490" s="1833"/>
      <c r="D490" s="1833"/>
    </row>
    <row r="491" spans="1:37" ht="15.4" x14ac:dyDescent="0.45">
      <c r="A491" s="1788"/>
      <c r="B491" s="1683"/>
      <c r="C491" s="1833"/>
      <c r="D491" s="1833"/>
    </row>
    <row r="492" spans="1:37" ht="15.4" x14ac:dyDescent="0.45">
      <c r="A492" s="1788"/>
      <c r="B492" s="1683"/>
      <c r="C492" s="1833"/>
      <c r="D492" s="1833"/>
    </row>
    <row r="493" spans="1:37" ht="15.4" x14ac:dyDescent="0.45">
      <c r="A493" s="1788"/>
      <c r="B493" s="1683"/>
      <c r="C493" s="1833"/>
      <c r="D493" s="1833"/>
    </row>
    <row r="494" spans="1:37" ht="15.4" x14ac:dyDescent="0.45">
      <c r="A494" s="1788"/>
      <c r="B494" s="1683"/>
      <c r="C494" s="1833"/>
      <c r="D494" s="1833"/>
    </row>
    <row r="495" spans="1:37" ht="15.4" x14ac:dyDescent="0.45">
      <c r="A495" s="1788"/>
      <c r="B495" s="1683"/>
      <c r="C495" s="1833"/>
      <c r="D495" s="1833"/>
    </row>
    <row r="496" spans="1:37" ht="15.4" x14ac:dyDescent="0.45">
      <c r="A496" s="1788"/>
      <c r="B496" s="1683"/>
      <c r="C496" s="1833"/>
      <c r="D496" s="1833"/>
    </row>
    <row r="497" spans="1:4" ht="15.4" x14ac:dyDescent="0.45">
      <c r="A497" s="1788"/>
      <c r="B497" s="1683"/>
      <c r="C497" s="1833"/>
      <c r="D497" s="1833"/>
    </row>
    <row r="498" spans="1:4" ht="15.4" x14ac:dyDescent="0.45">
      <c r="A498" s="1788"/>
      <c r="B498" s="1683"/>
      <c r="C498" s="1833"/>
      <c r="D498" s="1833"/>
    </row>
    <row r="499" spans="1:4" ht="15.4" x14ac:dyDescent="0.45">
      <c r="A499" s="1788"/>
      <c r="B499" s="1683"/>
      <c r="C499" s="1833"/>
      <c r="D499" s="1833"/>
    </row>
    <row r="500" spans="1:4" ht="15.4" x14ac:dyDescent="0.45">
      <c r="A500" s="1788"/>
      <c r="B500" s="1683"/>
      <c r="C500" s="1833"/>
      <c r="D500" s="1833"/>
    </row>
    <row r="501" spans="1:4" ht="15.4" x14ac:dyDescent="0.45">
      <c r="A501" s="1788"/>
      <c r="B501" s="1683"/>
      <c r="C501" s="1833"/>
      <c r="D501" s="1833"/>
    </row>
    <row r="502" spans="1:4" ht="15.4" x14ac:dyDescent="0.45">
      <c r="A502" s="1788"/>
      <c r="B502" s="1683"/>
      <c r="C502" s="1833"/>
      <c r="D502" s="1833"/>
    </row>
    <row r="503" spans="1:4" ht="15.4" x14ac:dyDescent="0.45">
      <c r="A503" s="1788"/>
      <c r="B503" s="1683"/>
      <c r="C503" s="1833"/>
      <c r="D503" s="1833"/>
    </row>
    <row r="504" spans="1:4" ht="15.4" x14ac:dyDescent="0.45">
      <c r="A504" s="1788"/>
      <c r="B504" s="1683"/>
      <c r="C504" s="1833"/>
      <c r="D504" s="1833"/>
    </row>
    <row r="505" spans="1:4" ht="15.4" x14ac:dyDescent="0.45">
      <c r="A505" s="1788"/>
      <c r="B505" s="1683"/>
      <c r="C505" s="1833"/>
      <c r="D505" s="1833"/>
    </row>
    <row r="506" spans="1:4" ht="15.4" x14ac:dyDescent="0.45">
      <c r="A506" s="1788"/>
      <c r="B506" s="1683"/>
      <c r="C506" s="1833"/>
      <c r="D506" s="1833"/>
    </row>
    <row r="507" spans="1:4" ht="15.4" x14ac:dyDescent="0.45">
      <c r="A507" s="1788"/>
      <c r="B507" s="1683"/>
      <c r="C507" s="1833"/>
      <c r="D507" s="1833"/>
    </row>
    <row r="508" spans="1:4" ht="15.4" x14ac:dyDescent="0.45">
      <c r="A508" s="1788"/>
      <c r="B508" s="1683"/>
      <c r="C508" s="1833"/>
      <c r="D508" s="1833"/>
    </row>
    <row r="509" spans="1:4" ht="15.4" x14ac:dyDescent="0.45">
      <c r="A509" s="1788"/>
      <c r="B509" s="1683"/>
      <c r="C509" s="1833"/>
      <c r="D509" s="1833"/>
    </row>
    <row r="510" spans="1:4" ht="15.4" x14ac:dyDescent="0.45">
      <c r="A510" s="1788"/>
      <c r="B510" s="1683"/>
      <c r="C510" s="1833"/>
      <c r="D510" s="1833"/>
    </row>
    <row r="511" spans="1:4" ht="15.4" x14ac:dyDescent="0.45">
      <c r="A511" s="1788"/>
      <c r="B511" s="1683"/>
      <c r="C511" s="1833"/>
      <c r="D511" s="1833"/>
    </row>
    <row r="512" spans="1:4" ht="15.4" x14ac:dyDescent="0.45">
      <c r="A512" s="1788"/>
      <c r="B512" s="1683"/>
      <c r="C512" s="1833"/>
      <c r="D512" s="1833"/>
    </row>
    <row r="513" spans="1:4" ht="15.4" x14ac:dyDescent="0.45">
      <c r="A513" s="1788"/>
      <c r="B513" s="1683"/>
      <c r="C513" s="1833"/>
      <c r="D513" s="1833"/>
    </row>
    <row r="514" spans="1:4" ht="15.4" x14ac:dyDescent="0.45">
      <c r="A514" s="1788"/>
      <c r="B514" s="1683"/>
      <c r="C514" s="1833"/>
      <c r="D514" s="1833"/>
    </row>
    <row r="515" spans="1:4" ht="15.4" x14ac:dyDescent="0.45">
      <c r="A515" s="1788"/>
      <c r="B515" s="1683"/>
      <c r="C515" s="1833"/>
      <c r="D515" s="1833"/>
    </row>
    <row r="516" spans="1:4" ht="15.4" x14ac:dyDescent="0.45">
      <c r="A516" s="1788"/>
      <c r="B516" s="1683"/>
      <c r="C516" s="1833"/>
      <c r="D516" s="1833"/>
    </row>
    <row r="517" spans="1:4" ht="15.4" x14ac:dyDescent="0.45">
      <c r="A517" s="1788"/>
      <c r="B517" s="1683"/>
      <c r="C517" s="1833"/>
      <c r="D517" s="1833"/>
    </row>
    <row r="518" spans="1:4" ht="15.4" x14ac:dyDescent="0.45">
      <c r="A518" s="1788"/>
      <c r="B518" s="1683"/>
      <c r="C518" s="1833"/>
      <c r="D518" s="1833"/>
    </row>
    <row r="519" spans="1:4" x14ac:dyDescent="0.45">
      <c r="B519" s="1683"/>
    </row>
  </sheetData>
  <sheetProtection algorithmName="SHA-512" hashValue="+cUO3rtfybhX3OUNst7oehWqRNLDG7nYvDa2YlIFPGHsh22ftW5XxQx2SNvUINS7iLXjd75jZCviI8u3SyUafA==" saltValue="AZBjCBTE+v5UCTMTahbSqw==" spinCount="100000" sheet="1" objects="1" scenarios="1"/>
  <mergeCells count="72">
    <mergeCell ref="P178:R178"/>
    <mergeCell ref="P179:R179"/>
    <mergeCell ref="D215:E215"/>
    <mergeCell ref="F178:J178"/>
    <mergeCell ref="K178:O178"/>
    <mergeCell ref="G179:H179"/>
    <mergeCell ref="L179:M179"/>
    <mergeCell ref="AO219:AO221"/>
    <mergeCell ref="F220:Q220"/>
    <mergeCell ref="AC220:AD220"/>
    <mergeCell ref="AE220:AF220"/>
    <mergeCell ref="AG220:AH220"/>
    <mergeCell ref="AI220:AJ220"/>
    <mergeCell ref="AK220:AL220"/>
    <mergeCell ref="AM220:AN220"/>
    <mergeCell ref="X221:Y221"/>
    <mergeCell ref="Z221:AB221"/>
    <mergeCell ref="AF264:AG264"/>
    <mergeCell ref="AH264:AI264"/>
    <mergeCell ref="AJ264:AN264"/>
    <mergeCell ref="C219:C222"/>
    <mergeCell ref="D219:D222"/>
    <mergeCell ref="E219:E222"/>
    <mergeCell ref="D256:E256"/>
    <mergeCell ref="C263:C266"/>
    <mergeCell ref="H221:K221"/>
    <mergeCell ref="L221:M221"/>
    <mergeCell ref="N221:Q221"/>
    <mergeCell ref="D263:D266"/>
    <mergeCell ref="E263:E266"/>
    <mergeCell ref="F264:N264"/>
    <mergeCell ref="X264:Y264"/>
    <mergeCell ref="Z264:AA264"/>
    <mergeCell ref="D340:E340"/>
    <mergeCell ref="AD264:AE264"/>
    <mergeCell ref="H265:K265"/>
    <mergeCell ref="L265:M265"/>
    <mergeCell ref="Q265:T265"/>
    <mergeCell ref="U265:V265"/>
    <mergeCell ref="D300:E300"/>
    <mergeCell ref="AB264:AC264"/>
    <mergeCell ref="F305:I305"/>
    <mergeCell ref="J305:M305"/>
    <mergeCell ref="F304:M304"/>
    <mergeCell ref="AD348:AE348"/>
    <mergeCell ref="AF348:AG348"/>
    <mergeCell ref="F347:O347"/>
    <mergeCell ref="F348:G348"/>
    <mergeCell ref="H348:I348"/>
    <mergeCell ref="J348:K348"/>
    <mergeCell ref="L348:M348"/>
    <mergeCell ref="N348:O348"/>
    <mergeCell ref="P348:Q348"/>
    <mergeCell ref="R348:S348"/>
    <mergeCell ref="V348:W348"/>
    <mergeCell ref="Z348:AA348"/>
    <mergeCell ref="AB348:AC348"/>
    <mergeCell ref="AB347:AG347"/>
    <mergeCell ref="P347:Y347"/>
    <mergeCell ref="D384:E384"/>
    <mergeCell ref="C388:C390"/>
    <mergeCell ref="D388:D390"/>
    <mergeCell ref="E388:E390"/>
    <mergeCell ref="F388:L388"/>
    <mergeCell ref="E471:I472"/>
    <mergeCell ref="F428:O428"/>
    <mergeCell ref="D424:E424"/>
    <mergeCell ref="P428:S428"/>
    <mergeCell ref="P429:S429"/>
    <mergeCell ref="D464:E464"/>
    <mergeCell ref="E466:I466"/>
    <mergeCell ref="E467:I469"/>
  </mergeCells>
  <dataValidations disablePrompts="1" count="2">
    <dataValidation type="list" allowBlank="1" showInputMessage="1" showErrorMessage="1" sqref="O38:O41 O25" xr:uid="{00000000-0002-0000-0800-000000000000}">
      <formula1>#REF!</formula1>
    </dataValidation>
    <dataValidation type="list" allowBlank="1" showInputMessage="1" showErrorMessage="1" sqref="F45" xr:uid="{00000000-0002-0000-0800-000001000000}">
      <formula1>#REF!</formula1>
    </dataValidation>
  </dataValidations>
  <hyperlinks>
    <hyperlink ref="E467" r:id="rId1" xr:uid="{00000000-0004-0000-0800-000000000000}"/>
    <hyperlink ref="E471" r:id="rId2" xr:uid="{00000000-0004-0000-0800-000001000000}"/>
  </hyperlinks>
  <pageMargins left="0.7" right="0.7" top="0.75" bottom="0.75" header="0.3" footer="0.3"/>
  <pageSetup paperSize="9" orientation="portrait" r:id="rId3"/>
  <ignoredErrors>
    <ignoredError sqref="L64:N64 L34:N34" formula="1"/>
  </ignoredErrors>
  <extLst>
    <ext xmlns:x14="http://schemas.microsoft.com/office/spreadsheetml/2009/9/main" uri="{CCE6A557-97BC-4b89-ADB6-D9C93CAAB3DF}">
      <x14:dataValidations xmlns:xm="http://schemas.microsoft.com/office/excel/2006/main" disablePrompts="1" count="15">
        <x14:dataValidation type="list" allowBlank="1" showInputMessage="1" showErrorMessage="1" xr:uid="{00000000-0002-0000-0800-000002000000}">
          <x14:formula1>
            <xm:f>Lookups!$AU$4:$AU$33</xm:f>
          </x14:formula1>
          <xm:sqref>H30:H37 H63:H68 H12:H24 H44:H45 H52:H53</xm:sqref>
        </x14:dataValidation>
        <x14:dataValidation type="list" allowBlank="1" showInputMessage="1" showErrorMessage="1" xr:uid="{00000000-0002-0000-0800-000003000000}">
          <x14:formula1>
            <xm:f>Lookups!$AT$4:$AT$8</xm:f>
          </x14:formula1>
          <xm:sqref>G44:G45</xm:sqref>
        </x14:dataValidation>
        <x14:dataValidation type="list" allowBlank="1" showInputMessage="1" showErrorMessage="1" xr:uid="{00000000-0002-0000-0800-000004000000}">
          <x14:formula1>
            <xm:f>Lookups!$AR$4:$AR$6</xm:f>
          </x14:formula1>
          <xm:sqref>G52:G53</xm:sqref>
        </x14:dataValidation>
        <x14:dataValidation type="list" allowBlank="1" showInputMessage="1" showErrorMessage="1" xr:uid="{00000000-0002-0000-0800-000005000000}">
          <x14:formula1>
            <xm:f>Lookups!$AP$4:$AP$8</xm:f>
          </x14:formula1>
          <xm:sqref>G30:G37</xm:sqref>
        </x14:dataValidation>
        <x14:dataValidation type="list" allowBlank="1" showInputMessage="1" showErrorMessage="1" xr:uid="{00000000-0002-0000-0800-000006000000}">
          <x14:formula1>
            <xm:f>Lookups!$B$4:$B$8</xm:f>
          </x14:formula1>
          <xm:sqref>B4</xm:sqref>
        </x14:dataValidation>
        <x14:dataValidation type="list" allowBlank="1" showInputMessage="1" showErrorMessage="1" xr:uid="{00000000-0002-0000-0800-000007000000}">
          <x14:formula1>
            <xm:f>Lookups!$J$4:$J$5</xm:f>
          </x14:formula1>
          <xm:sqref>B12:B24 B30:B37 B61:B68 B44:B45 B52:B53</xm:sqref>
        </x14:dataValidation>
        <x14:dataValidation type="list" allowBlank="1" showInputMessage="1" showErrorMessage="1" xr:uid="{00000000-0002-0000-0800-000008000000}">
          <x14:formula1>
            <xm:f>Lookups!$L$15:$L$19</xm:f>
          </x14:formula1>
          <xm:sqref>C12:C24 C30:C37 C61:C68 C44:C45 C52:C53</xm:sqref>
        </x14:dataValidation>
        <x14:dataValidation type="list" allowBlank="1" showInputMessage="1" showErrorMessage="1" xr:uid="{00000000-0002-0000-0800-000009000000}">
          <x14:formula1>
            <xm:f>Lookups!$M$15:$M$19</xm:f>
          </x14:formula1>
          <xm:sqref>D12:D24 D30:D37 D61:D68 D44:D45 D52:D53</xm:sqref>
        </x14:dataValidation>
        <x14:dataValidation type="list" allowBlank="1" showInputMessage="1" showErrorMessage="1" xr:uid="{00000000-0002-0000-0800-00000A000000}">
          <x14:formula1>
            <xm:f>Lookups!$P$15:$P$19</xm:f>
          </x14:formula1>
          <xm:sqref>E12:E24 E30:E37 E61:E68 E44:E45 E52:E53</xm:sqref>
        </x14:dataValidation>
        <x14:dataValidation type="list" allowBlank="1" showInputMessage="1" showErrorMessage="1" xr:uid="{00000000-0002-0000-0800-00000B000000}">
          <x14:formula1>
            <xm:f>Lookups!$C$4:$C$7</xm:f>
          </x14:formula1>
          <xm:sqref>I12:I24 I30:I37 I61:I68 I44:I45 I52:I53</xm:sqref>
        </x14:dataValidation>
        <x14:dataValidation type="list" allowBlank="1" showInputMessage="1" showErrorMessage="1" xr:uid="{00000000-0002-0000-0800-00000C000000}">
          <x14:formula1>
            <xm:f>Lookups!$A$4:$A$8</xm:f>
          </x14:formula1>
          <xm:sqref>J12:J24 J30:J37 J61:J68 J44:J45 J52:J53</xm:sqref>
        </x14:dataValidation>
        <x14:dataValidation type="list" allowBlank="1" showInputMessage="1" showErrorMessage="1" xr:uid="{00000000-0002-0000-0800-00000D000000}">
          <x14:formula1>
            <xm:f>Lookups!$AW$4:$AW$9</xm:f>
          </x14:formula1>
          <xm:sqref>F61:F68</xm:sqref>
        </x14:dataValidation>
        <x14:dataValidation type="list" allowBlank="1" showInputMessage="1" showErrorMessage="1" xr:uid="{00000000-0002-0000-0800-00000E000000}">
          <x14:formula1>
            <xm:f>Lookups!$AX$4:$AX$9</xm:f>
          </x14:formula1>
          <xm:sqref>G61:G68</xm:sqref>
        </x14:dataValidation>
        <x14:dataValidation type="list" allowBlank="1" showInputMessage="1" showErrorMessage="1" xr:uid="{00000000-0002-0000-0800-00000F000000}">
          <x14:formula1>
            <xm:f>Lookups!$AN$4:$AN$13</xm:f>
          </x14:formula1>
          <xm:sqref>G12:G24</xm:sqref>
        </x14:dataValidation>
        <x14:dataValidation type="list" allowBlank="1" showInputMessage="1" showErrorMessage="1" xr:uid="{00000000-0002-0000-0800-000010000000}">
          <x14:formula1>
            <xm:f>Lookups!$AM$4:$AM$16</xm:f>
          </x14:formula1>
          <xm:sqref>F12:F24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74</vt:i4>
      </vt:variant>
    </vt:vector>
  </HeadingPairs>
  <TitlesOfParts>
    <vt:vector size="91" baseType="lpstr">
      <vt:lpstr>About LEGGI</vt:lpstr>
      <vt:lpstr>Emission sectors</vt:lpstr>
      <vt:lpstr>Dashboard</vt:lpstr>
      <vt:lpstr>00 Summary</vt:lpstr>
      <vt:lpstr>01 Energy</vt:lpstr>
      <vt:lpstr>02 CO2</vt:lpstr>
      <vt:lpstr>Local Authority summary</vt:lpstr>
      <vt:lpstr>Ia.Energy-Stationary </vt:lpstr>
      <vt:lpstr>Ib.Energy-Transport </vt:lpstr>
      <vt:lpstr>II.IPPU</vt:lpstr>
      <vt:lpstr>III.AFOLU</vt:lpstr>
      <vt:lpstr>IV.Waste</vt:lpstr>
      <vt:lpstr>V.Other</vt:lpstr>
      <vt:lpstr>Lookups</vt:lpstr>
      <vt:lpstr>Emission &amp; Conversion Factors</vt:lpstr>
      <vt:lpstr>C40 summary</vt:lpstr>
      <vt:lpstr>GCoM summary</vt:lpstr>
      <vt:lpstr>ConFact_0.001</vt:lpstr>
      <vt:lpstr>ConFact_g_to_tonnes</vt:lpstr>
      <vt:lpstr>ConvFact_ttoe_to_kWh</vt:lpstr>
      <vt:lpstr>EF_CH4_AD</vt:lpstr>
      <vt:lpstr>EF_CH4_ATF_Transport</vt:lpstr>
      <vt:lpstr>EF_CH4_Coal_DCI</vt:lpstr>
      <vt:lpstr>EF_CH4_Composting</vt:lpstr>
      <vt:lpstr>EF_CH4_DieselAvBio_Trans_kg_l</vt:lpstr>
      <vt:lpstr>EF_CH4_DieselAvBio_Transport</vt:lpstr>
      <vt:lpstr>EF_CH4_ElectGen_DCI</vt:lpstr>
      <vt:lpstr>EF_CH4_ElectTDL_DCI</vt:lpstr>
      <vt:lpstr>EF_CH4_FuelOil_IC</vt:lpstr>
      <vt:lpstr>EF_CH4_GasOil</vt:lpstr>
      <vt:lpstr>EF_CH4_GasOil_RailDiesel</vt:lpstr>
      <vt:lpstr>EF_CH4_Incinaration</vt:lpstr>
      <vt:lpstr>EF_CH4_LPG_Transport</vt:lpstr>
      <vt:lpstr>EF_CH4_NatGas_DCI</vt:lpstr>
      <vt:lpstr>EF_CH4_NG_Fugitive</vt:lpstr>
      <vt:lpstr>EF_CH4_PetrolAvBio_Trans_kg_l</vt:lpstr>
      <vt:lpstr>EF_CH4_PetrolAvBio_Transport</vt:lpstr>
      <vt:lpstr>EF_CH4_W_R_IC</vt:lpstr>
      <vt:lpstr>EF_CO2_ATF_Transport</vt:lpstr>
      <vt:lpstr>EF_CO2_Coal_DCI</vt:lpstr>
      <vt:lpstr>EF_CO2_DieselAvBio_Trans_kg_l</vt:lpstr>
      <vt:lpstr>EF_CO2_DieselAvBio_Transport</vt:lpstr>
      <vt:lpstr>EF_CO2_ElectGen_DCI</vt:lpstr>
      <vt:lpstr>EF_CO2_ElectTDL_DCI</vt:lpstr>
      <vt:lpstr>EF_CO2_FuelOil_IC</vt:lpstr>
      <vt:lpstr>EF_CO2_GasOil</vt:lpstr>
      <vt:lpstr>EF_CO2_GasOil_RailDiesel</vt:lpstr>
      <vt:lpstr>EF_CO2_LPG_Transport</vt:lpstr>
      <vt:lpstr>EF_CO2_NatGas_DCI</vt:lpstr>
      <vt:lpstr>EF_CO2_NG_Fugitive</vt:lpstr>
      <vt:lpstr>EF_CO2_PetrolAvBio_Trans_kg_l</vt:lpstr>
      <vt:lpstr>EF_CO2_PetrolAvBio_Transport</vt:lpstr>
      <vt:lpstr>EF_CO2_Shipping</vt:lpstr>
      <vt:lpstr>EF_CO2_W_R_IC</vt:lpstr>
      <vt:lpstr>EF_CO2b_Incineration</vt:lpstr>
      <vt:lpstr>EF_GHG_AFT</vt:lpstr>
      <vt:lpstr>EF_GHG_Biomass_WoodChips</vt:lpstr>
      <vt:lpstr>EF_GHG_Coal_DCI</vt:lpstr>
      <vt:lpstr>EF_GHG_DieselAvBio_Trans_kg_l</vt:lpstr>
      <vt:lpstr>EF_GHG_DieselAvBio_Transport</vt:lpstr>
      <vt:lpstr>EF_GHG_ElectGen</vt:lpstr>
      <vt:lpstr>EF_GHG_ElectTD</vt:lpstr>
      <vt:lpstr>EF_GHG_GasOil</vt:lpstr>
      <vt:lpstr>EF_GHG_LPG_Transport</vt:lpstr>
      <vt:lpstr>EF_GHG_NatGas_DCI</vt:lpstr>
      <vt:lpstr>EF_GHG_PetrolAvBio_Trans_kg_l</vt:lpstr>
      <vt:lpstr>EF_GHG_PetrolAvBio_Transport</vt:lpstr>
      <vt:lpstr>EF_GHG_W_R_IC</vt:lpstr>
      <vt:lpstr>EF_N2O_ATF_Transport</vt:lpstr>
      <vt:lpstr>EF_N2O_Coal_DCI</vt:lpstr>
      <vt:lpstr>EF_N2O_Composting</vt:lpstr>
      <vt:lpstr>EF_N2O_DieselAvBio_Trans_kg_l</vt:lpstr>
      <vt:lpstr>EF_N2O_DieselAvBio_Transport</vt:lpstr>
      <vt:lpstr>EF_N2O_ElectGen_DCI</vt:lpstr>
      <vt:lpstr>EF_N2O_ElectTDL_DCI</vt:lpstr>
      <vt:lpstr>EF_N2O_FuelOil_IC</vt:lpstr>
      <vt:lpstr>EF_N2O_GasOil</vt:lpstr>
      <vt:lpstr>EF_N2O_GasOil_RailDiesel</vt:lpstr>
      <vt:lpstr>EF_N2O_Incineration</vt:lpstr>
      <vt:lpstr>EF_N2O_LPG_Transport</vt:lpstr>
      <vt:lpstr>EF_N2O_NatGas_DCI</vt:lpstr>
      <vt:lpstr>EF_N2O_PetrolAvBio_Trans_kg_l</vt:lpstr>
      <vt:lpstr>EF_N2O_PetrolAvBio_Transport</vt:lpstr>
      <vt:lpstr>EF_N2O_W_R_IC</vt:lpstr>
      <vt:lpstr>GWP_CH4</vt:lpstr>
      <vt:lpstr>GWP_CO2</vt:lpstr>
      <vt:lpstr>GWP_N2O</vt:lpstr>
      <vt:lpstr>'00 Summary'!Print_Area</vt:lpstr>
      <vt:lpstr>'01 Energy'!Print_Area</vt:lpstr>
      <vt:lpstr>'02 CO2'!Print_Area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Agnieszka Griffin</dc:creator>
  <cp:lastModifiedBy>Agnieszka Griffin</cp:lastModifiedBy>
  <cp:lastPrinted>2020-07-29T13:17:20Z</cp:lastPrinted>
  <dcterms:created xsi:type="dcterms:W3CDTF">2020-05-22T09:11:54Z</dcterms:created>
  <dcterms:modified xsi:type="dcterms:W3CDTF">2021-03-08T13:41:53Z</dcterms:modified>
</cp:coreProperties>
</file>