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raymond\Desktop\MyPortfolio\"/>
    </mc:Choice>
  </mc:AlternateContent>
  <xr:revisionPtr revIDLastSave="0" documentId="13_ncr:1_{972535B6-53E4-44FD-B473-A401241F97B2}" xr6:coauthVersionLast="46" xr6:coauthVersionMax="46" xr10:uidLastSave="{00000000-0000-0000-0000-000000000000}"/>
  <bookViews>
    <workbookView xWindow="-110" yWindow="-110" windowWidth="19420" windowHeight="10420" activeTab="4" xr2:uid="{00000000-000D-0000-FFFF-FFFF00000000}"/>
  </bookViews>
  <sheets>
    <sheet name="MyPortfolio" sheetId="2" r:id="rId1"/>
    <sheet name="correlation" sheetId="33" r:id="rId2"/>
    <sheet name="lognormal" sheetId="35" r:id="rId3"/>
    <sheet name="beta" sheetId="34" r:id="rId4"/>
    <sheet name="tangentPorfolio" sheetId="3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2" l="1"/>
  <c r="X6" i="2"/>
  <c r="X7" i="2"/>
  <c r="X8" i="2"/>
  <c r="X9" i="2"/>
  <c r="X10" i="2"/>
  <c r="X11" i="2"/>
  <c r="X12" i="2"/>
  <c r="X13" i="2"/>
  <c r="X14" i="2"/>
  <c r="X15" i="2"/>
  <c r="X4" i="2"/>
  <c r="C3" i="35"/>
  <c r="C4" i="35"/>
  <c r="D4" i="35" s="1"/>
  <c r="C5" i="35"/>
  <c r="C6" i="35"/>
  <c r="C7" i="35"/>
  <c r="D7" i="35" s="1"/>
  <c r="C8" i="35"/>
  <c r="C9" i="35"/>
  <c r="C10" i="35"/>
  <c r="D10" i="35" s="1"/>
  <c r="C11" i="35"/>
  <c r="D11" i="35" s="1"/>
  <c r="C12" i="35"/>
  <c r="D12" i="35" s="1"/>
  <c r="C13" i="35"/>
  <c r="D13" i="35" s="1"/>
  <c r="C14" i="35"/>
  <c r="D14" i="35" s="1"/>
  <c r="D3" i="35"/>
  <c r="I3" i="35"/>
  <c r="J3" i="35"/>
  <c r="I4" i="35"/>
  <c r="J4" i="35"/>
  <c r="V23" i="2"/>
  <c r="Y3" i="2"/>
  <c r="Y5" i="2"/>
  <c r="Y6" i="2"/>
  <c r="Y7" i="2"/>
  <c r="Y8" i="2"/>
  <c r="Y9" i="2"/>
  <c r="Y10" i="2"/>
  <c r="Y11" i="2"/>
  <c r="Y12" i="2"/>
  <c r="Y13" i="2"/>
  <c r="Y14" i="2"/>
  <c r="Y15" i="2"/>
  <c r="Y4" i="2"/>
  <c r="I5" i="35"/>
  <c r="J5" i="35" s="1"/>
  <c r="I6" i="35"/>
  <c r="I7" i="35"/>
  <c r="J7" i="35" s="1"/>
  <c r="I8" i="35"/>
  <c r="I9" i="35"/>
  <c r="I10" i="35"/>
  <c r="J10" i="35" s="1"/>
  <c r="I11" i="35"/>
  <c r="J11" i="35" s="1"/>
  <c r="I12" i="35"/>
  <c r="I13" i="35"/>
  <c r="I14" i="35"/>
  <c r="D5" i="35"/>
  <c r="V17" i="2"/>
  <c r="Z18" i="2"/>
  <c r="AA18" i="2" s="1"/>
  <c r="Z17" i="2"/>
  <c r="Z5" i="2"/>
  <c r="AA5" i="2" s="1"/>
  <c r="Z6" i="2"/>
  <c r="AA6" i="2" s="1"/>
  <c r="Z7" i="2"/>
  <c r="AA7" i="2" s="1"/>
  <c r="Z8" i="2"/>
  <c r="AA8" i="2" s="1"/>
  <c r="Z9" i="2"/>
  <c r="AA9" i="2" s="1"/>
  <c r="Z10" i="2"/>
  <c r="AA10" i="2" s="1"/>
  <c r="Z11" i="2"/>
  <c r="AA11" i="2" s="1"/>
  <c r="Z12" i="2"/>
  <c r="AA12" i="2" s="1"/>
  <c r="Z13" i="2"/>
  <c r="AA13" i="2" s="1"/>
  <c r="Z14" i="2"/>
  <c r="AA14" i="2" s="1"/>
  <c r="Z15" i="2"/>
  <c r="AA15" i="2" s="1"/>
  <c r="Z4" i="2"/>
  <c r="AA4" i="2" s="1"/>
  <c r="H17" i="35"/>
  <c r="H19" i="35" s="1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O5" i="2"/>
  <c r="O6" i="2"/>
  <c r="O7" i="2"/>
  <c r="O8" i="2"/>
  <c r="Q8" i="2" s="1"/>
  <c r="R8" i="2" s="1"/>
  <c r="O9" i="2"/>
  <c r="O10" i="2"/>
  <c r="Q10" i="2" s="1"/>
  <c r="R10" i="2" s="1"/>
  <c r="O11" i="2"/>
  <c r="Q11" i="2" s="1"/>
  <c r="R11" i="2" s="1"/>
  <c r="O12" i="2"/>
  <c r="Q12" i="2" s="1"/>
  <c r="O13" i="2"/>
  <c r="Q13" i="2" s="1"/>
  <c r="O14" i="2"/>
  <c r="Q14" i="2" s="1"/>
  <c r="R14" i="2" s="1"/>
  <c r="O15" i="2"/>
  <c r="Q15" i="2" s="1"/>
  <c r="R15" i="2" s="1"/>
  <c r="O4" i="2"/>
  <c r="Q4" i="2" s="1"/>
  <c r="R4" i="2" s="1"/>
  <c r="D16" i="33"/>
  <c r="E16" i="33"/>
  <c r="F16" i="33"/>
  <c r="G16" i="33"/>
  <c r="H16" i="33"/>
  <c r="I16" i="33"/>
  <c r="J16" i="33"/>
  <c r="K16" i="33"/>
  <c r="L16" i="33"/>
  <c r="M16" i="33"/>
  <c r="N16" i="33"/>
  <c r="C16" i="33"/>
  <c r="R13" i="2" l="1"/>
  <c r="Q5" i="2"/>
  <c r="R5" i="2" s="1"/>
  <c r="R12" i="2"/>
  <c r="Q9" i="2"/>
  <c r="R9" i="2" s="1"/>
  <c r="Q7" i="2"/>
  <c r="R7" i="2" s="1"/>
  <c r="Q6" i="2"/>
  <c r="R6" i="2" s="1"/>
  <c r="Y16" i="2"/>
  <c r="J12" i="35"/>
  <c r="D9" i="35"/>
  <c r="J9" i="35"/>
  <c r="D8" i="35"/>
  <c r="J8" i="35"/>
  <c r="D6" i="35"/>
  <c r="J14" i="35"/>
  <c r="J6" i="35"/>
  <c r="J13" i="35"/>
  <c r="AA17" i="2"/>
  <c r="AA19" i="2"/>
  <c r="P16" i="33"/>
  <c r="AA20" i="2" l="1"/>
  <c r="W4" i="2" l="1"/>
  <c r="W9" i="2"/>
  <c r="W10" i="2"/>
  <c r="W14" i="2"/>
  <c r="W6" i="2"/>
  <c r="W8" i="2"/>
  <c r="W7" i="2"/>
  <c r="W11" i="2"/>
  <c r="W12" i="2"/>
  <c r="W13" i="2"/>
  <c r="W5" i="2"/>
  <c r="W15" i="2"/>
  <c r="P13" i="2" l="1"/>
  <c r="C13" i="2"/>
  <c r="M13" i="2"/>
  <c r="I13" i="2"/>
  <c r="L13" i="2"/>
  <c r="H13" i="2"/>
  <c r="F13" i="2"/>
  <c r="J13" i="2"/>
  <c r="D13" i="2"/>
  <c r="K20" i="2"/>
  <c r="E13" i="2"/>
  <c r="K13" i="2"/>
  <c r="G13" i="2"/>
  <c r="K12" i="2"/>
  <c r="C12" i="2"/>
  <c r="J20" i="2"/>
  <c r="G12" i="2"/>
  <c r="E12" i="2"/>
  <c r="P12" i="2"/>
  <c r="J12" i="2"/>
  <c r="F12" i="2"/>
  <c r="L12" i="2"/>
  <c r="D12" i="2"/>
  <c r="I12" i="2"/>
  <c r="M12" i="2"/>
  <c r="H12" i="2"/>
  <c r="W16" i="2"/>
  <c r="B12" i="2"/>
  <c r="F11" i="2"/>
  <c r="P11" i="2"/>
  <c r="G11" i="2"/>
  <c r="H11" i="2"/>
  <c r="M11" i="2"/>
  <c r="K11" i="2"/>
  <c r="J11" i="2"/>
  <c r="I11" i="2"/>
  <c r="L11" i="2"/>
  <c r="C11" i="2"/>
  <c r="D11" i="2"/>
  <c r="E11" i="2"/>
  <c r="I20" i="2"/>
  <c r="G7" i="2"/>
  <c r="P7" i="2"/>
  <c r="E20" i="2"/>
  <c r="H7" i="2"/>
  <c r="E7" i="2"/>
  <c r="M7" i="2"/>
  <c r="J7" i="2"/>
  <c r="C7" i="2"/>
  <c r="B7" i="2"/>
  <c r="I7" i="2"/>
  <c r="F7" i="2"/>
  <c r="K7" i="2"/>
  <c r="D7" i="2"/>
  <c r="L7" i="2"/>
  <c r="P6" i="2"/>
  <c r="E6" i="2"/>
  <c r="G6" i="2"/>
  <c r="D20" i="2"/>
  <c r="L6" i="2"/>
  <c r="K6" i="2"/>
  <c r="B6" i="2"/>
  <c r="I6" i="2"/>
  <c r="H6" i="2"/>
  <c r="D6" i="2"/>
  <c r="M6" i="2"/>
  <c r="C6" i="2"/>
  <c r="F6" i="2"/>
  <c r="J6" i="2"/>
  <c r="G20" i="2"/>
  <c r="D9" i="2"/>
  <c r="E9" i="2"/>
  <c r="P9" i="2"/>
  <c r="F9" i="2"/>
  <c r="C9" i="2"/>
  <c r="K9" i="2"/>
  <c r="I9" i="2"/>
  <c r="B9" i="2"/>
  <c r="G9" i="2"/>
  <c r="L9" i="2"/>
  <c r="J9" i="2"/>
  <c r="H9" i="2"/>
  <c r="M9" i="2"/>
  <c r="P8" i="2"/>
  <c r="H8" i="2"/>
  <c r="B8" i="2"/>
  <c r="K8" i="2"/>
  <c r="G8" i="2"/>
  <c r="D8" i="2"/>
  <c r="L8" i="2"/>
  <c r="F20" i="2"/>
  <c r="E8" i="2"/>
  <c r="F8" i="2"/>
  <c r="C8" i="2"/>
  <c r="M8" i="2"/>
  <c r="J8" i="2"/>
  <c r="I8" i="2"/>
  <c r="P15" i="2"/>
  <c r="K15" i="2"/>
  <c r="F15" i="2"/>
  <c r="M20" i="2"/>
  <c r="I15" i="2"/>
  <c r="D15" i="2"/>
  <c r="C15" i="2"/>
  <c r="B15" i="2"/>
  <c r="H15" i="2"/>
  <c r="L15" i="2"/>
  <c r="G15" i="2"/>
  <c r="E15" i="2"/>
  <c r="M15" i="2"/>
  <c r="J15" i="2"/>
  <c r="L14" i="2"/>
  <c r="P14" i="2"/>
  <c r="D14" i="2"/>
  <c r="G14" i="2"/>
  <c r="K14" i="2"/>
  <c r="L20" i="2"/>
  <c r="E14" i="2"/>
  <c r="M14" i="2"/>
  <c r="H14" i="2"/>
  <c r="C14" i="2"/>
  <c r="F14" i="2"/>
  <c r="I14" i="2"/>
  <c r="B14" i="2"/>
  <c r="J14" i="2"/>
  <c r="P5" i="2"/>
  <c r="M5" i="2"/>
  <c r="C5" i="2"/>
  <c r="K5" i="2"/>
  <c r="J5" i="2"/>
  <c r="B5" i="2"/>
  <c r="H5" i="2"/>
  <c r="G5" i="2"/>
  <c r="C20" i="2"/>
  <c r="D5" i="2"/>
  <c r="E5" i="2"/>
  <c r="L5" i="2"/>
  <c r="F5" i="2"/>
  <c r="I5" i="2"/>
  <c r="D10" i="2"/>
  <c r="P10" i="2"/>
  <c r="H20" i="2"/>
  <c r="J10" i="2"/>
  <c r="F10" i="2"/>
  <c r="K10" i="2"/>
  <c r="C10" i="2"/>
  <c r="B10" i="2"/>
  <c r="G10" i="2"/>
  <c r="L10" i="2"/>
  <c r="M10" i="2"/>
  <c r="E10" i="2"/>
  <c r="H10" i="2"/>
  <c r="I10" i="2"/>
  <c r="X16" i="2" l="1"/>
  <c r="G4" i="2"/>
  <c r="F4" i="2"/>
  <c r="L4" i="2"/>
  <c r="P4" i="2"/>
  <c r="O17" i="2" s="1"/>
  <c r="Q17" i="2" s="1"/>
  <c r="H4" i="2"/>
  <c r="I4" i="2"/>
  <c r="B20" i="2"/>
  <c r="AA27" i="2" s="1"/>
  <c r="J4" i="2"/>
  <c r="B4" i="2"/>
  <c r="E4" i="2"/>
  <c r="M4" i="2"/>
  <c r="D4" i="2"/>
  <c r="K4" i="2"/>
  <c r="C4" i="2"/>
  <c r="B13" i="2"/>
  <c r="B11" i="2"/>
  <c r="R17" i="2" l="1"/>
  <c r="AA28" i="2"/>
  <c r="N10" i="2" l="1"/>
  <c r="N9" i="2"/>
  <c r="N15" i="2" l="1"/>
  <c r="N12" i="2"/>
  <c r="N14" i="2"/>
  <c r="N5" i="2"/>
  <c r="N11" i="2"/>
  <c r="N13" i="2"/>
  <c r="N6" i="2"/>
  <c r="N8" i="2"/>
  <c r="N7" i="2"/>
  <c r="N4" i="2"/>
  <c r="AA23" i="2" l="1"/>
  <c r="AA22" i="2" s="1"/>
  <c r="AA24" i="2" s="1"/>
  <c r="AA31" i="2" l="1"/>
  <c r="AA33" i="2"/>
  <c r="AA34" i="2" s="1"/>
  <c r="AA36" i="2"/>
  <c r="AA3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AE9C8A-3D61-407F-88BD-C4723E5D26FE}" keepAlive="1" name="Query - delivery" description="Connection to the 'delivery' query in the workbook." type="5" refreshedVersion="6" background="1">
    <dbPr connection="Provider=Microsoft.Mashup.OleDb.1;Data Source=$Workbook$;Location=delivery;Extended Properties=&quot;&quot;" command="SELECT * FROM [delivery]"/>
  </connection>
  <connection id="2" xr16:uid="{98EACCB0-A5F7-4B1E-8BDD-9A70B35706DB}" keepAlive="1" name="Query - delivery (2)" description="Connection to the 'delivery (2)' query in the workbook." type="5" refreshedVersion="6" background="1" saveData="1">
    <dbPr connection="Provider=Microsoft.Mashup.OleDb.1;Data Source=$Workbook$;Location=&quot;delivery (2)&quot;;Extended Properties=&quot;&quot;" command="SELECT * FROM [delivery (2)]"/>
  </connection>
  <connection id="3" xr16:uid="{BEBD501F-1838-43B6-A59E-FFB142D8FD69}" keepAlive="1" name="Query - production" description="Connection to the 'production' query in the workbook." type="5" refreshedVersion="6" background="1">
    <dbPr connection="Provider=Microsoft.Mashup.OleDb.1;Data Source=$Workbook$;Location=production;Extended Properties=&quot;&quot;" command="SELECT * FROM [production]"/>
  </connection>
  <connection id="4" xr16:uid="{D482AFF5-BB6D-423F-BC41-B962A7B3F185}" keepAlive="1" name="Query - production (2)" description="Connection to the 'production (2)' query in the workbook." type="5" refreshedVersion="6" background="1" saveData="1">
    <dbPr connection="Provider=Microsoft.Mashup.OleDb.1;Data Source=$Workbook$;Location=&quot;production (2)&quot;;Extended Properties=&quot;&quot;" command="SELECT * FROM [production (2)]"/>
  </connection>
  <connection id="5" xr16:uid="{045BCC09-1E10-4B2F-8798-123A08A9DD5E}" keepAlive="1" name="Query - regional" description="Connection to the 'regional' query in the workbook." type="5" refreshedVersion="6" background="1" saveData="1">
    <dbPr connection="Provider=Microsoft.Mashup.OleDb.1;Data Source=$Workbook$;Location=regional;Extended Properties=&quot;&quot;" command="SELECT * FROM [regional]"/>
  </connection>
</connections>
</file>

<file path=xl/sharedStrings.xml><?xml version="1.0" encoding="utf-8"?>
<sst xmlns="http://schemas.openxmlformats.org/spreadsheetml/2006/main" count="169" uniqueCount="59">
  <si>
    <t>Ticker</t>
  </si>
  <si>
    <t>Name</t>
  </si>
  <si>
    <t>ARKK</t>
  </si>
  <si>
    <t>total</t>
    <phoneticPr fontId="2" type="noConversion"/>
  </si>
  <si>
    <t>sharpe ratio</t>
    <phoneticPr fontId="2" type="noConversion"/>
  </si>
  <si>
    <t>Quote Date</t>
    <phoneticPr fontId="2" type="noConversion"/>
  </si>
  <si>
    <t>2 sigma(loss)</t>
    <phoneticPr fontId="2" type="noConversion"/>
  </si>
  <si>
    <t>loss in amount</t>
    <phoneticPr fontId="2" type="noConversion"/>
  </si>
  <si>
    <t>avg correlation</t>
    <phoneticPr fontId="2" type="noConversion"/>
  </si>
  <si>
    <t>limit of deversification</t>
    <phoneticPr fontId="2" type="noConversion"/>
  </si>
  <si>
    <t>Date</t>
    <phoneticPr fontId="2" type="noConversion"/>
  </si>
  <si>
    <t>1 sigma(loss)</t>
    <phoneticPr fontId="2" type="noConversion"/>
  </si>
  <si>
    <t>Market value(HKD)</t>
    <phoneticPr fontId="2" type="noConversion"/>
  </si>
  <si>
    <t>2840.hk</t>
  </si>
  <si>
    <t>159919.SZ</t>
  </si>
  <si>
    <t>DBC</t>
  </si>
  <si>
    <t>9988.HK</t>
  </si>
  <si>
    <t>0001.HK</t>
  </si>
  <si>
    <t>BRK-B</t>
  </si>
  <si>
    <t>BIDU</t>
  </si>
  <si>
    <t>2800.HK</t>
  </si>
  <si>
    <t>SPY</t>
  </si>
  <si>
    <t>LIT</t>
  </si>
  <si>
    <t>REET</t>
  </si>
  <si>
    <t>Beta</t>
  </si>
  <si>
    <t>Historical Log Daily Return</t>
  </si>
  <si>
    <t>Historical Log Daily Variance</t>
  </si>
  <si>
    <t>Avg Annual Log Std</t>
  </si>
  <si>
    <t>HKD/USD</t>
  </si>
  <si>
    <t>HKD/CNY</t>
  </si>
  <si>
    <t>Exchange rate</t>
  </si>
  <si>
    <t>stock - HKD</t>
  </si>
  <si>
    <t>Cash - USD</t>
  </si>
  <si>
    <t>Cash - HKD</t>
  </si>
  <si>
    <t>Expected Return</t>
  </si>
  <si>
    <t>Annual Log Return</t>
  </si>
  <si>
    <t>Annual Log Std</t>
  </si>
  <si>
    <t>Percentage</t>
  </si>
  <si>
    <t>Weighted Annaul Log return</t>
  </si>
  <si>
    <t>Portfolio</t>
  </si>
  <si>
    <t>Subtotal Covariance</t>
  </si>
  <si>
    <t xml:space="preserve">Total Annual Log Covariance </t>
  </si>
  <si>
    <t>Total Annual Log Std</t>
  </si>
  <si>
    <t>Portfolio Risk(%)</t>
  </si>
  <si>
    <t xml:space="preserve">Total Annual Log Return </t>
  </si>
  <si>
    <t>Portfolio Return(%)</t>
  </si>
  <si>
    <t>1 Year T-bill</t>
  </si>
  <si>
    <t>Portfolio Beta</t>
  </si>
  <si>
    <t xml:space="preserve">Weighted </t>
  </si>
  <si>
    <t>stock weight</t>
  </si>
  <si>
    <t>Annual Data</t>
  </si>
  <si>
    <t>Subtotal</t>
  </si>
  <si>
    <t>Market value</t>
  </si>
  <si>
    <t>covariance(log) matrix</t>
  </si>
  <si>
    <t>Alpha</t>
  </si>
  <si>
    <t>CAPM E[R]</t>
  </si>
  <si>
    <t>1 Year T-bill Log return</t>
  </si>
  <si>
    <t>Portfolio Alpha</t>
  </si>
  <si>
    <t>Input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</si>
</sst>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HK$&quot;* #,##0.00_);_(&quot;HK$&quot;* \(#,##0.00\);_(&quot;HK$&quot;* &quot;-&quot;??_);_(@_)"/>
    <numFmt numFmtId="165" formatCode="0.00_ "/>
    <numFmt numFmtId="166" formatCode="_(&quot;US$&quot;* #,##0.00_);_(&quot;US$&quot;* \(#,##0.00\);_(&quot;US$&quot;* &quot;-&quot;??_);_(@_)"/>
    <numFmt numFmtId="167" formatCode="0.00000%"/>
    <numFmt numFmtId="168" formatCode="_(&quot;CNY$&quot;* #,##0.00_);_(&quot;CNY$&quot;* \(#,##0.00\);_(&quot;CNY$&quot;* &quot;-&quot;??_);_(@_)"/>
  </numFmts>
  <fonts count="12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9"/>
      <name val="Calibri"/>
      <family val="3"/>
      <charset val="136"/>
      <scheme val="minor"/>
    </font>
    <font>
      <sz val="9"/>
      <color rgb="FF2A2A2A"/>
      <name val="Arial"/>
      <family val="2"/>
    </font>
    <font>
      <sz val="11"/>
      <color rgb="FF006100"/>
      <name val="Calibri"/>
      <family val="2"/>
      <charset val="136"/>
      <scheme val="minor"/>
    </font>
    <font>
      <sz val="11"/>
      <color rgb="FF9C0006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rgb="FF9C5700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sz val="11"/>
      <color rgb="FF3F3F76"/>
      <name val="Calibri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C99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12" applyNumberFormat="0" applyAlignment="0" applyProtection="0">
      <alignment vertical="center"/>
    </xf>
    <xf numFmtId="0" fontId="8" fillId="6" borderId="1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2" applyNumberFormat="0" applyAlignment="0" applyProtection="0">
      <alignment vertical="center"/>
    </xf>
  </cellStyleXfs>
  <cellXfs count="75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5" fillId="3" borderId="0" xfId="2" applyAlignment="1"/>
    <xf numFmtId="14" fontId="5" fillId="3" borderId="0" xfId="2" applyNumberFormat="1" applyAlignment="1"/>
    <xf numFmtId="0" fontId="0" fillId="0" borderId="3" xfId="0" applyBorder="1"/>
    <xf numFmtId="10" fontId="0" fillId="0" borderId="6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" xfId="0" applyBorder="1"/>
    <xf numFmtId="0" fontId="0" fillId="0" borderId="0" xfId="0" applyBorder="1"/>
    <xf numFmtId="0" fontId="0" fillId="0" borderId="10" xfId="0" applyBorder="1"/>
    <xf numFmtId="0" fontId="0" fillId="0" borderId="0" xfId="0" applyNumberFormat="1"/>
    <xf numFmtId="164" fontId="0" fillId="0" borderId="0" xfId="0" applyNumberFormat="1"/>
    <xf numFmtId="166" fontId="0" fillId="0" borderId="0" xfId="0" applyNumberFormat="1"/>
    <xf numFmtId="10" fontId="5" fillId="3" borderId="0" xfId="2" applyNumberFormat="1" applyAlignment="1"/>
    <xf numFmtId="0" fontId="0" fillId="6" borderId="13" xfId="6" applyFont="1" applyAlignment="1"/>
    <xf numFmtId="0" fontId="10" fillId="0" borderId="0" xfId="7" applyAlignment="1"/>
    <xf numFmtId="10" fontId="9" fillId="5" borderId="12" xfId="5" applyNumberFormat="1" applyAlignment="1"/>
    <xf numFmtId="0" fontId="11" fillId="7" borderId="2" xfId="8" applyAlignment="1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9" fillId="5" borderId="12" xfId="5" applyAlignment="1"/>
    <xf numFmtId="0" fontId="9" fillId="5" borderId="12" xfId="5" applyAlignment="1"/>
    <xf numFmtId="0" fontId="0" fillId="0" borderId="0" xfId="0"/>
    <xf numFmtId="11" fontId="0" fillId="0" borderId="0" xfId="0" applyNumberFormat="1"/>
    <xf numFmtId="0" fontId="10" fillId="0" borderId="0" xfId="7" applyNumberFormat="1" applyAlignment="1"/>
    <xf numFmtId="165" fontId="0" fillId="6" borderId="13" xfId="6" applyNumberFormat="1" applyFont="1" applyAlignment="1"/>
    <xf numFmtId="0" fontId="0" fillId="0" borderId="15" xfId="0" applyBorder="1"/>
    <xf numFmtId="0" fontId="0" fillId="0" borderId="11" xfId="0" applyBorder="1"/>
    <xf numFmtId="0" fontId="0" fillId="0" borderId="4" xfId="0" applyBorder="1"/>
    <xf numFmtId="164" fontId="0" fillId="0" borderId="0" xfId="0" applyNumberFormat="1" applyBorder="1"/>
    <xf numFmtId="168" fontId="0" fillId="0" borderId="0" xfId="0" applyNumberFormat="1" applyBorder="1"/>
    <xf numFmtId="166" fontId="0" fillId="0" borderId="0" xfId="0" applyNumberFormat="1" applyBorder="1"/>
    <xf numFmtId="166" fontId="0" fillId="0" borderId="1" xfId="0" applyNumberFormat="1" applyBorder="1"/>
    <xf numFmtId="10" fontId="0" fillId="0" borderId="8" xfId="0" applyNumberFormat="1" applyBorder="1"/>
    <xf numFmtId="164" fontId="9" fillId="5" borderId="12" xfId="5" applyNumberFormat="1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0" fontId="0" fillId="6" borderId="13" xfId="6" applyNumberFormat="1" applyFont="1" applyAlignment="1"/>
    <xf numFmtId="10" fontId="11" fillId="7" borderId="2" xfId="8" applyNumberFormat="1" applyAlignment="1"/>
    <xf numFmtId="0" fontId="0" fillId="0" borderId="23" xfId="0" applyBorder="1"/>
    <xf numFmtId="0" fontId="0" fillId="0" borderId="24" xfId="0" applyBorder="1"/>
    <xf numFmtId="0" fontId="0" fillId="0" borderId="25" xfId="0" applyBorder="1"/>
    <xf numFmtId="11" fontId="11" fillId="7" borderId="2" xfId="8" applyNumberFormat="1" applyAlignment="1"/>
    <xf numFmtId="0" fontId="5" fillId="3" borderId="12" xfId="2" applyBorder="1" applyAlignment="1">
      <alignment wrapText="1"/>
    </xf>
    <xf numFmtId="10" fontId="5" fillId="3" borderId="12" xfId="2" applyNumberFormat="1" applyBorder="1" applyAlignment="1">
      <alignment horizontal="center" vertical="center"/>
    </xf>
    <xf numFmtId="0" fontId="7" fillId="4" borderId="12" xfId="4" applyBorder="1" applyAlignment="1">
      <alignment horizontal="center" vertical="center" wrapText="1"/>
    </xf>
    <xf numFmtId="10" fontId="7" fillId="4" borderId="12" xfId="4" applyNumberFormat="1" applyBorder="1" applyAlignment="1"/>
    <xf numFmtId="0" fontId="4" fillId="2" borderId="12" xfId="1" applyBorder="1" applyAlignment="1"/>
    <xf numFmtId="165" fontId="4" fillId="2" borderId="12" xfId="1" applyNumberFormat="1" applyBorder="1" applyAlignment="1"/>
    <xf numFmtId="0" fontId="5" fillId="3" borderId="12" xfId="2" applyBorder="1" applyAlignment="1"/>
    <xf numFmtId="10" fontId="3" fillId="6" borderId="13" xfId="6" applyNumberFormat="1" applyFont="1" applyAlignment="1"/>
    <xf numFmtId="14" fontId="3" fillId="6" borderId="13" xfId="6" applyNumberFormat="1" applyFont="1" applyAlignment="1"/>
    <xf numFmtId="0" fontId="5" fillId="3" borderId="13" xfId="2" applyBorder="1" applyAlignment="1"/>
    <xf numFmtId="167" fontId="5" fillId="3" borderId="13" xfId="2" applyNumberFormat="1" applyBorder="1" applyAlignment="1"/>
    <xf numFmtId="164" fontId="5" fillId="3" borderId="13" xfId="2" applyNumberFormat="1" applyBorder="1" applyAlignment="1"/>
    <xf numFmtId="0" fontId="0" fillId="0" borderId="0" xfId="0" applyAlignment="1">
      <alignment horizontal="center" vertical="center" wrapText="1"/>
    </xf>
    <xf numFmtId="0" fontId="4" fillId="2" borderId="12" xfId="1" applyNumberFormat="1" applyBorder="1" applyAlignment="1"/>
    <xf numFmtId="10" fontId="5" fillId="3" borderId="12" xfId="2" applyNumberFormat="1" applyBorder="1" applyAlignment="1"/>
    <xf numFmtId="0" fontId="0" fillId="6" borderId="17" xfId="6" applyFont="1" applyBorder="1" applyAlignment="1">
      <alignment horizontal="center"/>
    </xf>
    <xf numFmtId="0" fontId="0" fillId="6" borderId="22" xfId="6" applyFont="1" applyBorder="1" applyAlignment="1">
      <alignment horizontal="center"/>
    </xf>
    <xf numFmtId="0" fontId="0" fillId="6" borderId="18" xfId="6" applyFont="1" applyBorder="1" applyAlignment="1">
      <alignment horizontal="center"/>
    </xf>
    <xf numFmtId="0" fontId="0" fillId="6" borderId="19" xfId="6" applyFont="1" applyBorder="1" applyAlignment="1">
      <alignment horizontal="center"/>
    </xf>
    <xf numFmtId="0" fontId="11" fillId="7" borderId="20" xfId="8" applyBorder="1" applyAlignment="1">
      <alignment horizontal="center"/>
    </xf>
    <xf numFmtId="0" fontId="11" fillId="7" borderId="21" xfId="8" applyBorder="1" applyAlignment="1">
      <alignment horizontal="center"/>
    </xf>
    <xf numFmtId="0" fontId="11" fillId="7" borderId="2" xfId="8" applyAlignment="1">
      <alignment horizontal="center"/>
    </xf>
    <xf numFmtId="0" fontId="9" fillId="5" borderId="12" xfId="5" applyAlignment="1">
      <alignment horizontal="center"/>
    </xf>
    <xf numFmtId="0" fontId="9" fillId="5" borderId="14" xfId="5" applyBorder="1" applyAlignment="1">
      <alignment horizontal="center"/>
    </xf>
    <xf numFmtId="0" fontId="9" fillId="5" borderId="16" xfId="5" applyBorder="1" applyAlignment="1">
      <alignment horizontal="center"/>
    </xf>
  </cellXfs>
  <cellStyles count="9">
    <cellStyle name="Bad" xfId="2" builtinId="27"/>
    <cellStyle name="Explanatory Text" xfId="7" builtinId="53"/>
    <cellStyle name="Good" xfId="1" builtinId="26"/>
    <cellStyle name="Input" xfId="8" builtinId="20"/>
    <cellStyle name="Neutral" xfId="4" builtinId="28"/>
    <cellStyle name="Normal" xfId="0" builtinId="0"/>
    <cellStyle name="Normal 2" xfId="3" xr:uid="{4D285268-EBD2-45A3-BB69-C59CC5D0A60C}"/>
    <cellStyle name="Note" xfId="6" builtinId="1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E539D-5B3D-45BD-8BDF-0C1934ABC5C9}">
  <dimension ref="A1:AC42"/>
  <sheetViews>
    <sheetView topLeftCell="U16" workbookViewId="0">
      <selection activeCell="V4" sqref="V4"/>
    </sheetView>
  </sheetViews>
  <sheetFormatPr defaultRowHeight="14.5"/>
  <cols>
    <col min="1" max="1" width="29.54296875" customWidth="1"/>
    <col min="2" max="2" width="11" bestFit="1" customWidth="1"/>
    <col min="3" max="3" width="9.1796875" bestFit="1" customWidth="1"/>
    <col min="4" max="4" width="8.90625" customWidth="1"/>
    <col min="5" max="5" width="14.1796875" bestFit="1" customWidth="1"/>
    <col min="6" max="6" width="13.54296875" bestFit="1" customWidth="1"/>
    <col min="7" max="7" width="14.81640625" customWidth="1"/>
    <col min="8" max="8" width="14.54296875" customWidth="1"/>
    <col min="9" max="9" width="14.6328125" style="25" customWidth="1"/>
    <col min="10" max="10" width="12.90625" style="25" customWidth="1"/>
    <col min="11" max="11" width="12.1796875" style="25" customWidth="1"/>
    <col min="12" max="12" width="11.54296875" style="25" customWidth="1"/>
    <col min="13" max="13" width="13.26953125" style="25" customWidth="1"/>
    <col min="14" max="14" width="17.54296875" style="25" bestFit="1" customWidth="1"/>
    <col min="15" max="15" width="17.7265625" bestFit="1" customWidth="1"/>
    <col min="16" max="16" width="17.7265625" style="26" customWidth="1"/>
    <col min="17" max="17" width="12.36328125" style="29" customWidth="1"/>
    <col min="18" max="18" width="17.7265625" style="29" customWidth="1"/>
    <col min="19" max="19" width="24.81640625" bestFit="1" customWidth="1"/>
    <col min="20" max="20" width="23.81640625" bestFit="1" customWidth="1"/>
    <col min="21" max="21" width="12.453125" customWidth="1"/>
    <col min="22" max="22" width="20.6328125" customWidth="1"/>
    <col min="23" max="23" width="12.1796875" customWidth="1"/>
    <col min="24" max="24" width="14.54296875" style="26" customWidth="1"/>
    <col min="25" max="25" width="29.1796875" style="26" customWidth="1"/>
    <col min="26" max="26" width="13.26953125" style="26" customWidth="1"/>
    <col min="27" max="27" width="22.1796875" customWidth="1"/>
    <col min="28" max="28" width="29.1796875" bestFit="1" customWidth="1"/>
  </cols>
  <sheetData>
    <row r="1" spans="1:28" ht="15" thickBot="1">
      <c r="A1" s="4" t="s">
        <v>50</v>
      </c>
    </row>
    <row r="2" spans="1:28" ht="15" thickBot="1">
      <c r="A2" s="72" t="s">
        <v>53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4"/>
      <c r="O2" s="65" t="s">
        <v>24</v>
      </c>
      <c r="P2" s="66"/>
      <c r="Q2" s="66"/>
      <c r="R2" s="66"/>
      <c r="S2" s="67"/>
      <c r="T2" s="68"/>
      <c r="U2" s="69" t="s">
        <v>39</v>
      </c>
      <c r="V2" s="70"/>
      <c r="W2" s="70"/>
      <c r="X2" s="70"/>
      <c r="Y2" s="70"/>
      <c r="Z2" s="71"/>
      <c r="AA2" s="71"/>
    </row>
    <row r="3" spans="1:28" ht="15" thickBot="1">
      <c r="A3" t="s">
        <v>0</v>
      </c>
      <c r="B3" s="6" t="s">
        <v>13</v>
      </c>
      <c r="C3" s="11" t="s">
        <v>14</v>
      </c>
      <c r="D3" s="11" t="s">
        <v>17</v>
      </c>
      <c r="E3" s="11" t="s">
        <v>16</v>
      </c>
      <c r="F3" s="11" t="s">
        <v>15</v>
      </c>
      <c r="G3" s="11" t="s">
        <v>20</v>
      </c>
      <c r="H3" s="11" t="s">
        <v>19</v>
      </c>
      <c r="I3" s="11" t="s">
        <v>18</v>
      </c>
      <c r="J3" s="11" t="s">
        <v>23</v>
      </c>
      <c r="K3" s="11" t="s">
        <v>2</v>
      </c>
      <c r="L3" s="11" t="s">
        <v>22</v>
      </c>
      <c r="M3" s="35" t="s">
        <v>21</v>
      </c>
      <c r="N3" s="6" t="s">
        <v>40</v>
      </c>
      <c r="O3" s="8" t="s">
        <v>21</v>
      </c>
      <c r="P3" s="27" t="s">
        <v>48</v>
      </c>
      <c r="Q3" s="28" t="s">
        <v>55</v>
      </c>
      <c r="R3" s="28" t="s">
        <v>54</v>
      </c>
      <c r="S3" s="14" t="s">
        <v>14</v>
      </c>
      <c r="T3" s="9" t="s">
        <v>20</v>
      </c>
      <c r="U3" s="6" t="s">
        <v>0</v>
      </c>
      <c r="V3" s="11" t="s">
        <v>52</v>
      </c>
      <c r="W3" s="35" t="s">
        <v>49</v>
      </c>
      <c r="X3" s="23" t="s">
        <v>58</v>
      </c>
      <c r="Y3" s="23" t="str">
        <f>CONCATENATE("Tengant Porfolio(%)"," - ", TEXT( tangentPorfolio!B1, "yyyy-mm-dd"))</f>
        <v>Tengant Porfolio(%) - 2021-01-01</v>
      </c>
      <c r="Z3" s="26" t="s">
        <v>30</v>
      </c>
      <c r="AA3" t="s">
        <v>12</v>
      </c>
    </row>
    <row r="4" spans="1:28">
      <c r="A4" s="25" t="s">
        <v>13</v>
      </c>
      <c r="B4" s="6">
        <f>VLOOKUP($A4,lognormal!$G$3:$I$14,3,FALSE) * VLOOKUP(B$3,lognormal!$G$3:$I$14,3,FALSE) *INDEX(correlation!$C$3:$N$14,MATCH($A4,correlation!$B$3:$B$14,0),MATCH(B$3,correlation!$C$2:$N$2,0))*VLOOKUP($A4,$U$4:$X$15,4,FALSE)*VLOOKUP(B$3,$U$4:$X$15,4,FALSE)</f>
        <v>0</v>
      </c>
      <c r="C4" s="6">
        <f>VLOOKUP($A4,lognormal!$G$3:$I$14,3,FALSE) * VLOOKUP(C$3,lognormal!$G$3:$I$14,3,FALSE) *INDEX(correlation!$C$3:$N$14,MATCH($A4,correlation!$B$3:$B$14,0),MATCH(C$3,correlation!$C$2:$N$2,0))*VLOOKUP($A4,$U$4:$X$15,4,FALSE)*VLOOKUP(C$3,$U$4:$X$15,4,FALSE)</f>
        <v>0</v>
      </c>
      <c r="D4" s="6">
        <f>VLOOKUP($A4,lognormal!$G$3:$I$14,3,FALSE) * VLOOKUP(D$3,lognormal!$G$3:$I$14,3,FALSE) *INDEX(correlation!$C$3:$N$14,MATCH($A4,correlation!$B$3:$B$14,0),MATCH(D$3,correlation!$C$2:$N$2,0))*VLOOKUP($A4,$U$4:$X$15,4,FALSE)*VLOOKUP(D$3,$U$4:$X$15,4,FALSE)</f>
        <v>0</v>
      </c>
      <c r="E4" s="6">
        <f>VLOOKUP($A4,lognormal!$G$3:$I$14,3,FALSE) * VLOOKUP(E$3,lognormal!$G$3:$I$14,3,FALSE) *INDEX(correlation!$C$3:$N$14,MATCH($A4,correlation!$B$3:$B$14,0),MATCH(E$3,correlation!$C$2:$N$2,0))*VLOOKUP($A4,$U$4:$X$15,4,FALSE)*VLOOKUP(E$3,$U$4:$X$15,4,FALSE)</f>
        <v>0</v>
      </c>
      <c r="F4" s="6">
        <f>VLOOKUP($A4,lognormal!$G$3:$I$14,3,FALSE) * VLOOKUP(F$3,lognormal!$G$3:$I$14,3,FALSE) *INDEX(correlation!$C$3:$N$14,MATCH($A4,correlation!$B$3:$B$14,0),MATCH(F$3,correlation!$C$2:$N$2,0))*VLOOKUP($A4,$U$4:$X$15,4,FALSE)*VLOOKUP(F$3,$U$4:$X$15,4,FALSE)</f>
        <v>0</v>
      </c>
      <c r="G4" s="6">
        <f>VLOOKUP($A4,lognormal!$G$3:$I$14,3,FALSE) * VLOOKUP(G$3,lognormal!$G$3:$I$14,3,FALSE) *INDEX(correlation!$C$3:$N$14,MATCH($A4,correlation!$B$3:$B$14,0),MATCH(G$3,correlation!$C$2:$N$2,0))*VLOOKUP($A4,$U$4:$X$15,4,FALSE)*VLOOKUP(G$3,$U$4:$X$15,4,FALSE)</f>
        <v>0</v>
      </c>
      <c r="H4" s="6">
        <f>VLOOKUP($A4,lognormal!$G$3:$I$14,3,FALSE) * VLOOKUP(H$3,lognormal!$G$3:$I$14,3,FALSE) *INDEX(correlation!$C$3:$N$14,MATCH($A4,correlation!$B$3:$B$14,0),MATCH(H$3,correlation!$C$2:$N$2,0))*VLOOKUP($A4,$U$4:$X$15,4,FALSE)*VLOOKUP(H$3,$U$4:$X$15,4,FALSE)</f>
        <v>0</v>
      </c>
      <c r="I4" s="6">
        <f>VLOOKUP($A4,lognormal!$G$3:$I$14,3,FALSE) * VLOOKUP(I$3,lognormal!$G$3:$I$14,3,FALSE) *INDEX(correlation!$C$3:$N$14,MATCH($A4,correlation!$B$3:$B$14,0),MATCH(I$3,correlation!$C$2:$N$2,0))*VLOOKUP($A4,$U$4:$X$15,4,FALSE)*VLOOKUP(I$3,$U$4:$X$15,4,FALSE)</f>
        <v>0</v>
      </c>
      <c r="J4" s="6">
        <f>VLOOKUP($A4,lognormal!$G$3:$I$14,3,FALSE) * VLOOKUP(J$3,lognormal!$G$3:$I$14,3,FALSE) *INDEX(correlation!$C$3:$N$14,MATCH($A4,correlation!$B$3:$B$14,0),MATCH(J$3,correlation!$C$2:$N$2,0))*VLOOKUP($A4,$U$4:$X$15,4,FALSE)*VLOOKUP(J$3,$U$4:$X$15,4,FALSE)</f>
        <v>0</v>
      </c>
      <c r="K4" s="6">
        <f>VLOOKUP($A4,lognormal!$G$3:$I$14,3,FALSE) * VLOOKUP(K$3,lognormal!$G$3:$I$14,3,FALSE) *INDEX(correlation!$C$3:$N$14,MATCH($A4,correlation!$B$3:$B$14,0),MATCH(K$3,correlation!$C$2:$N$2,0))*VLOOKUP($A4,$U$4:$X$15,4,FALSE)*VLOOKUP(K$3,$U$4:$X$15,4,FALSE)</f>
        <v>0</v>
      </c>
      <c r="L4" s="6">
        <f>VLOOKUP($A4,lognormal!$G$3:$I$14,3,FALSE) * VLOOKUP(L$3,lognormal!$G$3:$I$14,3,FALSE) *INDEX(correlation!$C$3:$N$14,MATCH($A4,correlation!$B$3:$B$14,0),MATCH(L$3,correlation!$C$2:$N$2,0))*VLOOKUP($A4,$U$4:$X$15,4,FALSE)*VLOOKUP(L$3,$U$4:$X$15,4,FALSE)</f>
        <v>0</v>
      </c>
      <c r="M4" s="33">
        <f>VLOOKUP($A4,lognormal!$G$3:$I$14,3,FALSE) * VLOOKUP(M$3,lognormal!$G$3:$I$14,3,FALSE) *INDEX(correlation!$C$3:$N$14,MATCH($A4,correlation!$B$3:$B$14,0),MATCH(M$3,correlation!$C$2:$N$2,0))*VLOOKUP($A4,$U$4:$X$15,4,FALSE)*VLOOKUP(M$3,$U$4:$X$15,4,FALSE)</f>
        <v>0</v>
      </c>
      <c r="N4" s="8">
        <f>SUM(C4:M4)</f>
        <v>0</v>
      </c>
      <c r="O4" s="8">
        <f>INDEX(beta!$B$3:$D$14,MATCH($A4,beta!$A$3:$A$14,0),MATCH(O$3,beta!$B$2:$D$2,0))</f>
        <v>8.8363619154022896E-2</v>
      </c>
      <c r="P4" s="27">
        <f>O4*VLOOKUP(A4,$U$4:$X$15,4,FALSE)</f>
        <v>0</v>
      </c>
      <c r="Q4" s="28">
        <f>O4*(VLOOKUP($O$3,lognormal!$A$3:$C$14,3,FALSE)-$V$23)+$V$23</f>
        <v>3.147423819002975E-2</v>
      </c>
      <c r="R4" s="22">
        <f>EXP(VLOOKUP(A4,lognormal!$A$3:$C$14,3,FALSE)-Q4)-1</f>
        <v>-0.17113814300401553</v>
      </c>
      <c r="S4" s="14">
        <f>INDEX(beta!$B$3:$D$14,MATCH($A4,beta!$A$3:$A$14,0),MATCH(S$3,beta!$B$2:$D$2,0))</f>
        <v>-0.151491364153789</v>
      </c>
      <c r="T4" s="9">
        <f>INDEX(beta!$B$3:$D$14,MATCH($A4,beta!$A$3:$A$14,0),MATCH(T$3,beta!$B$2:$D$2,0))</f>
        <v>0.13358183339340399</v>
      </c>
      <c r="U4" s="8" t="s">
        <v>13</v>
      </c>
      <c r="V4" s="36"/>
      <c r="W4" s="7">
        <f>AA4/$AA$20</f>
        <v>0</v>
      </c>
      <c r="X4" s="45">
        <f>Y4</f>
        <v>0</v>
      </c>
      <c r="Y4" s="44">
        <f>VLOOKUP(U4,tangentPorfolio!$A$2:$B$13,2,FALSE)</f>
        <v>0</v>
      </c>
      <c r="Z4" s="16">
        <f>IF(ISNUMBER(SEARCH("HK",U4)),1,$V$21)</f>
        <v>1</v>
      </c>
      <c r="AA4" s="17">
        <f>V4*Z4</f>
        <v>0</v>
      </c>
    </row>
    <row r="5" spans="1:28">
      <c r="A5" s="25" t="s">
        <v>14</v>
      </c>
      <c r="B5" s="8">
        <f>VLOOKUP($A5,lognormal!$G$3:$I$14,3,FALSE) * VLOOKUP(B$3,lognormal!$G$3:$I$14,3,FALSE) *INDEX(correlation!$C$3:$N$14,MATCH($A5,correlation!$B$3:$B$14,0),MATCH(B$3,correlation!$C$2:$N$2,0))*VLOOKUP($A5,$U$4:$X$15,4,FALSE)*VLOOKUP(B$3,$U$4:$X$15,4,FALSE)</f>
        <v>0</v>
      </c>
      <c r="C5" s="8">
        <f>VLOOKUP($A5,lognormal!$G$3:$I$14,3,FALSE) * VLOOKUP(C$3,lognormal!$G$3:$I$14,3,FALSE) *INDEX(correlation!$C$3:$N$14,MATCH($A5,correlation!$B$3:$B$14,0),MATCH(C$3,correlation!$C$2:$N$2,0))*VLOOKUP($A5,$U$4:$X$15,4,FALSE)*VLOOKUP(C$3,$U$4:$X$15,4,FALSE)</f>
        <v>0</v>
      </c>
      <c r="D5" s="8">
        <f>VLOOKUP($A5,lognormal!$G$3:$I$14,3,FALSE) * VLOOKUP(D$3,lognormal!$G$3:$I$14,3,FALSE) *INDEX(correlation!$C$3:$N$14,MATCH($A5,correlation!$B$3:$B$14,0),MATCH(D$3,correlation!$C$2:$N$2,0))*VLOOKUP($A5,$U$4:$X$15,4,FALSE)*VLOOKUP(D$3,$U$4:$X$15,4,FALSE)</f>
        <v>0</v>
      </c>
      <c r="E5" s="8">
        <f>VLOOKUP($A5,lognormal!$G$3:$I$14,3,FALSE) * VLOOKUP(E$3,lognormal!$G$3:$I$14,3,FALSE) *INDEX(correlation!$C$3:$N$14,MATCH($A5,correlation!$B$3:$B$14,0),MATCH(E$3,correlation!$C$2:$N$2,0))*VLOOKUP($A5,$U$4:$X$15,4,FALSE)*VLOOKUP(E$3,$U$4:$X$15,4,FALSE)</f>
        <v>0</v>
      </c>
      <c r="F5" s="8">
        <f>VLOOKUP($A5,lognormal!$G$3:$I$14,3,FALSE) * VLOOKUP(F$3,lognormal!$G$3:$I$14,3,FALSE) *INDEX(correlation!$C$3:$N$14,MATCH($A5,correlation!$B$3:$B$14,0),MATCH(F$3,correlation!$C$2:$N$2,0))*VLOOKUP($A5,$U$4:$X$15,4,FALSE)*VLOOKUP(F$3,$U$4:$X$15,4,FALSE)</f>
        <v>0</v>
      </c>
      <c r="G5" s="8">
        <f>VLOOKUP($A5,lognormal!$G$3:$I$14,3,FALSE) * VLOOKUP(G$3,lognormal!$G$3:$I$14,3,FALSE) *INDEX(correlation!$C$3:$N$14,MATCH($A5,correlation!$B$3:$B$14,0),MATCH(G$3,correlation!$C$2:$N$2,0))*VLOOKUP($A5,$U$4:$X$15,4,FALSE)*VLOOKUP(G$3,$U$4:$X$15,4,FALSE)</f>
        <v>0</v>
      </c>
      <c r="H5" s="8">
        <f>VLOOKUP($A5,lognormal!$G$3:$I$14,3,FALSE) * VLOOKUP(H$3,lognormal!$G$3:$I$14,3,FALSE) *INDEX(correlation!$C$3:$N$14,MATCH($A5,correlation!$B$3:$B$14,0),MATCH(H$3,correlation!$C$2:$N$2,0))*VLOOKUP($A5,$U$4:$X$15,4,FALSE)*VLOOKUP(H$3,$U$4:$X$15,4,FALSE)</f>
        <v>0</v>
      </c>
      <c r="I5" s="8">
        <f>VLOOKUP($A5,lognormal!$G$3:$I$14,3,FALSE) * VLOOKUP(I$3,lognormal!$G$3:$I$14,3,FALSE) *INDEX(correlation!$C$3:$N$14,MATCH($A5,correlation!$B$3:$B$14,0),MATCH(I$3,correlation!$C$2:$N$2,0))*VLOOKUP($A5,$U$4:$X$15,4,FALSE)*VLOOKUP(I$3,$U$4:$X$15,4,FALSE)</f>
        <v>0</v>
      </c>
      <c r="J5" s="8">
        <f>VLOOKUP($A5,lognormal!$G$3:$I$14,3,FALSE) * VLOOKUP(J$3,lognormal!$G$3:$I$14,3,FALSE) *INDEX(correlation!$C$3:$N$14,MATCH($A5,correlation!$B$3:$B$14,0),MATCH(J$3,correlation!$C$2:$N$2,0))*VLOOKUP($A5,$U$4:$X$15,4,FALSE)*VLOOKUP(J$3,$U$4:$X$15,4,FALSE)</f>
        <v>0</v>
      </c>
      <c r="K5" s="8">
        <f>VLOOKUP($A5,lognormal!$G$3:$I$14,3,FALSE) * VLOOKUP(K$3,lognormal!$G$3:$I$14,3,FALSE) *INDEX(correlation!$C$3:$N$14,MATCH($A5,correlation!$B$3:$B$14,0),MATCH(K$3,correlation!$C$2:$N$2,0))*VLOOKUP($A5,$U$4:$X$15,4,FALSE)*VLOOKUP(K$3,$U$4:$X$15,4,FALSE)</f>
        <v>0</v>
      </c>
      <c r="L5" s="8">
        <f>VLOOKUP($A5,lognormal!$G$3:$I$14,3,FALSE) * VLOOKUP(L$3,lognormal!$G$3:$I$14,3,FALSE) *INDEX(correlation!$C$3:$N$14,MATCH($A5,correlation!$B$3:$B$14,0),MATCH(L$3,correlation!$C$2:$N$2,0))*VLOOKUP($A5,$U$4:$X$15,4,FALSE)*VLOOKUP(L$3,$U$4:$X$15,4,FALSE)</f>
        <v>0</v>
      </c>
      <c r="M5" s="15">
        <f>VLOOKUP($A5,lognormal!$G$3:$I$14,3,FALSE) * VLOOKUP(M$3,lognormal!$G$3:$I$14,3,FALSE) *INDEX(correlation!$C$3:$N$14,MATCH($A5,correlation!$B$3:$B$14,0),MATCH(M$3,correlation!$C$2:$N$2,0))*VLOOKUP($A5,$U$4:$X$15,4,FALSE)*VLOOKUP(M$3,$U$4:$X$15,4,FALSE)</f>
        <v>0</v>
      </c>
      <c r="N5" s="8">
        <f t="shared" ref="N5:N15" si="0">SUM(C5:M5)</f>
        <v>0</v>
      </c>
      <c r="O5" s="8">
        <f>INDEX(beta!$B$3:$D$14,MATCH($A5,beta!$A$3:$A$14,0),MATCH(O$3,beta!$B$2:$D$2,0))</f>
        <v>0.15743642273504599</v>
      </c>
      <c r="P5" s="27">
        <f t="shared" ref="P5:P15" si="1">O5*VLOOKUP(A5,$U$4:$X$15,4,FALSE)</f>
        <v>0</v>
      </c>
      <c r="Q5" s="28">
        <f>O5*(VLOOKUP($O$3,lognormal!$A$3:$C$14,3,FALSE)-$V$23)+$V$23</f>
        <v>5.319037156938751E-2</v>
      </c>
      <c r="R5" s="22">
        <f>EXP(VLOOKUP(A5,lognormal!$A$3:$C$14,3,FALSE)-Q5)-1</f>
        <v>-7.4015295478354726E-2</v>
      </c>
      <c r="S5" s="14">
        <f>INDEX(beta!$B$3:$D$14,MATCH($A5,beta!$A$3:$A$14,0),MATCH(S$3,beta!$B$2:$D$2,0))</f>
        <v>1</v>
      </c>
      <c r="T5" s="9">
        <f>INDEX(beta!$B$3:$D$14,MATCH($A5,beta!$A$3:$A$14,0),MATCH(T$3,beta!$B$2:$D$2,0))</f>
        <v>0.48734204708203599</v>
      </c>
      <c r="U5" s="8" t="s">
        <v>14</v>
      </c>
      <c r="V5" s="37"/>
      <c r="W5" s="7">
        <f t="shared" ref="W5:W15" si="2">AA5/$AA$20</f>
        <v>0</v>
      </c>
      <c r="X5" s="45">
        <f t="shared" ref="X5:X15" si="3">Y5</f>
        <v>0</v>
      </c>
      <c r="Y5" s="44">
        <f>VLOOKUP(U5,tangentPorfolio!$A$2:$B$13,2,FALSE)</f>
        <v>0</v>
      </c>
      <c r="Z5" s="16">
        <f>IF(ISNUMBER(SEARCH("HK",U5)),1,IF(ISNUMBER(SEARCH("SZ",U5)), V22, V21))</f>
        <v>1.20726716</v>
      </c>
      <c r="AA5" s="17">
        <f t="shared" ref="AA5:AA15" si="4">V5*Z5</f>
        <v>0</v>
      </c>
    </row>
    <row r="6" spans="1:28">
      <c r="A6" s="25" t="s">
        <v>17</v>
      </c>
      <c r="B6" s="8">
        <f>VLOOKUP($A6,lognormal!$G$3:$I$14,3,FALSE) * VLOOKUP(B$3,lognormal!$G$3:$I$14,3,FALSE) *INDEX(correlation!$C$3:$N$14,MATCH($A6,correlation!$B$3:$B$14,0),MATCH(B$3,correlation!$C$2:$N$2,0))*VLOOKUP($A6,$U$4:$X$15,4,FALSE)*VLOOKUP(B$3,$U$4:$X$15,4,FALSE)</f>
        <v>0</v>
      </c>
      <c r="C6" s="8">
        <f>VLOOKUP($A6,lognormal!$G$3:$I$14,3,FALSE) * VLOOKUP(C$3,lognormal!$G$3:$I$14,3,FALSE) *INDEX(correlation!$C$3:$N$14,MATCH($A6,correlation!$B$3:$B$14,0),MATCH(C$3,correlation!$C$2:$N$2,0))*VLOOKUP($A6,$U$4:$X$15,4,FALSE)*VLOOKUP(C$3,$U$4:$X$15,4,FALSE)</f>
        <v>0</v>
      </c>
      <c r="D6" s="8">
        <f>VLOOKUP($A6,lognormal!$G$3:$I$14,3,FALSE) * VLOOKUP(D$3,lognormal!$G$3:$I$14,3,FALSE) *INDEX(correlation!$C$3:$N$14,MATCH($A6,correlation!$B$3:$B$14,0),MATCH(D$3,correlation!$C$2:$N$2,0))*VLOOKUP($A6,$U$4:$X$15,4,FALSE)*VLOOKUP(D$3,$U$4:$X$15,4,FALSE)</f>
        <v>4.2175407672621662E-4</v>
      </c>
      <c r="E6" s="8">
        <f>VLOOKUP($A6,lognormal!$G$3:$I$14,3,FALSE) * VLOOKUP(E$3,lognormal!$G$3:$I$14,3,FALSE) *INDEX(correlation!$C$3:$N$14,MATCH($A6,correlation!$B$3:$B$14,0),MATCH(E$3,correlation!$C$2:$N$2,0))*VLOOKUP($A6,$U$4:$X$15,4,FALSE)*VLOOKUP(E$3,$U$4:$X$15,4,FALSE)</f>
        <v>0</v>
      </c>
      <c r="F6" s="8">
        <f>VLOOKUP($A6,lognormal!$G$3:$I$14,3,FALSE) * VLOOKUP(F$3,lognormal!$G$3:$I$14,3,FALSE) *INDEX(correlation!$C$3:$N$14,MATCH($A6,correlation!$B$3:$B$14,0),MATCH(F$3,correlation!$C$2:$N$2,0))*VLOOKUP($A6,$U$4:$X$15,4,FALSE)*VLOOKUP(F$3,$U$4:$X$15,4,FALSE)</f>
        <v>2.0943797858047808E-4</v>
      </c>
      <c r="G6" s="8">
        <f>VLOOKUP($A6,lognormal!$G$3:$I$14,3,FALSE) * VLOOKUP(G$3,lognormal!$G$3:$I$14,3,FALSE) *INDEX(correlation!$C$3:$N$14,MATCH($A6,correlation!$B$3:$B$14,0),MATCH(G$3,correlation!$C$2:$N$2,0))*VLOOKUP($A6,$U$4:$X$15,4,FALSE)*VLOOKUP(G$3,$U$4:$X$15,4,FALSE)</f>
        <v>2.0846750324360923E-18</v>
      </c>
      <c r="H6" s="8">
        <f>VLOOKUP($A6,lognormal!$G$3:$I$14,3,FALSE) * VLOOKUP(H$3,lognormal!$G$3:$I$14,3,FALSE) *INDEX(correlation!$C$3:$N$14,MATCH($A6,correlation!$B$3:$B$14,0),MATCH(H$3,correlation!$C$2:$N$2,0))*VLOOKUP($A6,$U$4:$X$15,4,FALSE)*VLOOKUP(H$3,$U$4:$X$15,4,FALSE)</f>
        <v>0</v>
      </c>
      <c r="I6" s="8">
        <f>VLOOKUP($A6,lognormal!$G$3:$I$14,3,FALSE) * VLOOKUP(I$3,lognormal!$G$3:$I$14,3,FALSE) *INDEX(correlation!$C$3:$N$14,MATCH($A6,correlation!$B$3:$B$14,0),MATCH(I$3,correlation!$C$2:$N$2,0))*VLOOKUP($A6,$U$4:$X$15,4,FALSE)*VLOOKUP(I$3,$U$4:$X$15,4,FALSE)</f>
        <v>1.9998028147605399E-4</v>
      </c>
      <c r="J6" s="8">
        <f>VLOOKUP($A6,lognormal!$G$3:$I$14,3,FALSE) * VLOOKUP(J$3,lognormal!$G$3:$I$14,3,FALSE) *INDEX(correlation!$C$3:$N$14,MATCH($A6,correlation!$B$3:$B$14,0),MATCH(J$3,correlation!$C$2:$N$2,0))*VLOOKUP($A6,$U$4:$X$15,4,FALSE)*VLOOKUP(J$3,$U$4:$X$15,4,FALSE)</f>
        <v>1.5481701294093038E-4</v>
      </c>
      <c r="K6" s="8">
        <f>VLOOKUP($A6,lognormal!$G$3:$I$14,3,FALSE) * VLOOKUP(K$3,lognormal!$G$3:$I$14,3,FALSE) *INDEX(correlation!$C$3:$N$14,MATCH($A6,correlation!$B$3:$B$14,0),MATCH(K$3,correlation!$C$2:$N$2,0))*VLOOKUP($A6,$U$4:$X$15,4,FALSE)*VLOOKUP(K$3,$U$4:$X$15,4,FALSE)</f>
        <v>0</v>
      </c>
      <c r="L6" s="8">
        <f>VLOOKUP($A6,lognormal!$G$3:$I$14,3,FALSE) * VLOOKUP(L$3,lognormal!$G$3:$I$14,3,FALSE) *INDEX(correlation!$C$3:$N$14,MATCH($A6,correlation!$B$3:$B$14,0),MATCH(L$3,correlation!$C$2:$N$2,0))*VLOOKUP($A6,$U$4:$X$15,4,FALSE)*VLOOKUP(L$3,$U$4:$X$15,4,FALSE)</f>
        <v>0</v>
      </c>
      <c r="M6" s="15">
        <f>VLOOKUP($A6,lognormal!$G$3:$I$14,3,FALSE) * VLOOKUP(M$3,lognormal!$G$3:$I$14,3,FALSE) *INDEX(correlation!$C$3:$N$14,MATCH($A6,correlation!$B$3:$B$14,0),MATCH(M$3,correlation!$C$2:$N$2,0))*VLOOKUP($A6,$U$4:$X$15,4,FALSE)*VLOOKUP(M$3,$U$4:$X$15,4,FALSE)</f>
        <v>8.4867925638350805E-18</v>
      </c>
      <c r="N6" s="8">
        <f t="shared" si="0"/>
        <v>9.8598934972368973E-4</v>
      </c>
      <c r="O6" s="8">
        <f>INDEX(beta!$B$3:$D$14,MATCH($A6,beta!$A$3:$A$14,0),MATCH(O$3,beta!$B$2:$D$2,0))</f>
        <v>0.27083084484242498</v>
      </c>
      <c r="P6" s="27">
        <f t="shared" si="1"/>
        <v>2.3797036109148531E-2</v>
      </c>
      <c r="Q6" s="28">
        <f>O6*(VLOOKUP($O$3,lognormal!$A$3:$C$14,3,FALSE)-$V$23)+$V$23</f>
        <v>8.884099333791777E-2</v>
      </c>
      <c r="R6" s="22">
        <f>EXP(VLOOKUP(A6,lognormal!$A$3:$C$14,3,FALSE)-Q6)-1</f>
        <v>0.20610309291756579</v>
      </c>
      <c r="S6" s="14">
        <f>INDEX(beta!$B$3:$D$14,MATCH($A6,beta!$A$3:$A$14,0),MATCH(S$3,beta!$B$2:$D$2,0))</f>
        <v>0.24531328073466099</v>
      </c>
      <c r="T6" s="9">
        <f>INDEX(beta!$B$3:$D$14,MATCH($A6,beta!$A$3:$A$14,0),MATCH(T$3,beta!$B$2:$D$2,0))</f>
        <v>0.82233353607652304</v>
      </c>
      <c r="U6" s="8" t="s">
        <v>17</v>
      </c>
      <c r="V6" s="36"/>
      <c r="W6" s="7">
        <f t="shared" si="2"/>
        <v>0</v>
      </c>
      <c r="X6" s="45">
        <f t="shared" si="3"/>
        <v>8.78667868240567E-2</v>
      </c>
      <c r="Y6" s="44">
        <f>VLOOKUP(U6,tangentPorfolio!$A$2:$B$13,2,FALSE)</f>
        <v>8.78667868240567E-2</v>
      </c>
      <c r="Z6" s="16">
        <f t="shared" ref="Z6:Z15" si="5">IF(ISNUMBER(SEARCH("HK",U6)),1,$V$21)</f>
        <v>1</v>
      </c>
      <c r="AA6" s="17">
        <f t="shared" si="4"/>
        <v>0</v>
      </c>
    </row>
    <row r="7" spans="1:28">
      <c r="A7" s="25" t="s">
        <v>16</v>
      </c>
      <c r="B7" s="8">
        <f>VLOOKUP($A7,lognormal!$G$3:$I$14,3,FALSE) * VLOOKUP(B$3,lognormal!$G$3:$I$14,3,FALSE) *INDEX(correlation!$C$3:$N$14,MATCH($A7,correlation!$B$3:$B$14,0),MATCH(B$3,correlation!$C$2:$N$2,0))*VLOOKUP($A7,$U$4:$X$15,4,FALSE)*VLOOKUP(B$3,$U$4:$X$15,4,FALSE)</f>
        <v>0</v>
      </c>
      <c r="C7" s="8">
        <f>VLOOKUP($A7,lognormal!$G$3:$I$14,3,FALSE) * VLOOKUP(C$3,lognormal!$G$3:$I$14,3,FALSE) *INDEX(correlation!$C$3:$N$14,MATCH($A7,correlation!$B$3:$B$14,0),MATCH(C$3,correlation!$C$2:$N$2,0))*VLOOKUP($A7,$U$4:$X$15,4,FALSE)*VLOOKUP(C$3,$U$4:$X$15,4,FALSE)</f>
        <v>0</v>
      </c>
      <c r="D7" s="8">
        <f>VLOOKUP($A7,lognormal!$G$3:$I$14,3,FALSE) * VLOOKUP(D$3,lognormal!$G$3:$I$14,3,FALSE) *INDEX(correlation!$C$3:$N$14,MATCH($A7,correlation!$B$3:$B$14,0),MATCH(D$3,correlation!$C$2:$N$2,0))*VLOOKUP($A7,$U$4:$X$15,4,FALSE)*VLOOKUP(D$3,$U$4:$X$15,4,FALSE)</f>
        <v>0</v>
      </c>
      <c r="E7" s="8">
        <f>VLOOKUP($A7,lognormal!$G$3:$I$14,3,FALSE) * VLOOKUP(E$3,lognormal!$G$3:$I$14,3,FALSE) *INDEX(correlation!$C$3:$N$14,MATCH($A7,correlation!$B$3:$B$14,0),MATCH(E$3,correlation!$C$2:$N$2,0))*VLOOKUP($A7,$U$4:$X$15,4,FALSE)*VLOOKUP(E$3,$U$4:$X$15,4,FALSE)</f>
        <v>0</v>
      </c>
      <c r="F7" s="8">
        <f>VLOOKUP($A7,lognormal!$G$3:$I$14,3,FALSE) * VLOOKUP(F$3,lognormal!$G$3:$I$14,3,FALSE) *INDEX(correlation!$C$3:$N$14,MATCH($A7,correlation!$B$3:$B$14,0),MATCH(F$3,correlation!$C$2:$N$2,0))*VLOOKUP($A7,$U$4:$X$15,4,FALSE)*VLOOKUP(F$3,$U$4:$X$15,4,FALSE)</f>
        <v>0</v>
      </c>
      <c r="G7" s="8">
        <f>VLOOKUP($A7,lognormal!$G$3:$I$14,3,FALSE) * VLOOKUP(G$3,lognormal!$G$3:$I$14,3,FALSE) *INDEX(correlation!$C$3:$N$14,MATCH($A7,correlation!$B$3:$B$14,0),MATCH(G$3,correlation!$C$2:$N$2,0))*VLOOKUP($A7,$U$4:$X$15,4,FALSE)*VLOOKUP(G$3,$U$4:$X$15,4,FALSE)</f>
        <v>0</v>
      </c>
      <c r="H7" s="8">
        <f>VLOOKUP($A7,lognormal!$G$3:$I$14,3,FALSE) * VLOOKUP(H$3,lognormal!$G$3:$I$14,3,FALSE) *INDEX(correlation!$C$3:$N$14,MATCH($A7,correlation!$B$3:$B$14,0),MATCH(H$3,correlation!$C$2:$N$2,0))*VLOOKUP($A7,$U$4:$X$15,4,FALSE)*VLOOKUP(H$3,$U$4:$X$15,4,FALSE)</f>
        <v>0</v>
      </c>
      <c r="I7" s="8">
        <f>VLOOKUP($A7,lognormal!$G$3:$I$14,3,FALSE) * VLOOKUP(I$3,lognormal!$G$3:$I$14,3,FALSE) *INDEX(correlation!$C$3:$N$14,MATCH($A7,correlation!$B$3:$B$14,0),MATCH(I$3,correlation!$C$2:$N$2,0))*VLOOKUP($A7,$U$4:$X$15,4,FALSE)*VLOOKUP(I$3,$U$4:$X$15,4,FALSE)</f>
        <v>0</v>
      </c>
      <c r="J7" s="8">
        <f>VLOOKUP($A7,lognormal!$G$3:$I$14,3,FALSE) * VLOOKUP(J$3,lognormal!$G$3:$I$14,3,FALSE) *INDEX(correlation!$C$3:$N$14,MATCH($A7,correlation!$B$3:$B$14,0),MATCH(J$3,correlation!$C$2:$N$2,0))*VLOOKUP($A7,$U$4:$X$15,4,FALSE)*VLOOKUP(J$3,$U$4:$X$15,4,FALSE)</f>
        <v>0</v>
      </c>
      <c r="K7" s="8">
        <f>VLOOKUP($A7,lognormal!$G$3:$I$14,3,FALSE) * VLOOKUP(K$3,lognormal!$G$3:$I$14,3,FALSE) *INDEX(correlation!$C$3:$N$14,MATCH($A7,correlation!$B$3:$B$14,0),MATCH(K$3,correlation!$C$2:$N$2,0))*VLOOKUP($A7,$U$4:$X$15,4,FALSE)*VLOOKUP(K$3,$U$4:$X$15,4,FALSE)</f>
        <v>0</v>
      </c>
      <c r="L7" s="8">
        <f>VLOOKUP($A7,lognormal!$G$3:$I$14,3,FALSE) * VLOOKUP(L$3,lognormal!$G$3:$I$14,3,FALSE) *INDEX(correlation!$C$3:$N$14,MATCH($A7,correlation!$B$3:$B$14,0),MATCH(L$3,correlation!$C$2:$N$2,0))*VLOOKUP($A7,$U$4:$X$15,4,FALSE)*VLOOKUP(L$3,$U$4:$X$15,4,FALSE)</f>
        <v>0</v>
      </c>
      <c r="M7" s="15">
        <f>VLOOKUP($A7,lognormal!$G$3:$I$14,3,FALSE) * VLOOKUP(M$3,lognormal!$G$3:$I$14,3,FALSE) *INDEX(correlation!$C$3:$N$14,MATCH($A7,correlation!$B$3:$B$14,0),MATCH(M$3,correlation!$C$2:$N$2,0))*VLOOKUP($A7,$U$4:$X$15,4,FALSE)*VLOOKUP(M$3,$U$4:$X$15,4,FALSE)</f>
        <v>0</v>
      </c>
      <c r="N7" s="8">
        <f t="shared" si="0"/>
        <v>0</v>
      </c>
      <c r="O7" s="8">
        <f>INDEX(beta!$B$3:$D$14,MATCH($A7,beta!$A$3:$A$14,0),MATCH(O$3,beta!$B$2:$D$2,0))</f>
        <v>0.107490055967637</v>
      </c>
      <c r="P7" s="27">
        <f t="shared" si="1"/>
        <v>0</v>
      </c>
      <c r="Q7" s="28">
        <f>O7*(VLOOKUP($O$3,lognormal!$A$3:$C$14,3,FALSE)-$V$23)+$V$23</f>
        <v>3.7487491328496755E-2</v>
      </c>
      <c r="R7" s="22">
        <f>EXP(VLOOKUP(A7,lognormal!$A$3:$C$14,3,FALSE)-Q7)-1</f>
        <v>-0.22857442105307679</v>
      </c>
      <c r="S7" s="14">
        <f>INDEX(beta!$B$3:$D$14,MATCH($A7,beta!$A$3:$A$14,0),MATCH(S$3,beta!$B$2:$D$2,0))</f>
        <v>7.8730227643679707E-2</v>
      </c>
      <c r="T7" s="9">
        <f>INDEX(beta!$B$3:$D$14,MATCH($A7,beta!$A$3:$A$14,0),MATCH(T$3,beta!$B$2:$D$2,0))</f>
        <v>0.15387059728765001</v>
      </c>
      <c r="U7" s="8" t="s">
        <v>16</v>
      </c>
      <c r="V7" s="36"/>
      <c r="W7" s="7">
        <f t="shared" si="2"/>
        <v>0</v>
      </c>
      <c r="X7" s="45">
        <f t="shared" si="3"/>
        <v>0</v>
      </c>
      <c r="Y7" s="44">
        <f>VLOOKUP(U7,tangentPorfolio!$A$2:$B$13,2,FALSE)</f>
        <v>0</v>
      </c>
      <c r="Z7" s="16">
        <f t="shared" si="5"/>
        <v>1</v>
      </c>
      <c r="AA7" s="17">
        <f t="shared" si="4"/>
        <v>0</v>
      </c>
    </row>
    <row r="8" spans="1:28">
      <c r="A8" s="25" t="s">
        <v>15</v>
      </c>
      <c r="B8" s="8">
        <f>VLOOKUP($A8,lognormal!$G$3:$I$14,3,FALSE) * VLOOKUP(B$3,lognormal!$G$3:$I$14,3,FALSE) *INDEX(correlation!$C$3:$N$14,MATCH($A8,correlation!$B$3:$B$14,0),MATCH(B$3,correlation!$C$2:$N$2,0))*VLOOKUP($A8,$U$4:$X$15,4,FALSE)*VLOOKUP(B$3,$U$4:$X$15,4,FALSE)</f>
        <v>0</v>
      </c>
      <c r="C8" s="8">
        <f>VLOOKUP($A8,lognormal!$G$3:$I$14,3,FALSE) * VLOOKUP(C$3,lognormal!$G$3:$I$14,3,FALSE) *INDEX(correlation!$C$3:$N$14,MATCH($A8,correlation!$B$3:$B$14,0),MATCH(C$3,correlation!$C$2:$N$2,0))*VLOOKUP($A8,$U$4:$X$15,4,FALSE)*VLOOKUP(C$3,$U$4:$X$15,4,FALSE)</f>
        <v>0</v>
      </c>
      <c r="D8" s="8">
        <f>VLOOKUP($A8,lognormal!$G$3:$I$14,3,FALSE) * VLOOKUP(D$3,lognormal!$G$3:$I$14,3,FALSE) *INDEX(correlation!$C$3:$N$14,MATCH($A8,correlation!$B$3:$B$14,0),MATCH(D$3,correlation!$C$2:$N$2,0))*VLOOKUP($A8,$U$4:$X$15,4,FALSE)*VLOOKUP(D$3,$U$4:$X$15,4,FALSE)</f>
        <v>2.0943797858047808E-4</v>
      </c>
      <c r="E8" s="8">
        <f>VLOOKUP($A8,lognormal!$G$3:$I$14,3,FALSE) * VLOOKUP(E$3,lognormal!$G$3:$I$14,3,FALSE) *INDEX(correlation!$C$3:$N$14,MATCH($A8,correlation!$B$3:$B$14,0),MATCH(E$3,correlation!$C$2:$N$2,0))*VLOOKUP($A8,$U$4:$X$15,4,FALSE)*VLOOKUP(E$3,$U$4:$X$15,4,FALSE)</f>
        <v>0</v>
      </c>
      <c r="F8" s="8">
        <f>VLOOKUP($A8,lognormal!$G$3:$I$14,3,FALSE) * VLOOKUP(F$3,lognormal!$G$3:$I$14,3,FALSE) *INDEX(correlation!$C$3:$N$14,MATCH($A8,correlation!$B$3:$B$14,0),MATCH(F$3,correlation!$C$2:$N$2,0))*VLOOKUP($A8,$U$4:$X$15,4,FALSE)*VLOOKUP(F$3,$U$4:$X$15,4,FALSE)</f>
        <v>3.4502955853205532E-3</v>
      </c>
      <c r="G8" s="8">
        <f>VLOOKUP($A8,lognormal!$G$3:$I$14,3,FALSE) * VLOOKUP(G$3,lognormal!$G$3:$I$14,3,FALSE) *INDEX(correlation!$C$3:$N$14,MATCH($A8,correlation!$B$3:$B$14,0),MATCH(G$3,correlation!$C$2:$N$2,0))*VLOOKUP($A8,$U$4:$X$15,4,FALSE)*VLOOKUP(G$3,$U$4:$X$15,4,FALSE)</f>
        <v>1.6716363877829941E-18</v>
      </c>
      <c r="H8" s="8">
        <f>VLOOKUP($A8,lognormal!$G$3:$I$14,3,FALSE) * VLOOKUP(H$3,lognormal!$G$3:$I$14,3,FALSE) *INDEX(correlation!$C$3:$N$14,MATCH($A8,correlation!$B$3:$B$14,0),MATCH(H$3,correlation!$C$2:$N$2,0))*VLOOKUP($A8,$U$4:$X$15,4,FALSE)*VLOOKUP(H$3,$U$4:$X$15,4,FALSE)</f>
        <v>0</v>
      </c>
      <c r="I8" s="8">
        <f>VLOOKUP($A8,lognormal!$G$3:$I$14,3,FALSE) * VLOOKUP(I$3,lognormal!$G$3:$I$14,3,FALSE) *INDEX(correlation!$C$3:$N$14,MATCH($A8,correlation!$B$3:$B$14,0),MATCH(I$3,correlation!$C$2:$N$2,0))*VLOOKUP($A8,$U$4:$X$15,4,FALSE)*VLOOKUP(I$3,$U$4:$X$15,4,FALSE)</f>
        <v>1.5990926694699004E-3</v>
      </c>
      <c r="J8" s="8">
        <f>VLOOKUP($A8,lognormal!$G$3:$I$14,3,FALSE) * VLOOKUP(J$3,lognormal!$G$3:$I$14,3,FALSE) *INDEX(correlation!$C$3:$N$14,MATCH($A8,correlation!$B$3:$B$14,0),MATCH(J$3,correlation!$C$2:$N$2,0))*VLOOKUP($A8,$U$4:$X$15,4,FALSE)*VLOOKUP(J$3,$U$4:$X$15,4,FALSE)</f>
        <v>6.8831167165497636E-4</v>
      </c>
      <c r="K8" s="8">
        <f>VLOOKUP($A8,lognormal!$G$3:$I$14,3,FALSE) * VLOOKUP(K$3,lognormal!$G$3:$I$14,3,FALSE) *INDEX(correlation!$C$3:$N$14,MATCH($A8,correlation!$B$3:$B$14,0),MATCH(K$3,correlation!$C$2:$N$2,0))*VLOOKUP($A8,$U$4:$X$15,4,FALSE)*VLOOKUP(K$3,$U$4:$X$15,4,FALSE)</f>
        <v>0</v>
      </c>
      <c r="L8" s="8">
        <f>VLOOKUP($A8,lognormal!$G$3:$I$14,3,FALSE) * VLOOKUP(L$3,lognormal!$G$3:$I$14,3,FALSE) *INDEX(correlation!$C$3:$N$14,MATCH($A8,correlation!$B$3:$B$14,0),MATCH(L$3,correlation!$C$2:$N$2,0))*VLOOKUP($A8,$U$4:$X$15,4,FALSE)*VLOOKUP(L$3,$U$4:$X$15,4,FALSE)</f>
        <v>0</v>
      </c>
      <c r="M8" s="15">
        <f>VLOOKUP($A8,lognormal!$G$3:$I$14,3,FALSE) * VLOOKUP(M$3,lognormal!$G$3:$I$14,3,FALSE) *INDEX(correlation!$C$3:$N$14,MATCH($A8,correlation!$B$3:$B$14,0),MATCH(M$3,correlation!$C$2:$N$2,0))*VLOOKUP($A8,$U$4:$X$15,4,FALSE)*VLOOKUP(M$3,$U$4:$X$15,4,FALSE)</f>
        <v>5.9587941952960398E-17</v>
      </c>
      <c r="N8" s="8">
        <f t="shared" si="0"/>
        <v>5.947137905025969E-3</v>
      </c>
      <c r="O8" s="8">
        <f>INDEX(beta!$B$3:$D$14,MATCH($A8,beta!$A$3:$A$14,0),MATCH(O$3,beta!$B$2:$D$2,0))</f>
        <v>0.45307655490166998</v>
      </c>
      <c r="P8" s="27">
        <f t="shared" si="1"/>
        <v>0.16151414691200811</v>
      </c>
      <c r="Q8" s="28">
        <f>O8*(VLOOKUP($O$3,lognormal!$A$3:$C$14,3,FALSE)-$V$23)+$V$23</f>
        <v>0.14613810511389971</v>
      </c>
      <c r="R8" s="22">
        <f>EXP(VLOOKUP(A8,lognormal!$A$3:$C$14,3,FALSE)-Q8)-1</f>
        <v>0.52439428277399824</v>
      </c>
      <c r="S8" s="14">
        <f>INDEX(beta!$B$3:$D$14,MATCH($A8,beta!$A$3:$A$14,0),MATCH(S$3,beta!$B$2:$D$2,0))</f>
        <v>8.1742052260978207E-2</v>
      </c>
      <c r="T8" s="9">
        <f>INDEX(beta!$B$3:$D$14,MATCH($A8,beta!$A$3:$A$14,0),MATCH(T$3,beta!$B$2:$D$2,0))</f>
        <v>0.15913902386590301</v>
      </c>
      <c r="U8" s="8" t="s">
        <v>15</v>
      </c>
      <c r="V8" s="38"/>
      <c r="W8" s="7">
        <f t="shared" si="2"/>
        <v>0</v>
      </c>
      <c r="X8" s="45">
        <f t="shared" si="3"/>
        <v>0.35648312666953402</v>
      </c>
      <c r="Y8" s="44">
        <f>VLOOKUP(U8,tangentPorfolio!$A$2:$B$13,2,FALSE)</f>
        <v>0.35648312666953402</v>
      </c>
      <c r="Z8" s="16">
        <f t="shared" si="5"/>
        <v>7.75</v>
      </c>
      <c r="AA8" s="17">
        <f t="shared" si="4"/>
        <v>0</v>
      </c>
    </row>
    <row r="9" spans="1:28">
      <c r="A9" s="25" t="s">
        <v>20</v>
      </c>
      <c r="B9" s="8">
        <f>VLOOKUP($A9,lognormal!$G$3:$I$14,3,FALSE) * VLOOKUP(B$3,lognormal!$G$3:$I$14,3,FALSE) *INDEX(correlation!$C$3:$N$14,MATCH($A9,correlation!$B$3:$B$14,0),MATCH(B$3,correlation!$C$2:$N$2,0))*VLOOKUP($A9,$U$4:$X$15,4,FALSE)*VLOOKUP(B$3,$U$4:$X$15,4,FALSE)</f>
        <v>0</v>
      </c>
      <c r="C9" s="8">
        <f>VLOOKUP($A9,lognormal!$G$3:$I$14,3,FALSE) * VLOOKUP(C$3,lognormal!$G$3:$I$14,3,FALSE) *INDEX(correlation!$C$3:$N$14,MATCH($A9,correlation!$B$3:$B$14,0),MATCH(C$3,correlation!$C$2:$N$2,0))*VLOOKUP($A9,$U$4:$X$15,4,FALSE)*VLOOKUP(C$3,$U$4:$X$15,4,FALSE)</f>
        <v>0</v>
      </c>
      <c r="D9" s="8">
        <f>VLOOKUP($A9,lognormal!$G$3:$I$14,3,FALSE) * VLOOKUP(D$3,lognormal!$G$3:$I$14,3,FALSE) *INDEX(correlation!$C$3:$N$14,MATCH($A9,correlation!$B$3:$B$14,0),MATCH(D$3,correlation!$C$2:$N$2,0))*VLOOKUP($A9,$U$4:$X$15,4,FALSE)*VLOOKUP(D$3,$U$4:$X$15,4,FALSE)</f>
        <v>2.0846750324360923E-18</v>
      </c>
      <c r="E9" s="8">
        <f>VLOOKUP($A9,lognormal!$G$3:$I$14,3,FALSE) * VLOOKUP(E$3,lognormal!$G$3:$I$14,3,FALSE) *INDEX(correlation!$C$3:$N$14,MATCH($A9,correlation!$B$3:$B$14,0),MATCH(E$3,correlation!$C$2:$N$2,0))*VLOOKUP($A9,$U$4:$X$15,4,FALSE)*VLOOKUP(E$3,$U$4:$X$15,4,FALSE)</f>
        <v>0</v>
      </c>
      <c r="F9" s="8">
        <f>VLOOKUP($A9,lognormal!$G$3:$I$14,3,FALSE) * VLOOKUP(F$3,lognormal!$G$3:$I$14,3,FALSE) *INDEX(correlation!$C$3:$N$14,MATCH($A9,correlation!$B$3:$B$14,0),MATCH(F$3,correlation!$C$2:$N$2,0))*VLOOKUP($A9,$U$4:$X$15,4,FALSE)*VLOOKUP(F$3,$U$4:$X$15,4,FALSE)</f>
        <v>1.6716363877829941E-18</v>
      </c>
      <c r="G9" s="8">
        <f>VLOOKUP($A9,lognormal!$G$3:$I$14,3,FALSE) * VLOOKUP(G$3,lognormal!$G$3:$I$14,3,FALSE) *INDEX(correlation!$C$3:$N$14,MATCH($A9,correlation!$B$3:$B$14,0),MATCH(G$3,correlation!$C$2:$N$2,0))*VLOOKUP($A9,$U$4:$X$15,4,FALSE)*VLOOKUP(G$3,$U$4:$X$15,4,FALSE)</f>
        <v>2.262527305711393E-32</v>
      </c>
      <c r="H9" s="8">
        <f>VLOOKUP($A9,lognormal!$G$3:$I$14,3,FALSE) * VLOOKUP(H$3,lognormal!$G$3:$I$14,3,FALSE) *INDEX(correlation!$C$3:$N$14,MATCH($A9,correlation!$B$3:$B$14,0),MATCH(H$3,correlation!$C$2:$N$2,0))*VLOOKUP($A9,$U$4:$X$15,4,FALSE)*VLOOKUP(H$3,$U$4:$X$15,4,FALSE)</f>
        <v>0</v>
      </c>
      <c r="I9" s="8">
        <f>VLOOKUP($A9,lognormal!$G$3:$I$14,3,FALSE) * VLOOKUP(I$3,lognormal!$G$3:$I$14,3,FALSE) *INDEX(correlation!$C$3:$N$14,MATCH($A9,correlation!$B$3:$B$14,0),MATCH(I$3,correlation!$C$2:$N$2,0))*VLOOKUP($A9,$U$4:$X$15,4,FALSE)*VLOOKUP(I$3,$U$4:$X$15,4,FALSE)</f>
        <v>1.1724712056104547E-18</v>
      </c>
      <c r="J9" s="8">
        <f>VLOOKUP($A9,lognormal!$G$3:$I$14,3,FALSE) * VLOOKUP(J$3,lognormal!$G$3:$I$14,3,FALSE) *INDEX(correlation!$C$3:$N$14,MATCH($A9,correlation!$B$3:$B$14,0),MATCH(J$3,correlation!$C$2:$N$2,0))*VLOOKUP($A9,$U$4:$X$15,4,FALSE)*VLOOKUP(J$3,$U$4:$X$15,4,FALSE)</f>
        <v>6.9950172071571175E-19</v>
      </c>
      <c r="K9" s="8">
        <f>VLOOKUP($A9,lognormal!$G$3:$I$14,3,FALSE) * VLOOKUP(K$3,lognormal!$G$3:$I$14,3,FALSE) *INDEX(correlation!$C$3:$N$14,MATCH($A9,correlation!$B$3:$B$14,0),MATCH(K$3,correlation!$C$2:$N$2,0))*VLOOKUP($A9,$U$4:$X$15,4,FALSE)*VLOOKUP(K$3,$U$4:$X$15,4,FALSE)</f>
        <v>0</v>
      </c>
      <c r="L9" s="8">
        <f>VLOOKUP($A9,lognormal!$G$3:$I$14,3,FALSE) * VLOOKUP(L$3,lognormal!$G$3:$I$14,3,FALSE) *INDEX(correlation!$C$3:$N$14,MATCH($A9,correlation!$B$3:$B$14,0),MATCH(L$3,correlation!$C$2:$N$2,0))*VLOOKUP($A9,$U$4:$X$15,4,FALSE)*VLOOKUP(L$3,$U$4:$X$15,4,FALSE)</f>
        <v>0</v>
      </c>
      <c r="M9" s="15">
        <f>VLOOKUP($A9,lognormal!$G$3:$I$14,3,FALSE) * VLOOKUP(M$3,lognormal!$G$3:$I$14,3,FALSE) *INDEX(correlation!$C$3:$N$14,MATCH($A9,correlation!$B$3:$B$14,0),MATCH(M$3,correlation!$C$2:$N$2,0))*VLOOKUP($A9,$U$4:$X$15,4,FALSE)*VLOOKUP(M$3,$U$4:$X$15,4,FALSE)</f>
        <v>5.8343732124635359E-32</v>
      </c>
      <c r="N9" s="8">
        <f t="shared" si="0"/>
        <v>5.6282843465453335E-18</v>
      </c>
      <c r="O9" s="8">
        <f>INDEX(beta!$B$3:$D$14,MATCH($A9,beta!$A$3:$A$14,0),MATCH(O$3,beta!$B$2:$D$2,0))</f>
        <v>0.211951644728336</v>
      </c>
      <c r="P9" s="27">
        <f t="shared" si="1"/>
        <v>1.6701319287533069E-16</v>
      </c>
      <c r="Q9" s="28">
        <f>O9*(VLOOKUP($O$3,lognormal!$A$3:$C$14,3,FALSE)-$V$23)+$V$23</f>
        <v>7.0329676341097033E-2</v>
      </c>
      <c r="R9" s="22">
        <f>EXP(VLOOKUP(A9,lognormal!$A$3:$C$14,3,FALSE)-Q9)-1</f>
        <v>1.7953027413102562E-2</v>
      </c>
      <c r="S9" s="14">
        <f>INDEX(beta!$B$3:$D$14,MATCH($A9,beta!$A$3:$A$14,0),MATCH(S$3,beta!$B$2:$D$2,0))</f>
        <v>0.36988209384246601</v>
      </c>
      <c r="T9" s="9">
        <f>INDEX(beta!$B$3:$D$14,MATCH($A9,beta!$A$3:$A$14,0),MATCH(T$3,beta!$B$2:$D$2,0))</f>
        <v>1</v>
      </c>
      <c r="U9" s="8" t="s">
        <v>20</v>
      </c>
      <c r="V9" s="36"/>
      <c r="W9" s="7">
        <f t="shared" si="2"/>
        <v>0</v>
      </c>
      <c r="X9" s="45">
        <f t="shared" si="3"/>
        <v>7.8797781017173003E-16</v>
      </c>
      <c r="Y9" s="44">
        <f>VLOOKUP(U9,tangentPorfolio!$A$2:$B$13,2,FALSE)</f>
        <v>7.8797781017173003E-16</v>
      </c>
      <c r="Z9" s="16">
        <f t="shared" si="5"/>
        <v>1</v>
      </c>
      <c r="AA9" s="17">
        <f t="shared" si="4"/>
        <v>0</v>
      </c>
    </row>
    <row r="10" spans="1:28" s="25" customFormat="1">
      <c r="A10" s="25" t="s">
        <v>19</v>
      </c>
      <c r="B10" s="8">
        <f>VLOOKUP($A10,lognormal!$G$3:$I$14,3,FALSE) * VLOOKUP(B$3,lognormal!$G$3:$I$14,3,FALSE) *INDEX(correlation!$C$3:$N$14,MATCH($A10,correlation!$B$3:$B$14,0),MATCH(B$3,correlation!$C$2:$N$2,0))*VLOOKUP($A10,$U$4:$X$15,4,FALSE)*VLOOKUP(B$3,$U$4:$X$15,4,FALSE)</f>
        <v>0</v>
      </c>
      <c r="C10" s="8">
        <f>VLOOKUP($A10,lognormal!$G$3:$I$14,3,FALSE) * VLOOKUP(C$3,lognormal!$G$3:$I$14,3,FALSE) *INDEX(correlation!$C$3:$N$14,MATCH($A10,correlation!$B$3:$B$14,0),MATCH(C$3,correlation!$C$2:$N$2,0))*VLOOKUP($A10,$U$4:$X$15,4,FALSE)*VLOOKUP(C$3,$U$4:$X$15,4,FALSE)</f>
        <v>0</v>
      </c>
      <c r="D10" s="8">
        <f>VLOOKUP($A10,lognormal!$G$3:$I$14,3,FALSE) * VLOOKUP(D$3,lognormal!$G$3:$I$14,3,FALSE) *INDEX(correlation!$C$3:$N$14,MATCH($A10,correlation!$B$3:$B$14,0),MATCH(D$3,correlation!$C$2:$N$2,0))*VLOOKUP($A10,$U$4:$X$15,4,FALSE)*VLOOKUP(D$3,$U$4:$X$15,4,FALSE)</f>
        <v>0</v>
      </c>
      <c r="E10" s="8">
        <f>VLOOKUP($A10,lognormal!$G$3:$I$14,3,FALSE) * VLOOKUP(E$3,lognormal!$G$3:$I$14,3,FALSE) *INDEX(correlation!$C$3:$N$14,MATCH($A10,correlation!$B$3:$B$14,0),MATCH(E$3,correlation!$C$2:$N$2,0))*VLOOKUP($A10,$U$4:$X$15,4,FALSE)*VLOOKUP(E$3,$U$4:$X$15,4,FALSE)</f>
        <v>0</v>
      </c>
      <c r="F10" s="8">
        <f>VLOOKUP($A10,lognormal!$G$3:$I$14,3,FALSE) * VLOOKUP(F$3,lognormal!$G$3:$I$14,3,FALSE) *INDEX(correlation!$C$3:$N$14,MATCH($A10,correlation!$B$3:$B$14,0),MATCH(F$3,correlation!$C$2:$N$2,0))*VLOOKUP($A10,$U$4:$X$15,4,FALSE)*VLOOKUP(F$3,$U$4:$X$15,4,FALSE)</f>
        <v>0</v>
      </c>
      <c r="G10" s="8">
        <f>VLOOKUP($A10,lognormal!$G$3:$I$14,3,FALSE) * VLOOKUP(G$3,lognormal!$G$3:$I$14,3,FALSE) *INDEX(correlation!$C$3:$N$14,MATCH($A10,correlation!$B$3:$B$14,0),MATCH(G$3,correlation!$C$2:$N$2,0))*VLOOKUP($A10,$U$4:$X$15,4,FALSE)*VLOOKUP(G$3,$U$4:$X$15,4,FALSE)</f>
        <v>0</v>
      </c>
      <c r="H10" s="8">
        <f>VLOOKUP($A10,lognormal!$G$3:$I$14,3,FALSE) * VLOOKUP(H$3,lognormal!$G$3:$I$14,3,FALSE) *INDEX(correlation!$C$3:$N$14,MATCH($A10,correlation!$B$3:$B$14,0),MATCH(H$3,correlation!$C$2:$N$2,0))*VLOOKUP($A10,$U$4:$X$15,4,FALSE)*VLOOKUP(H$3,$U$4:$X$15,4,FALSE)</f>
        <v>0</v>
      </c>
      <c r="I10" s="8">
        <f>VLOOKUP($A10,lognormal!$G$3:$I$14,3,FALSE) * VLOOKUP(I$3,lognormal!$G$3:$I$14,3,FALSE) *INDEX(correlation!$C$3:$N$14,MATCH($A10,correlation!$B$3:$B$14,0),MATCH(I$3,correlation!$C$2:$N$2,0))*VLOOKUP($A10,$U$4:$X$15,4,FALSE)*VLOOKUP(I$3,$U$4:$X$15,4,FALSE)</f>
        <v>0</v>
      </c>
      <c r="J10" s="8">
        <f>VLOOKUP($A10,lognormal!$G$3:$I$14,3,FALSE) * VLOOKUP(J$3,lognormal!$G$3:$I$14,3,FALSE) *INDEX(correlation!$C$3:$N$14,MATCH($A10,correlation!$B$3:$B$14,0),MATCH(J$3,correlation!$C$2:$N$2,0))*VLOOKUP($A10,$U$4:$X$15,4,FALSE)*VLOOKUP(J$3,$U$4:$X$15,4,FALSE)</f>
        <v>0</v>
      </c>
      <c r="K10" s="8">
        <f>VLOOKUP($A10,lognormal!$G$3:$I$14,3,FALSE) * VLOOKUP(K$3,lognormal!$G$3:$I$14,3,FALSE) *INDEX(correlation!$C$3:$N$14,MATCH($A10,correlation!$B$3:$B$14,0),MATCH(K$3,correlation!$C$2:$N$2,0))*VLOOKUP($A10,$U$4:$X$15,4,FALSE)*VLOOKUP(K$3,$U$4:$X$15,4,FALSE)</f>
        <v>0</v>
      </c>
      <c r="L10" s="8">
        <f>VLOOKUP($A10,lognormal!$G$3:$I$14,3,FALSE) * VLOOKUP(L$3,lognormal!$G$3:$I$14,3,FALSE) *INDEX(correlation!$C$3:$N$14,MATCH($A10,correlation!$B$3:$B$14,0),MATCH(L$3,correlation!$C$2:$N$2,0))*VLOOKUP($A10,$U$4:$X$15,4,FALSE)*VLOOKUP(L$3,$U$4:$X$15,4,FALSE)</f>
        <v>0</v>
      </c>
      <c r="M10" s="15">
        <f>VLOOKUP($A10,lognormal!$G$3:$I$14,3,FALSE) * VLOOKUP(M$3,lognormal!$G$3:$I$14,3,FALSE) *INDEX(correlation!$C$3:$N$14,MATCH($A10,correlation!$B$3:$B$14,0),MATCH(M$3,correlation!$C$2:$N$2,0))*VLOOKUP($A10,$U$4:$X$15,4,FALSE)*VLOOKUP(M$3,$U$4:$X$15,4,FALSE)</f>
        <v>0</v>
      </c>
      <c r="N10" s="8">
        <f t="shared" si="0"/>
        <v>0</v>
      </c>
      <c r="O10" s="8">
        <f>INDEX(beta!$B$3:$D$14,MATCH($A10,beta!$A$3:$A$14,0),MATCH(O$3,beta!$B$2:$D$2,0))</f>
        <v>1.1676715478264199</v>
      </c>
      <c r="P10" s="27">
        <f t="shared" si="1"/>
        <v>0</v>
      </c>
      <c r="Q10" s="28">
        <f>O10*(VLOOKUP($O$3,lognormal!$A$3:$C$14,3,FALSE)-$V$23)+$V$23</f>
        <v>0.37080308719142652</v>
      </c>
      <c r="R10" s="22">
        <f>EXP(VLOOKUP(A10,lognormal!$A$3:$C$14,3,FALSE)-Q10)-1</f>
        <v>-0.51503400305555114</v>
      </c>
      <c r="S10" s="14">
        <f>INDEX(beta!$B$3:$D$14,MATCH($A10,beta!$A$3:$A$14,0),MATCH(S$3,beta!$B$2:$D$2,0))</f>
        <v>0.30654108719175799</v>
      </c>
      <c r="T10" s="9">
        <f>INDEX(beta!$B$3:$D$14,MATCH($A10,beta!$A$3:$A$14,0),MATCH(T$3,beta!$B$2:$D$2,0))</f>
        <v>0.51567664526228796</v>
      </c>
      <c r="U10" s="8" t="s">
        <v>19</v>
      </c>
      <c r="V10" s="38"/>
      <c r="W10" s="7">
        <f t="shared" si="2"/>
        <v>0</v>
      </c>
      <c r="X10" s="45">
        <f t="shared" si="3"/>
        <v>0</v>
      </c>
      <c r="Y10" s="44">
        <f>VLOOKUP(U10,tangentPorfolio!$A$2:$B$13,2,FALSE)</f>
        <v>0</v>
      </c>
      <c r="Z10" s="16">
        <f t="shared" si="5"/>
        <v>7.75</v>
      </c>
      <c r="AA10" s="17">
        <f t="shared" si="4"/>
        <v>0</v>
      </c>
    </row>
    <row r="11" spans="1:28" s="25" customFormat="1">
      <c r="A11" s="25" t="s">
        <v>18</v>
      </c>
      <c r="B11" s="8">
        <f>VLOOKUP($A11,lognormal!$G$3:$I$14,3,FALSE) * VLOOKUP(B$3,lognormal!$G$3:$I$14,3,FALSE) *INDEX(correlation!$C$3:$N$14,MATCH($A11,correlation!$B$3:$B$14,0),MATCH(B$3,correlation!$C$2:$N$2,0))*VLOOKUP($A11,$U$4:$X$15,4,FALSE)*VLOOKUP(B$3,$U$4:$X$15,4,FALSE)</f>
        <v>0</v>
      </c>
      <c r="C11" s="8">
        <f>VLOOKUP($A11,lognormal!$G$3:$I$14,3,FALSE) * VLOOKUP(C$3,lognormal!$G$3:$I$14,3,FALSE) *INDEX(correlation!$C$3:$N$14,MATCH($A11,correlation!$B$3:$B$14,0),MATCH(C$3,correlation!$C$2:$N$2,0))*VLOOKUP($A11,$U$4:$X$15,4,FALSE)*VLOOKUP(C$3,$U$4:$X$15,4,FALSE)</f>
        <v>0</v>
      </c>
      <c r="D11" s="8">
        <f>VLOOKUP($A11,lognormal!$G$3:$I$14,3,FALSE) * VLOOKUP(D$3,lognormal!$G$3:$I$14,3,FALSE) *INDEX(correlation!$C$3:$N$14,MATCH($A11,correlation!$B$3:$B$14,0),MATCH(D$3,correlation!$C$2:$N$2,0))*VLOOKUP($A11,$U$4:$X$15,4,FALSE)*VLOOKUP(D$3,$U$4:$X$15,4,FALSE)</f>
        <v>1.9998028147605399E-4</v>
      </c>
      <c r="E11" s="8">
        <f>VLOOKUP($A11,lognormal!$G$3:$I$14,3,FALSE) * VLOOKUP(E$3,lognormal!$G$3:$I$14,3,FALSE) *INDEX(correlation!$C$3:$N$14,MATCH($A11,correlation!$B$3:$B$14,0),MATCH(E$3,correlation!$C$2:$N$2,0))*VLOOKUP($A11,$U$4:$X$15,4,FALSE)*VLOOKUP(E$3,$U$4:$X$15,4,FALSE)</f>
        <v>0</v>
      </c>
      <c r="F11" s="8">
        <f>VLOOKUP($A11,lognormal!$G$3:$I$14,3,FALSE) * VLOOKUP(F$3,lognormal!$G$3:$I$14,3,FALSE) *INDEX(correlation!$C$3:$N$14,MATCH($A11,correlation!$B$3:$B$14,0),MATCH(F$3,correlation!$C$2:$N$2,0))*VLOOKUP($A11,$U$4:$X$15,4,FALSE)*VLOOKUP(F$3,$U$4:$X$15,4,FALSE)</f>
        <v>1.5990926694699004E-3</v>
      </c>
      <c r="G11" s="8">
        <f>VLOOKUP($A11,lognormal!$G$3:$I$14,3,FALSE) * VLOOKUP(G$3,lognormal!$G$3:$I$14,3,FALSE) *INDEX(correlation!$C$3:$N$14,MATCH($A11,correlation!$B$3:$B$14,0),MATCH(G$3,correlation!$C$2:$N$2,0))*VLOOKUP($A11,$U$4:$X$15,4,FALSE)*VLOOKUP(G$3,$U$4:$X$15,4,FALSE)</f>
        <v>1.1724712056104547E-18</v>
      </c>
      <c r="H11" s="8">
        <f>VLOOKUP($A11,lognormal!$G$3:$I$14,3,FALSE) * VLOOKUP(H$3,lognormal!$G$3:$I$14,3,FALSE) *INDEX(correlation!$C$3:$N$14,MATCH($A11,correlation!$B$3:$B$14,0),MATCH(H$3,correlation!$C$2:$N$2,0))*VLOOKUP($A11,$U$4:$X$15,4,FALSE)*VLOOKUP(H$3,$U$4:$X$15,4,FALSE)</f>
        <v>0</v>
      </c>
      <c r="I11" s="8">
        <f>VLOOKUP($A11,lognormal!$G$3:$I$14,3,FALSE) * VLOOKUP(I$3,lognormal!$G$3:$I$14,3,FALSE) *INDEX(correlation!$C$3:$N$14,MATCH($A11,correlation!$B$3:$B$14,0),MATCH(I$3,correlation!$C$2:$N$2,0))*VLOOKUP($A11,$U$4:$X$15,4,FALSE)*VLOOKUP(I$3,$U$4:$X$15,4,FALSE)</f>
        <v>5.78618681544266E-3</v>
      </c>
      <c r="J11" s="8">
        <f>VLOOKUP($A11,lognormal!$G$3:$I$14,3,FALSE) * VLOOKUP(J$3,lognormal!$G$3:$I$14,3,FALSE) *INDEX(correlation!$C$3:$N$14,MATCH($A11,correlation!$B$3:$B$14,0),MATCH(J$3,correlation!$C$2:$N$2,0))*VLOOKUP($A11,$U$4:$X$15,4,FALSE)*VLOOKUP(J$3,$U$4:$X$15,4,FALSE)</f>
        <v>1.6776342610925917E-3</v>
      </c>
      <c r="K11" s="8">
        <f>VLOOKUP($A11,lognormal!$G$3:$I$14,3,FALSE) * VLOOKUP(K$3,lognormal!$G$3:$I$14,3,FALSE) *INDEX(correlation!$C$3:$N$14,MATCH($A11,correlation!$B$3:$B$14,0),MATCH(K$3,correlation!$C$2:$N$2,0))*VLOOKUP($A11,$U$4:$X$15,4,FALSE)*VLOOKUP(K$3,$U$4:$X$15,4,FALSE)</f>
        <v>0</v>
      </c>
      <c r="L11" s="8">
        <f>VLOOKUP($A11,lognormal!$G$3:$I$14,3,FALSE) * VLOOKUP(L$3,lognormal!$G$3:$I$14,3,FALSE) *INDEX(correlation!$C$3:$N$14,MATCH($A11,correlation!$B$3:$B$14,0),MATCH(L$3,correlation!$C$2:$N$2,0))*VLOOKUP($A11,$U$4:$X$15,4,FALSE)*VLOOKUP(L$3,$U$4:$X$15,4,FALSE)</f>
        <v>0</v>
      </c>
      <c r="M11" s="15">
        <f>VLOOKUP($A11,lognormal!$G$3:$I$14,3,FALSE) * VLOOKUP(M$3,lognormal!$G$3:$I$14,3,FALSE) *INDEX(correlation!$C$3:$N$14,MATCH($A11,correlation!$B$3:$B$14,0),MATCH(M$3,correlation!$C$2:$N$2,0))*VLOOKUP($A11,$U$4:$X$15,4,FALSE)*VLOOKUP(M$3,$U$4:$X$15,4,FALSE)</f>
        <v>1.310149421265093E-16</v>
      </c>
      <c r="N11" s="8">
        <f t="shared" si="0"/>
        <v>9.2628940274813391E-3</v>
      </c>
      <c r="O11" s="8">
        <f>INDEX(beta!$B$3:$D$14,MATCH($A11,beta!$A$3:$A$14,0),MATCH(O$3,beta!$B$2:$D$2,0))</f>
        <v>0.95985998793451</v>
      </c>
      <c r="P11" s="27">
        <f t="shared" si="1"/>
        <v>0.36128622468030802</v>
      </c>
      <c r="Q11" s="28">
        <f>O11*(VLOOKUP($O$3,lognormal!$A$3:$C$14,3,FALSE)-$V$23)+$V$23</f>
        <v>0.30546820401860908</v>
      </c>
      <c r="R11" s="22">
        <f>EXP(VLOOKUP(A11,lognormal!$A$3:$C$14,3,FALSE)-Q11)-1</f>
        <v>0.3501612763546389</v>
      </c>
      <c r="S11" s="14">
        <f>INDEX(beta!$B$3:$D$14,MATCH($A11,beta!$A$3:$A$14,0),MATCH(S$3,beta!$B$2:$D$2,0))</f>
        <v>7.4880454613250602E-2</v>
      </c>
      <c r="T11" s="9">
        <f>INDEX(beta!$B$3:$D$14,MATCH($A11,beta!$A$3:$A$14,0),MATCH(T$3,beta!$B$2:$D$2,0))</f>
        <v>0.10848484650859901</v>
      </c>
      <c r="U11" s="8" t="s">
        <v>18</v>
      </c>
      <c r="V11" s="38"/>
      <c r="W11" s="7">
        <f t="shared" si="2"/>
        <v>0</v>
      </c>
      <c r="X11" s="45">
        <f t="shared" si="3"/>
        <v>0.37639471300157801</v>
      </c>
      <c r="Y11" s="44">
        <f>VLOOKUP(U11,tangentPorfolio!$A$2:$B$13,2,FALSE)</f>
        <v>0.37639471300157801</v>
      </c>
      <c r="Z11" s="16">
        <f t="shared" si="5"/>
        <v>7.75</v>
      </c>
      <c r="AA11" s="17">
        <f t="shared" si="4"/>
        <v>0</v>
      </c>
    </row>
    <row r="12" spans="1:28" s="25" customFormat="1">
      <c r="A12" s="25" t="s">
        <v>23</v>
      </c>
      <c r="B12" s="8">
        <f>VLOOKUP($A12,lognormal!$G$3:$I$14,3,FALSE) * VLOOKUP(B$3,lognormal!$G$3:$I$14,3,FALSE) *INDEX(correlation!$C$3:$N$14,MATCH($A12,correlation!$B$3:$B$14,0),MATCH(B$3,correlation!$C$2:$N$2,0))*VLOOKUP($A12,$U$4:$X$15,4,FALSE)*VLOOKUP(B$3,$U$4:$X$15,4,FALSE)</f>
        <v>0</v>
      </c>
      <c r="C12" s="8">
        <f>VLOOKUP($A12,lognormal!$G$3:$I$14,3,FALSE) * VLOOKUP(C$3,lognormal!$G$3:$I$14,3,FALSE) *INDEX(correlation!$C$3:$N$14,MATCH($A12,correlation!$B$3:$B$14,0),MATCH(C$3,correlation!$C$2:$N$2,0))*VLOOKUP($A12,$U$4:$X$15,4,FALSE)*VLOOKUP(C$3,$U$4:$X$15,4,FALSE)</f>
        <v>0</v>
      </c>
      <c r="D12" s="8">
        <f>VLOOKUP($A12,lognormal!$G$3:$I$14,3,FALSE) * VLOOKUP(D$3,lognormal!$G$3:$I$14,3,FALSE) *INDEX(correlation!$C$3:$N$14,MATCH($A12,correlation!$B$3:$B$14,0),MATCH(D$3,correlation!$C$2:$N$2,0))*VLOOKUP($A12,$U$4:$X$15,4,FALSE)*VLOOKUP(D$3,$U$4:$X$15,4,FALSE)</f>
        <v>1.5481701294093038E-4</v>
      </c>
      <c r="E12" s="8">
        <f>VLOOKUP($A12,lognormal!$G$3:$I$14,3,FALSE) * VLOOKUP(E$3,lognormal!$G$3:$I$14,3,FALSE) *INDEX(correlation!$C$3:$N$14,MATCH($A12,correlation!$B$3:$B$14,0),MATCH(E$3,correlation!$C$2:$N$2,0))*VLOOKUP($A12,$U$4:$X$15,4,FALSE)*VLOOKUP(E$3,$U$4:$X$15,4,FALSE)</f>
        <v>0</v>
      </c>
      <c r="F12" s="8">
        <f>VLOOKUP($A12,lognormal!$G$3:$I$14,3,FALSE) * VLOOKUP(F$3,lognormal!$G$3:$I$14,3,FALSE) *INDEX(correlation!$C$3:$N$14,MATCH($A12,correlation!$B$3:$B$14,0),MATCH(F$3,correlation!$C$2:$N$2,0))*VLOOKUP($A12,$U$4:$X$15,4,FALSE)*VLOOKUP(F$3,$U$4:$X$15,4,FALSE)</f>
        <v>6.8831167165497636E-4</v>
      </c>
      <c r="G12" s="8">
        <f>VLOOKUP($A12,lognormal!$G$3:$I$14,3,FALSE) * VLOOKUP(G$3,lognormal!$G$3:$I$14,3,FALSE) *INDEX(correlation!$C$3:$N$14,MATCH($A12,correlation!$B$3:$B$14,0),MATCH(G$3,correlation!$C$2:$N$2,0))*VLOOKUP($A12,$U$4:$X$15,4,FALSE)*VLOOKUP(G$3,$U$4:$X$15,4,FALSE)</f>
        <v>6.9950172071571175E-19</v>
      </c>
      <c r="H12" s="8">
        <f>VLOOKUP($A12,lognormal!$G$3:$I$14,3,FALSE) * VLOOKUP(H$3,lognormal!$G$3:$I$14,3,FALSE) *INDEX(correlation!$C$3:$N$14,MATCH($A12,correlation!$B$3:$B$14,0),MATCH(H$3,correlation!$C$2:$N$2,0))*VLOOKUP($A12,$U$4:$X$15,4,FALSE)*VLOOKUP(H$3,$U$4:$X$15,4,FALSE)</f>
        <v>0</v>
      </c>
      <c r="I12" s="8">
        <f>VLOOKUP($A12,lognormal!$G$3:$I$14,3,FALSE) * VLOOKUP(I$3,lognormal!$G$3:$I$14,3,FALSE) *INDEX(correlation!$C$3:$N$14,MATCH($A12,correlation!$B$3:$B$14,0),MATCH(I$3,correlation!$C$2:$N$2,0))*VLOOKUP($A12,$U$4:$X$15,4,FALSE)*VLOOKUP(I$3,$U$4:$X$15,4,FALSE)</f>
        <v>1.6776342610925917E-3</v>
      </c>
      <c r="J12" s="8">
        <f>VLOOKUP($A12,lognormal!$G$3:$I$14,3,FALSE) * VLOOKUP(J$3,lognormal!$G$3:$I$14,3,FALSE) *INDEX(correlation!$C$3:$N$14,MATCH($A12,correlation!$B$3:$B$14,0),MATCH(J$3,correlation!$C$2:$N$2,0))*VLOOKUP($A12,$U$4:$X$15,4,FALSE)*VLOOKUP(J$3,$U$4:$X$15,4,FALSE)</f>
        <v>1.1967649024685566E-3</v>
      </c>
      <c r="K12" s="8">
        <f>VLOOKUP($A12,lognormal!$G$3:$I$14,3,FALSE) * VLOOKUP(K$3,lognormal!$G$3:$I$14,3,FALSE) *INDEX(correlation!$C$3:$N$14,MATCH($A12,correlation!$B$3:$B$14,0),MATCH(K$3,correlation!$C$2:$N$2,0))*VLOOKUP($A12,$U$4:$X$15,4,FALSE)*VLOOKUP(K$3,$U$4:$X$15,4,FALSE)</f>
        <v>0</v>
      </c>
      <c r="L12" s="8">
        <f>VLOOKUP($A12,lognormal!$G$3:$I$14,3,FALSE) * VLOOKUP(L$3,lognormal!$G$3:$I$14,3,FALSE) *INDEX(correlation!$C$3:$N$14,MATCH($A12,correlation!$B$3:$B$14,0),MATCH(L$3,correlation!$C$2:$N$2,0))*VLOOKUP($A12,$U$4:$X$15,4,FALSE)*VLOOKUP(L$3,$U$4:$X$15,4,FALSE)</f>
        <v>0</v>
      </c>
      <c r="M12" s="15">
        <f>VLOOKUP($A12,lognormal!$G$3:$I$14,3,FALSE) * VLOOKUP(M$3,lognormal!$G$3:$I$14,3,FALSE) *INDEX(correlation!$C$3:$N$14,MATCH($A12,correlation!$B$3:$B$14,0),MATCH(M$3,correlation!$C$2:$N$2,0))*VLOOKUP($A12,$U$4:$X$15,4,FALSE)*VLOOKUP(M$3,$U$4:$X$15,4,FALSE)</f>
        <v>5.4349091580617E-17</v>
      </c>
      <c r="N12" s="8">
        <f t="shared" si="0"/>
        <v>3.7175278481571101E-3</v>
      </c>
      <c r="O12" s="8">
        <f>INDEX(beta!$B$3:$D$14,MATCH($A12,beta!$A$3:$A$14,0),MATCH(O$3,beta!$B$2:$D$2,0))</f>
        <v>0.524043493240686</v>
      </c>
      <c r="P12" s="27">
        <f t="shared" si="1"/>
        <v>9.3937612113843064E-2</v>
      </c>
      <c r="Q12" s="28">
        <f>O12*(VLOOKUP($O$3,lognormal!$A$3:$C$14,3,FALSE)-$V$23)+$V$23</f>
        <v>0.16844974469700963</v>
      </c>
      <c r="R12" s="22">
        <f>EXP(VLOOKUP(A12,lognormal!$A$3:$C$14,3,FALSE)-Q12)-1</f>
        <v>0.29306719566763828</v>
      </c>
      <c r="S12" s="14">
        <f>INDEX(beta!$B$3:$D$14,MATCH($A12,beta!$A$3:$A$14,0),MATCH(S$3,beta!$B$2:$D$2,0))</f>
        <v>6.9683598711698796E-2</v>
      </c>
      <c r="T12" s="9">
        <f>INDEX(beta!$B$3:$D$14,MATCH($A12,beta!$A$3:$A$14,0),MATCH(T$3,beta!$B$2:$D$2,0))</f>
        <v>9.0560101553886593E-2</v>
      </c>
      <c r="U12" s="8" t="s">
        <v>23</v>
      </c>
      <c r="V12" s="38"/>
      <c r="W12" s="7">
        <f t="shared" si="2"/>
        <v>0</v>
      </c>
      <c r="X12" s="45">
        <f t="shared" si="3"/>
        <v>0.17925537350522699</v>
      </c>
      <c r="Y12" s="44">
        <f>VLOOKUP(U12,tangentPorfolio!$A$2:$B$13,2,FALSE)</f>
        <v>0.17925537350522699</v>
      </c>
      <c r="Z12" s="16">
        <f t="shared" si="5"/>
        <v>7.75</v>
      </c>
      <c r="AA12" s="17">
        <f t="shared" si="4"/>
        <v>0</v>
      </c>
    </row>
    <row r="13" spans="1:28" s="25" customFormat="1">
      <c r="A13" s="25" t="s">
        <v>2</v>
      </c>
      <c r="B13" s="8">
        <f>VLOOKUP($A13,lognormal!$G$3:$I$14,3,FALSE) * VLOOKUP(B$3,lognormal!$G$3:$I$14,3,FALSE) *INDEX(correlation!$C$3:$N$14,MATCH($A13,correlation!$B$3:$B$14,0),MATCH(B$3,correlation!$C$2:$N$2,0))*VLOOKUP($A13,$U$4:$X$15,4,FALSE)*VLOOKUP(B$3,$U$4:$X$15,4,FALSE)</f>
        <v>0</v>
      </c>
      <c r="C13" s="8">
        <f>VLOOKUP($A13,lognormal!$G$3:$I$14,3,FALSE) * VLOOKUP(C$3,lognormal!$G$3:$I$14,3,FALSE) *INDEX(correlation!$C$3:$N$14,MATCH($A13,correlation!$B$3:$B$14,0),MATCH(C$3,correlation!$C$2:$N$2,0))*VLOOKUP($A13,$U$4:$X$15,4,FALSE)*VLOOKUP(C$3,$U$4:$X$15,4,FALSE)</f>
        <v>0</v>
      </c>
      <c r="D13" s="8">
        <f>VLOOKUP($A13,lognormal!$G$3:$I$14,3,FALSE) * VLOOKUP(D$3,lognormal!$G$3:$I$14,3,FALSE) *INDEX(correlation!$C$3:$N$14,MATCH($A13,correlation!$B$3:$B$14,0),MATCH(D$3,correlation!$C$2:$N$2,0))*VLOOKUP($A13,$U$4:$X$15,4,FALSE)*VLOOKUP(D$3,$U$4:$X$15,4,FALSE)</f>
        <v>0</v>
      </c>
      <c r="E13" s="8">
        <f>VLOOKUP($A13,lognormal!$G$3:$I$14,3,FALSE) * VLOOKUP(E$3,lognormal!$G$3:$I$14,3,FALSE) *INDEX(correlation!$C$3:$N$14,MATCH($A13,correlation!$B$3:$B$14,0),MATCH(E$3,correlation!$C$2:$N$2,0))*VLOOKUP($A13,$U$4:$X$15,4,FALSE)*VLOOKUP(E$3,$U$4:$X$15,4,FALSE)</f>
        <v>0</v>
      </c>
      <c r="F13" s="8">
        <f>VLOOKUP($A13,lognormal!$G$3:$I$14,3,FALSE) * VLOOKUP(F$3,lognormal!$G$3:$I$14,3,FALSE) *INDEX(correlation!$C$3:$N$14,MATCH($A13,correlation!$B$3:$B$14,0),MATCH(F$3,correlation!$C$2:$N$2,0))*VLOOKUP($A13,$U$4:$X$15,4,FALSE)*VLOOKUP(F$3,$U$4:$X$15,4,FALSE)</f>
        <v>0</v>
      </c>
      <c r="G13" s="8">
        <f>VLOOKUP($A13,lognormal!$G$3:$I$14,3,FALSE) * VLOOKUP(G$3,lognormal!$G$3:$I$14,3,FALSE) *INDEX(correlation!$C$3:$N$14,MATCH($A13,correlation!$B$3:$B$14,0),MATCH(G$3,correlation!$C$2:$N$2,0))*VLOOKUP($A13,$U$4:$X$15,4,FALSE)*VLOOKUP(G$3,$U$4:$X$15,4,FALSE)</f>
        <v>0</v>
      </c>
      <c r="H13" s="8">
        <f>VLOOKUP($A13,lognormal!$G$3:$I$14,3,FALSE) * VLOOKUP(H$3,lognormal!$G$3:$I$14,3,FALSE) *INDEX(correlation!$C$3:$N$14,MATCH($A13,correlation!$B$3:$B$14,0),MATCH(H$3,correlation!$C$2:$N$2,0))*VLOOKUP($A13,$U$4:$X$15,4,FALSE)*VLOOKUP(H$3,$U$4:$X$15,4,FALSE)</f>
        <v>0</v>
      </c>
      <c r="I13" s="8">
        <f>VLOOKUP($A13,lognormal!$G$3:$I$14,3,FALSE) * VLOOKUP(I$3,lognormal!$G$3:$I$14,3,FALSE) *INDEX(correlation!$C$3:$N$14,MATCH($A13,correlation!$B$3:$B$14,0),MATCH(I$3,correlation!$C$2:$N$2,0))*VLOOKUP($A13,$U$4:$X$15,4,FALSE)*VLOOKUP(I$3,$U$4:$X$15,4,FALSE)</f>
        <v>0</v>
      </c>
      <c r="J13" s="8">
        <f>VLOOKUP($A13,lognormal!$G$3:$I$14,3,FALSE) * VLOOKUP(J$3,lognormal!$G$3:$I$14,3,FALSE) *INDEX(correlation!$C$3:$N$14,MATCH($A13,correlation!$B$3:$B$14,0),MATCH(J$3,correlation!$C$2:$N$2,0))*VLOOKUP($A13,$U$4:$X$15,4,FALSE)*VLOOKUP(J$3,$U$4:$X$15,4,FALSE)</f>
        <v>0</v>
      </c>
      <c r="K13" s="8">
        <f>VLOOKUP($A13,lognormal!$G$3:$I$14,3,FALSE) * VLOOKUP(K$3,lognormal!$G$3:$I$14,3,FALSE) *INDEX(correlation!$C$3:$N$14,MATCH($A13,correlation!$B$3:$B$14,0),MATCH(K$3,correlation!$C$2:$N$2,0))*VLOOKUP($A13,$U$4:$X$15,4,FALSE)*VLOOKUP(K$3,$U$4:$X$15,4,FALSE)</f>
        <v>0</v>
      </c>
      <c r="L13" s="8">
        <f>VLOOKUP($A13,lognormal!$G$3:$I$14,3,FALSE) * VLOOKUP(L$3,lognormal!$G$3:$I$14,3,FALSE) *INDEX(correlation!$C$3:$N$14,MATCH($A13,correlation!$B$3:$B$14,0),MATCH(L$3,correlation!$C$2:$N$2,0))*VLOOKUP($A13,$U$4:$X$15,4,FALSE)*VLOOKUP(L$3,$U$4:$X$15,4,FALSE)</f>
        <v>0</v>
      </c>
      <c r="M13" s="15">
        <f>VLOOKUP($A13,lognormal!$G$3:$I$14,3,FALSE) * VLOOKUP(M$3,lognormal!$G$3:$I$14,3,FALSE) *INDEX(correlation!$C$3:$N$14,MATCH($A13,correlation!$B$3:$B$14,0),MATCH(M$3,correlation!$C$2:$N$2,0))*VLOOKUP($A13,$U$4:$X$15,4,FALSE)*VLOOKUP(M$3,$U$4:$X$15,4,FALSE)</f>
        <v>0</v>
      </c>
      <c r="N13" s="8">
        <f t="shared" si="0"/>
        <v>0</v>
      </c>
      <c r="O13" s="8">
        <f>INDEX(beta!$B$3:$D$14,MATCH($A13,beta!$A$3:$A$14,0),MATCH(O$3,beta!$B$2:$D$2,0))</f>
        <v>0.77046775743178997</v>
      </c>
      <c r="P13" s="27">
        <f t="shared" si="1"/>
        <v>0</v>
      </c>
      <c r="Q13" s="28">
        <f>O13*(VLOOKUP($O$3,lognormal!$A$3:$C$14,3,FALSE)-$V$23)+$V$23</f>
        <v>0.24592426305511975</v>
      </c>
      <c r="R13" s="22">
        <f>EXP(VLOOKUP(A13,lognormal!$A$3:$C$14,3,FALSE)-Q13)-1</f>
        <v>-0.49143768049270975</v>
      </c>
      <c r="S13" s="14">
        <f>INDEX(beta!$B$3:$D$14,MATCH($A13,beta!$A$3:$A$14,0),MATCH(S$3,beta!$B$2:$D$2,0))</f>
        <v>0.15876100440722901</v>
      </c>
      <c r="T13" s="9">
        <f>INDEX(beta!$B$3:$D$14,MATCH($A13,beta!$A$3:$A$14,0),MATCH(T$3,beta!$B$2:$D$2,0))</f>
        <v>0.18695250035945399</v>
      </c>
      <c r="U13" s="8" t="s">
        <v>2</v>
      </c>
      <c r="V13" s="38"/>
      <c r="W13" s="7">
        <f t="shared" si="2"/>
        <v>0</v>
      </c>
      <c r="X13" s="45">
        <f t="shared" si="3"/>
        <v>0</v>
      </c>
      <c r="Y13" s="44">
        <f>VLOOKUP(U13,tangentPorfolio!$A$2:$B$13,2,FALSE)</f>
        <v>0</v>
      </c>
      <c r="Z13" s="16">
        <f t="shared" si="5"/>
        <v>7.75</v>
      </c>
      <c r="AA13" s="17">
        <f t="shared" si="4"/>
        <v>0</v>
      </c>
    </row>
    <row r="14" spans="1:28" s="25" customFormat="1">
      <c r="A14" s="25" t="s">
        <v>22</v>
      </c>
      <c r="B14" s="8">
        <f>VLOOKUP($A14,lognormal!$G$3:$I$14,3,FALSE) * VLOOKUP(B$3,lognormal!$G$3:$I$14,3,FALSE) *INDEX(correlation!$C$3:$N$14,MATCH($A14,correlation!$B$3:$B$14,0),MATCH(B$3,correlation!$C$2:$N$2,0))*VLOOKUP($A14,$U$4:$X$15,4,FALSE)*VLOOKUP(B$3,$U$4:$X$15,4,FALSE)</f>
        <v>0</v>
      </c>
      <c r="C14" s="8">
        <f>VLOOKUP($A14,lognormal!$G$3:$I$14,3,FALSE) * VLOOKUP(C$3,lognormal!$G$3:$I$14,3,FALSE) *INDEX(correlation!$C$3:$N$14,MATCH($A14,correlation!$B$3:$B$14,0),MATCH(C$3,correlation!$C$2:$N$2,0))*VLOOKUP($A14,$U$4:$X$15,4,FALSE)*VLOOKUP(C$3,$U$4:$X$15,4,FALSE)</f>
        <v>0</v>
      </c>
      <c r="D14" s="8">
        <f>VLOOKUP($A14,lognormal!$G$3:$I$14,3,FALSE) * VLOOKUP(D$3,lognormal!$G$3:$I$14,3,FALSE) *INDEX(correlation!$C$3:$N$14,MATCH($A14,correlation!$B$3:$B$14,0),MATCH(D$3,correlation!$C$2:$N$2,0))*VLOOKUP($A14,$U$4:$X$15,4,FALSE)*VLOOKUP(D$3,$U$4:$X$15,4,FALSE)</f>
        <v>0</v>
      </c>
      <c r="E14" s="8">
        <f>VLOOKUP($A14,lognormal!$G$3:$I$14,3,FALSE) * VLOOKUP(E$3,lognormal!$G$3:$I$14,3,FALSE) *INDEX(correlation!$C$3:$N$14,MATCH($A14,correlation!$B$3:$B$14,0),MATCH(E$3,correlation!$C$2:$N$2,0))*VLOOKUP($A14,$U$4:$X$15,4,FALSE)*VLOOKUP(E$3,$U$4:$X$15,4,FALSE)</f>
        <v>0</v>
      </c>
      <c r="F14" s="8">
        <f>VLOOKUP($A14,lognormal!$G$3:$I$14,3,FALSE) * VLOOKUP(F$3,lognormal!$G$3:$I$14,3,FALSE) *INDEX(correlation!$C$3:$N$14,MATCH($A14,correlation!$B$3:$B$14,0),MATCH(F$3,correlation!$C$2:$N$2,0))*VLOOKUP($A14,$U$4:$X$15,4,FALSE)*VLOOKUP(F$3,$U$4:$X$15,4,FALSE)</f>
        <v>0</v>
      </c>
      <c r="G14" s="8">
        <f>VLOOKUP($A14,lognormal!$G$3:$I$14,3,FALSE) * VLOOKUP(G$3,lognormal!$G$3:$I$14,3,FALSE) *INDEX(correlation!$C$3:$N$14,MATCH($A14,correlation!$B$3:$B$14,0),MATCH(G$3,correlation!$C$2:$N$2,0))*VLOOKUP($A14,$U$4:$X$15,4,FALSE)*VLOOKUP(G$3,$U$4:$X$15,4,FALSE)</f>
        <v>0</v>
      </c>
      <c r="H14" s="8">
        <f>VLOOKUP($A14,lognormal!$G$3:$I$14,3,FALSE) * VLOOKUP(H$3,lognormal!$G$3:$I$14,3,FALSE) *INDEX(correlation!$C$3:$N$14,MATCH($A14,correlation!$B$3:$B$14,0),MATCH(H$3,correlation!$C$2:$N$2,0))*VLOOKUP($A14,$U$4:$X$15,4,FALSE)*VLOOKUP(H$3,$U$4:$X$15,4,FALSE)</f>
        <v>0</v>
      </c>
      <c r="I14" s="8">
        <f>VLOOKUP($A14,lognormal!$G$3:$I$14,3,FALSE) * VLOOKUP(I$3,lognormal!$G$3:$I$14,3,FALSE) *INDEX(correlation!$C$3:$N$14,MATCH($A14,correlation!$B$3:$B$14,0),MATCH(I$3,correlation!$C$2:$N$2,0))*VLOOKUP($A14,$U$4:$X$15,4,FALSE)*VLOOKUP(I$3,$U$4:$X$15,4,FALSE)</f>
        <v>0</v>
      </c>
      <c r="J14" s="8">
        <f>VLOOKUP($A14,lognormal!$G$3:$I$14,3,FALSE) * VLOOKUP(J$3,lognormal!$G$3:$I$14,3,FALSE) *INDEX(correlation!$C$3:$N$14,MATCH($A14,correlation!$B$3:$B$14,0),MATCH(J$3,correlation!$C$2:$N$2,0))*VLOOKUP($A14,$U$4:$X$15,4,FALSE)*VLOOKUP(J$3,$U$4:$X$15,4,FALSE)</f>
        <v>0</v>
      </c>
      <c r="K14" s="8">
        <f>VLOOKUP($A14,lognormal!$G$3:$I$14,3,FALSE) * VLOOKUP(K$3,lognormal!$G$3:$I$14,3,FALSE) *INDEX(correlation!$C$3:$N$14,MATCH($A14,correlation!$B$3:$B$14,0),MATCH(K$3,correlation!$C$2:$N$2,0))*VLOOKUP($A14,$U$4:$X$15,4,FALSE)*VLOOKUP(K$3,$U$4:$X$15,4,FALSE)</f>
        <v>0</v>
      </c>
      <c r="L14" s="8">
        <f>VLOOKUP($A14,lognormal!$G$3:$I$14,3,FALSE) * VLOOKUP(L$3,lognormal!$G$3:$I$14,3,FALSE) *INDEX(correlation!$C$3:$N$14,MATCH($A14,correlation!$B$3:$B$14,0),MATCH(L$3,correlation!$C$2:$N$2,0))*VLOOKUP($A14,$U$4:$X$15,4,FALSE)*VLOOKUP(L$3,$U$4:$X$15,4,FALSE)</f>
        <v>0</v>
      </c>
      <c r="M14" s="15">
        <f>VLOOKUP($A14,lognormal!$G$3:$I$14,3,FALSE) * VLOOKUP(M$3,lognormal!$G$3:$I$14,3,FALSE) *INDEX(correlation!$C$3:$N$14,MATCH($A14,correlation!$B$3:$B$14,0),MATCH(M$3,correlation!$C$2:$N$2,0))*VLOOKUP($A14,$U$4:$X$15,4,FALSE)*VLOOKUP(M$3,$U$4:$X$15,4,FALSE)</f>
        <v>0</v>
      </c>
      <c r="N14" s="8">
        <f t="shared" si="0"/>
        <v>0</v>
      </c>
      <c r="O14" s="8">
        <f>INDEX(beta!$B$3:$D$14,MATCH($A14,beta!$A$3:$A$14,0),MATCH(O$3,beta!$B$2:$D$2,0))</f>
        <v>1.1032598491710599</v>
      </c>
      <c r="P14" s="27">
        <f t="shared" si="1"/>
        <v>0</v>
      </c>
      <c r="Q14" s="28">
        <f>O14*(VLOOKUP($O$3,lognormal!$A$3:$C$14,3,FALSE)-$V$23)+$V$23</f>
        <v>0.3505523811729569</v>
      </c>
      <c r="R14" s="22">
        <f>EXP(VLOOKUP(A14,lognormal!$A$3:$C$14,3,FALSE)-Q14)-1</f>
        <v>-0.40234709669068214</v>
      </c>
      <c r="S14" s="14">
        <f>INDEX(beta!$B$3:$D$14,MATCH($A14,beta!$A$3:$A$14,0),MATCH(S$3,beta!$B$2:$D$2,0))</f>
        <v>0.25907056004447199</v>
      </c>
      <c r="T14" s="9">
        <f>INDEX(beta!$B$3:$D$14,MATCH($A14,beta!$A$3:$A$14,0),MATCH(T$3,beta!$B$2:$D$2,0))</f>
        <v>0.42765626494898001</v>
      </c>
      <c r="U14" s="8" t="s">
        <v>22</v>
      </c>
      <c r="V14" s="38"/>
      <c r="W14" s="7">
        <f t="shared" si="2"/>
        <v>0</v>
      </c>
      <c r="X14" s="45">
        <f t="shared" si="3"/>
        <v>0</v>
      </c>
      <c r="Y14" s="44">
        <f>VLOOKUP(U14,tangentPorfolio!$A$2:$B$13,2,FALSE)</f>
        <v>0</v>
      </c>
      <c r="Z14" s="16">
        <f t="shared" si="5"/>
        <v>7.75</v>
      </c>
      <c r="AA14" s="17">
        <f t="shared" si="4"/>
        <v>0</v>
      </c>
    </row>
    <row r="15" spans="1:28" s="25" customFormat="1" ht="15" thickBot="1">
      <c r="A15" s="25" t="s">
        <v>21</v>
      </c>
      <c r="B15" s="12">
        <f>VLOOKUP($A15,lognormal!$G$3:$I$14,3,FALSE) * VLOOKUP(B$3,lognormal!$G$3:$I$14,3,FALSE) *INDEX(correlation!$C$3:$N$14,MATCH($A15,correlation!$B$3:$B$14,0),MATCH(B$3,correlation!$C$2:$N$2,0))*VLOOKUP($A15,$U$4:$X$15,4,FALSE)*VLOOKUP(B$3,$U$4:$X$15,4,FALSE)</f>
        <v>0</v>
      </c>
      <c r="C15" s="12">
        <f>VLOOKUP($A15,lognormal!$G$3:$I$14,3,FALSE) * VLOOKUP(C$3,lognormal!$G$3:$I$14,3,FALSE) *INDEX(correlation!$C$3:$N$14,MATCH($A15,correlation!$B$3:$B$14,0),MATCH(C$3,correlation!$C$2:$N$2,0))*VLOOKUP($A15,$U$4:$X$15,4,FALSE)*VLOOKUP(C$3,$U$4:$X$15,4,FALSE)</f>
        <v>0</v>
      </c>
      <c r="D15" s="12">
        <f>VLOOKUP($A15,lognormal!$G$3:$I$14,3,FALSE) * VLOOKUP(D$3,lognormal!$G$3:$I$14,3,FALSE) *INDEX(correlation!$C$3:$N$14,MATCH($A15,correlation!$B$3:$B$14,0),MATCH(D$3,correlation!$C$2:$N$2,0))*VLOOKUP($A15,$U$4:$X$15,4,FALSE)*VLOOKUP(D$3,$U$4:$X$15,4,FALSE)</f>
        <v>8.4867925638350789E-18</v>
      </c>
      <c r="E15" s="12">
        <f>VLOOKUP($A15,lognormal!$G$3:$I$14,3,FALSE) * VLOOKUP(E$3,lognormal!$G$3:$I$14,3,FALSE) *INDEX(correlation!$C$3:$N$14,MATCH($A15,correlation!$B$3:$B$14,0),MATCH(E$3,correlation!$C$2:$N$2,0))*VLOOKUP($A15,$U$4:$X$15,4,FALSE)*VLOOKUP(E$3,$U$4:$X$15,4,FALSE)</f>
        <v>0</v>
      </c>
      <c r="F15" s="12">
        <f>VLOOKUP($A15,lognormal!$G$3:$I$14,3,FALSE) * VLOOKUP(F$3,lognormal!$G$3:$I$14,3,FALSE) *INDEX(correlation!$C$3:$N$14,MATCH($A15,correlation!$B$3:$B$14,0),MATCH(F$3,correlation!$C$2:$N$2,0))*VLOOKUP($A15,$U$4:$X$15,4,FALSE)*VLOOKUP(F$3,$U$4:$X$15,4,FALSE)</f>
        <v>5.9587941952960398E-17</v>
      </c>
      <c r="G15" s="12">
        <f>VLOOKUP($A15,lognormal!$G$3:$I$14,3,FALSE) * VLOOKUP(G$3,lognormal!$G$3:$I$14,3,FALSE) *INDEX(correlation!$C$3:$N$14,MATCH($A15,correlation!$B$3:$B$14,0),MATCH(G$3,correlation!$C$2:$N$2,0))*VLOOKUP($A15,$U$4:$X$15,4,FALSE)*VLOOKUP(G$3,$U$4:$X$15,4,FALSE)</f>
        <v>5.8343732124635348E-32</v>
      </c>
      <c r="H15" s="12">
        <f>VLOOKUP($A15,lognormal!$G$3:$I$14,3,FALSE) * VLOOKUP(H$3,lognormal!$G$3:$I$14,3,FALSE) *INDEX(correlation!$C$3:$N$14,MATCH($A15,correlation!$B$3:$B$14,0),MATCH(H$3,correlation!$C$2:$N$2,0))*VLOOKUP($A15,$U$4:$X$15,4,FALSE)*VLOOKUP(H$3,$U$4:$X$15,4,FALSE)</f>
        <v>0</v>
      </c>
      <c r="I15" s="12">
        <f>VLOOKUP($A15,lognormal!$G$3:$I$14,3,FALSE) * VLOOKUP(I$3,lognormal!$G$3:$I$14,3,FALSE) *INDEX(correlation!$C$3:$N$14,MATCH($A15,correlation!$B$3:$B$14,0),MATCH(I$3,correlation!$C$2:$N$2,0))*VLOOKUP($A15,$U$4:$X$15,4,FALSE)*VLOOKUP(I$3,$U$4:$X$15,4,FALSE)</f>
        <v>1.310149421265093E-16</v>
      </c>
      <c r="J15" s="12">
        <f>VLOOKUP($A15,lognormal!$G$3:$I$14,3,FALSE) * VLOOKUP(J$3,lognormal!$G$3:$I$14,3,FALSE) *INDEX(correlation!$C$3:$N$14,MATCH($A15,correlation!$B$3:$B$14,0),MATCH(J$3,correlation!$C$2:$N$2,0))*VLOOKUP($A15,$U$4:$X$15,4,FALSE)*VLOOKUP(J$3,$U$4:$X$15,4,FALSE)</f>
        <v>5.4349091580617E-17</v>
      </c>
      <c r="K15" s="12">
        <f>VLOOKUP($A15,lognormal!$G$3:$I$14,3,FALSE) * VLOOKUP(K$3,lognormal!$G$3:$I$14,3,FALSE) *INDEX(correlation!$C$3:$N$14,MATCH($A15,correlation!$B$3:$B$14,0),MATCH(K$3,correlation!$C$2:$N$2,0))*VLOOKUP($A15,$U$4:$X$15,4,FALSE)*VLOOKUP(K$3,$U$4:$X$15,4,FALSE)</f>
        <v>0</v>
      </c>
      <c r="L15" s="12">
        <f>VLOOKUP($A15,lognormal!$G$3:$I$14,3,FALSE) * VLOOKUP(L$3,lognormal!$G$3:$I$14,3,FALSE) *INDEX(correlation!$C$3:$N$14,MATCH($A15,correlation!$B$3:$B$14,0),MATCH(L$3,correlation!$C$2:$N$2,0))*VLOOKUP($A15,$U$4:$X$15,4,FALSE)*VLOOKUP(L$3,$U$4:$X$15,4,FALSE)</f>
        <v>0</v>
      </c>
      <c r="M15" s="34">
        <f>VLOOKUP($A15,lognormal!$G$3:$I$14,3,FALSE) * VLOOKUP(M$3,lognormal!$G$3:$I$14,3,FALSE) *INDEX(correlation!$C$3:$N$14,MATCH($A15,correlation!$B$3:$B$14,0),MATCH(M$3,correlation!$C$2:$N$2,0))*VLOOKUP($A15,$U$4:$X$15,4,FALSE)*VLOOKUP(M$3,$U$4:$X$15,4,FALSE)</f>
        <v>4.4442119697895967E-30</v>
      </c>
      <c r="N15" s="12">
        <f t="shared" si="0"/>
        <v>2.5343876822392627E-16</v>
      </c>
      <c r="O15" s="12">
        <f>INDEX(beta!$B$3:$D$14,MATCH($A15,beta!$A$3:$A$14,0),MATCH(O$3,beta!$B$2:$D$2,0))</f>
        <v>1</v>
      </c>
      <c r="P15" s="27">
        <f t="shared" si="1"/>
        <v>1.22312709548329E-14</v>
      </c>
      <c r="Q15" s="28">
        <f>O15*(VLOOKUP($O$3,lognormal!$A$3:$C$14,3,FALSE)-$V$23)+$V$23</f>
        <v>0.31808801689243743</v>
      </c>
      <c r="R15" s="22">
        <f>EXP(VLOOKUP(A15,lognormal!$A$3:$C$14,3,FALSE)-Q15)-1</f>
        <v>0</v>
      </c>
      <c r="S15" s="13">
        <f>INDEX(beta!$B$3:$D$14,MATCH($A15,beta!$A$3:$A$14,0),MATCH(S$3,beta!$B$2:$D$2,0))</f>
        <v>9.81486299491766E-2</v>
      </c>
      <c r="T15" s="10">
        <f>INDEX(beta!$B$3:$D$14,MATCH($A15,beta!$A$3:$A$14,0),MATCH(T$3,beta!$B$2:$D$2,0))</f>
        <v>0.17409503885588601</v>
      </c>
      <c r="U15" s="12" t="s">
        <v>21</v>
      </c>
      <c r="V15" s="39"/>
      <c r="W15" s="40">
        <f t="shared" si="2"/>
        <v>0</v>
      </c>
      <c r="X15" s="45">
        <f t="shared" si="3"/>
        <v>1.22312709548329E-14</v>
      </c>
      <c r="Y15" s="44">
        <f>VLOOKUP(U15,tangentPorfolio!$A$2:$B$13,2,FALSE)</f>
        <v>1.22312709548329E-14</v>
      </c>
      <c r="Z15" s="16">
        <f t="shared" si="5"/>
        <v>7.75</v>
      </c>
      <c r="AA15" s="17">
        <f t="shared" si="4"/>
        <v>0</v>
      </c>
    </row>
    <row r="16" spans="1:28" s="25" customFormat="1">
      <c r="H16" s="1"/>
      <c r="I16" s="1"/>
      <c r="J16" s="1"/>
      <c r="K16" s="1"/>
      <c r="L16" s="1"/>
      <c r="M16" s="1"/>
      <c r="N16" s="1"/>
      <c r="O16" s="3"/>
      <c r="P16" s="22"/>
      <c r="Q16" s="22"/>
      <c r="R16" s="22"/>
      <c r="S16" s="2"/>
      <c r="T16" s="2"/>
      <c r="U16" s="27" t="s">
        <v>51</v>
      </c>
      <c r="V16" s="22"/>
      <c r="W16" s="22">
        <f>SUM(W4:W15)</f>
        <v>0</v>
      </c>
      <c r="X16" s="22">
        <f t="shared" ref="X16:Y16" si="6">SUM(X4:X15)</f>
        <v>1.0000000000004086</v>
      </c>
      <c r="Y16" s="22">
        <f t="shared" si="6"/>
        <v>1.0000000000004086</v>
      </c>
      <c r="Z16" s="2"/>
      <c r="AA16" s="2"/>
      <c r="AB16" s="3"/>
    </row>
    <row r="17" spans="1:29">
      <c r="N17" s="54" t="s">
        <v>47</v>
      </c>
      <c r="O17" s="63">
        <f>SUM(P4:P15)</f>
        <v>0.64053501981532013</v>
      </c>
      <c r="P17" s="56" t="s">
        <v>57</v>
      </c>
      <c r="Q17" s="28">
        <f>O17*(VLOOKUP($O$3,lognormal!$A$3:$C$14,3,FALSE)-$V$23)+$V$23</f>
        <v>0.20507408014464115</v>
      </c>
      <c r="R17" s="64">
        <f>EXP($AA$27-Q17)-1</f>
        <v>0.38518327746650138</v>
      </c>
      <c r="U17" s="26" t="s">
        <v>33</v>
      </c>
      <c r="V17" s="26">
        <f>27552.37</f>
        <v>27552.37</v>
      </c>
      <c r="W17" s="2"/>
      <c r="X17" s="2"/>
      <c r="Y17" s="2"/>
      <c r="Z17" s="16">
        <f>IF(ISNUMBER(SEARCH("HK",U17)),1,$V$21)</f>
        <v>1</v>
      </c>
      <c r="AA17" s="17">
        <f>V17*Z17</f>
        <v>27552.37</v>
      </c>
    </row>
    <row r="18" spans="1:29">
      <c r="K18" s="26"/>
      <c r="L18" s="26"/>
      <c r="M18" s="26"/>
      <c r="N18" s="26"/>
      <c r="U18" s="26" t="s">
        <v>32</v>
      </c>
      <c r="V18" s="26">
        <v>4442.92</v>
      </c>
      <c r="W18" s="2"/>
      <c r="X18" s="2"/>
      <c r="Y18" s="2"/>
      <c r="Z18" s="16">
        <f>IF(ISNUMBER(SEARCH("HK",U18)),1,$V$21)</f>
        <v>7.75</v>
      </c>
      <c r="AA18" s="17">
        <f>V18*Z18</f>
        <v>34432.629999999997</v>
      </c>
    </row>
    <row r="19" spans="1:29" ht="15" thickBot="1">
      <c r="N19" s="26"/>
      <c r="U19" s="26"/>
      <c r="V19" s="18"/>
      <c r="W19" s="2"/>
      <c r="X19" s="2"/>
      <c r="Y19" s="2"/>
      <c r="Z19" s="27" t="s">
        <v>31</v>
      </c>
      <c r="AA19" s="41">
        <f>SUM(AA4:AA15)</f>
        <v>0</v>
      </c>
    </row>
    <row r="20" spans="1:29" ht="15" thickBot="1">
      <c r="A20" t="s">
        <v>38</v>
      </c>
      <c r="B20" s="46">
        <f>VLOOKUP(B3,lognormal!$A$3:$D$14,3,FALSE)*VLOOKUP(B3,$U$4:$X$15,4,FALSE)</f>
        <v>0</v>
      </c>
      <c r="C20" s="47">
        <f>VLOOKUP(C3,lognormal!$A$3:$D$14,3,FALSE)*VLOOKUP(C3,$U$4:$X$15,4,FALSE)</f>
        <v>0</v>
      </c>
      <c r="D20" s="47">
        <f>VLOOKUP(D3,lognormal!$A$3:$D$14,3,FALSE)*VLOOKUP(D3,$U$4:$X$15,4,FALSE)</f>
        <v>2.4271932059917532E-2</v>
      </c>
      <c r="E20" s="47">
        <f>VLOOKUP(E3,lognormal!$A$3:$D$14,3,FALSE)*VLOOKUP(E3,$U$4:$X$15,4,FALSE)</f>
        <v>0</v>
      </c>
      <c r="F20" s="47">
        <f>VLOOKUP(F3,lognormal!$A$3:$D$14,3,FALSE)*VLOOKUP(F3,$U$4:$X$15,4,FALSE)</f>
        <v>0.20238803513267625</v>
      </c>
      <c r="G20" s="47">
        <f>VLOOKUP(G3,lognormal!$A$3:$D$14,3,FALSE)*VLOOKUP(G3,$U$4:$X$15,4,FALSE)</f>
        <v>6.9439324238853996E-17</v>
      </c>
      <c r="H20" s="47">
        <f>VLOOKUP(H3,lognormal!$A$3:$D$14,3,FALSE)*VLOOKUP(H3,$U$4:$X$15,4,FALSE)</f>
        <v>0</v>
      </c>
      <c r="I20" s="47">
        <f>VLOOKUP(I3,lognormal!$A$3:$D$14,3,FALSE)*VLOOKUP(I3,$U$4:$X$15,4,FALSE)</f>
        <v>0.22797936184816836</v>
      </c>
      <c r="J20" s="47">
        <f>VLOOKUP(J3,lognormal!$A$3:$D$14,3,FALSE)*VLOOKUP(J3,$U$4:$X$15,4,FALSE)</f>
        <v>7.6267212289018005E-2</v>
      </c>
      <c r="K20" s="47">
        <f>VLOOKUP(K3,lognormal!$A$3:$D$14,3,FALSE)*VLOOKUP(K3,$U$4:$X$15,4,FALSE)</f>
        <v>0</v>
      </c>
      <c r="L20" s="47">
        <f>VLOOKUP(L3,lognormal!$A$3:$D$14,3,FALSE)*VLOOKUP(L3,$U$4:$X$15,4,FALSE)</f>
        <v>0</v>
      </c>
      <c r="M20" s="48">
        <f>VLOOKUP(M3,lognormal!$A$3:$D$14,3,FALSE)*VLOOKUP(M3,$U$4:$X$15,4,FALSE)</f>
        <v>3.8906207220968664E-15</v>
      </c>
      <c r="N20" s="26"/>
      <c r="U20" s="26"/>
      <c r="V20" s="18"/>
      <c r="Z20" s="27" t="s">
        <v>3</v>
      </c>
      <c r="AA20" s="41">
        <f>SUM(AA17:AA19)</f>
        <v>61985</v>
      </c>
    </row>
    <row r="21" spans="1:29">
      <c r="G21" s="26"/>
      <c r="H21" s="26"/>
      <c r="I21" s="26"/>
      <c r="J21" s="26"/>
      <c r="K21" s="26"/>
      <c r="L21" s="26"/>
      <c r="M21" s="26"/>
      <c r="N21" s="26"/>
      <c r="U21" s="20" t="s">
        <v>28</v>
      </c>
      <c r="V21" s="32">
        <v>7.75</v>
      </c>
    </row>
    <row r="22" spans="1:29" ht="29">
      <c r="I22" s="26"/>
      <c r="J22" s="26"/>
      <c r="K22" s="26"/>
      <c r="L22" s="26"/>
      <c r="M22" s="26"/>
      <c r="N22" s="26"/>
      <c r="U22" s="20" t="s">
        <v>29</v>
      </c>
      <c r="V22" s="32">
        <v>1.20726716</v>
      </c>
      <c r="W22" s="2"/>
      <c r="X22" s="2"/>
      <c r="Y22" s="2"/>
      <c r="Z22" s="24" t="s">
        <v>42</v>
      </c>
      <c r="AA22" s="43">
        <f>SQRT(AA23)</f>
        <v>0.14111537524447279</v>
      </c>
    </row>
    <row r="23" spans="1:29" ht="43.5">
      <c r="I23" s="26"/>
      <c r="J23" s="26"/>
      <c r="K23" s="26"/>
      <c r="L23" s="26"/>
      <c r="M23" s="26"/>
      <c r="N23" s="26"/>
      <c r="U23" s="62" t="s">
        <v>56</v>
      </c>
      <c r="V23">
        <f>LN(V24+1)</f>
        <v>3.6931718376176067E-3</v>
      </c>
      <c r="Z23" s="24" t="s">
        <v>41</v>
      </c>
      <c r="AA23" s="42">
        <f>SUM(N4:N15)</f>
        <v>1.9913549130388366E-2</v>
      </c>
    </row>
    <row r="24" spans="1:29" ht="29">
      <c r="I24" s="26"/>
      <c r="J24" s="26"/>
      <c r="K24" s="26"/>
      <c r="L24" s="26"/>
      <c r="M24" s="26"/>
      <c r="N24" s="26"/>
      <c r="U24" s="20" t="s">
        <v>46</v>
      </c>
      <c r="V24" s="57">
        <v>3.7000000000000002E-3</v>
      </c>
      <c r="W24" s="2"/>
      <c r="X24" s="2"/>
      <c r="Y24" s="2"/>
      <c r="Z24" s="50" t="s">
        <v>43</v>
      </c>
      <c r="AA24" s="51">
        <f>EXP(AA22)-1</f>
        <v>0.15155750154885617</v>
      </c>
      <c r="AB24" s="26"/>
      <c r="AC24" s="26"/>
    </row>
    <row r="25" spans="1:29">
      <c r="I25" s="26"/>
      <c r="J25" s="26"/>
      <c r="K25" s="26"/>
      <c r="L25" s="26"/>
      <c r="M25" s="26"/>
      <c r="N25" s="26"/>
      <c r="U25" s="20" t="s">
        <v>5</v>
      </c>
      <c r="V25" s="58">
        <v>43831</v>
      </c>
      <c r="W25" s="2"/>
      <c r="X25" s="2"/>
      <c r="Y25" s="2"/>
    </row>
    <row r="26" spans="1:29">
      <c r="I26" s="26"/>
      <c r="J26" s="26"/>
      <c r="K26" s="26"/>
      <c r="L26" s="26"/>
      <c r="M26" s="26"/>
      <c r="N26" s="26"/>
      <c r="V26" s="2"/>
      <c r="W26" s="2"/>
      <c r="X26" s="2"/>
      <c r="Y26" s="2"/>
      <c r="Z26" s="2"/>
    </row>
    <row r="27" spans="1:29" ht="29">
      <c r="I27" s="26"/>
      <c r="J27" s="26"/>
      <c r="K27" s="26"/>
      <c r="L27" s="26"/>
      <c r="M27" s="26"/>
      <c r="N27" s="26"/>
      <c r="V27" s="2"/>
      <c r="W27" s="2"/>
      <c r="Z27" s="24" t="s">
        <v>44</v>
      </c>
      <c r="AA27" s="26">
        <f>SUM(B20:M20)</f>
        <v>0.5309065413297841</v>
      </c>
    </row>
    <row r="28" spans="1:29" ht="29">
      <c r="I28" s="26"/>
      <c r="J28" s="26"/>
      <c r="K28" s="26"/>
      <c r="L28" s="26"/>
      <c r="M28" s="26"/>
      <c r="N28" s="26"/>
      <c r="V28" s="2"/>
      <c r="W28" s="2"/>
      <c r="Z28" s="52" t="s">
        <v>45</v>
      </c>
      <c r="AA28" s="53">
        <f>EXP(AA27)-1</f>
        <v>0.70047315928970222</v>
      </c>
    </row>
    <row r="29" spans="1:29">
      <c r="I29" s="26"/>
      <c r="J29" s="26"/>
      <c r="K29" s="26"/>
      <c r="L29" s="26"/>
      <c r="M29" s="26"/>
      <c r="N29" s="26"/>
      <c r="V29" s="2"/>
      <c r="W29" s="2"/>
      <c r="AA29" s="26"/>
    </row>
    <row r="30" spans="1:29">
      <c r="V30" s="2"/>
      <c r="Z30"/>
    </row>
    <row r="31" spans="1:29">
      <c r="V31" s="2"/>
      <c r="Z31" s="54" t="s">
        <v>4</v>
      </c>
      <c r="AA31" s="55">
        <f>(AA28-V24)/AA24</f>
        <v>4.5974178260327809</v>
      </c>
    </row>
    <row r="32" spans="1:29">
      <c r="Z32"/>
    </row>
    <row r="33" spans="24:27">
      <c r="X33"/>
      <c r="Y33"/>
      <c r="Z33" s="59" t="s">
        <v>11</v>
      </c>
      <c r="AA33" s="60">
        <f>AA28-AA24</f>
        <v>0.54891565774084605</v>
      </c>
    </row>
    <row r="34" spans="24:27">
      <c r="X34"/>
      <c r="Y34"/>
      <c r="Z34" s="59" t="s">
        <v>7</v>
      </c>
      <c r="AA34" s="61">
        <f>AA19*AA33</f>
        <v>0</v>
      </c>
    </row>
    <row r="35" spans="24:27">
      <c r="X35"/>
      <c r="Y35"/>
      <c r="Z35" s="59"/>
      <c r="AA35" s="59"/>
    </row>
    <row r="36" spans="24:27">
      <c r="X36"/>
      <c r="Y36"/>
      <c r="Z36" s="59" t="s">
        <v>6</v>
      </c>
      <c r="AA36" s="60">
        <f>AA28-AA24*2</f>
        <v>0.39735815619198989</v>
      </c>
    </row>
    <row r="37" spans="24:27">
      <c r="X37"/>
      <c r="Y37"/>
      <c r="Z37" s="59" t="s">
        <v>7</v>
      </c>
      <c r="AA37" s="61">
        <f>AA19*AA36</f>
        <v>0</v>
      </c>
    </row>
    <row r="38" spans="24:27">
      <c r="X38" s="2"/>
      <c r="Y38" s="2"/>
      <c r="Z38" s="2"/>
    </row>
    <row r="39" spans="24:27">
      <c r="X39" s="2"/>
      <c r="Y39" s="2"/>
      <c r="Z39" s="2"/>
    </row>
    <row r="40" spans="24:27">
      <c r="X40" s="2"/>
      <c r="Y40" s="2"/>
      <c r="Z40" s="2"/>
    </row>
    <row r="41" spans="24:27">
      <c r="Z41" s="2"/>
    </row>
    <row r="42" spans="24:27">
      <c r="Z42" s="2"/>
    </row>
  </sheetData>
  <mergeCells count="3">
    <mergeCell ref="O2:T2"/>
    <mergeCell ref="U2:AA2"/>
    <mergeCell ref="A2:N2"/>
  </mergeCells>
  <phoneticPr fontId="2" type="noConversion"/>
  <conditionalFormatting sqref="B4:M15 O4:P15 R4:T15">
    <cfRule type="colorScale" priority="17">
      <colorScale>
        <cfvo type="min"/>
        <cfvo type="max"/>
        <color rgb="FFFCFCFF"/>
        <color rgb="FF63BE7B"/>
      </colorScale>
    </cfRule>
  </conditionalFormatting>
  <conditionalFormatting sqref="N4:N15">
    <cfRule type="colorScale" priority="8">
      <colorScale>
        <cfvo type="min"/>
        <cfvo type="max"/>
        <color rgb="FFFCFCFF"/>
        <color rgb="FF63BE7B"/>
      </colorScale>
    </cfRule>
  </conditionalFormatting>
  <conditionalFormatting sqref="B4:M15">
    <cfRule type="colorScale" priority="9">
      <colorScale>
        <cfvo type="min"/>
        <cfvo type="max"/>
        <color rgb="FFFCFCFF"/>
        <color rgb="FF63BE7B"/>
      </colorScale>
    </cfRule>
  </conditionalFormatting>
  <conditionalFormatting sqref="O4:P15 R4:T15">
    <cfRule type="colorScale" priority="7">
      <colorScale>
        <cfvo type="min"/>
        <cfvo type="max"/>
        <color rgb="FFFCFCFF"/>
        <color rgb="FF63BE7B"/>
      </colorScale>
    </cfRule>
  </conditionalFormatting>
  <conditionalFormatting sqref="P4:P15 R4:R15">
    <cfRule type="colorScale" priority="6">
      <colorScale>
        <cfvo type="min"/>
        <cfvo type="max"/>
        <color rgb="FFFCFCFF"/>
        <color rgb="FFF8696B"/>
      </colorScale>
    </cfRule>
  </conditionalFormatting>
  <conditionalFormatting sqref="P4:P15">
    <cfRule type="colorScale" priority="2">
      <colorScale>
        <cfvo type="min"/>
        <cfvo type="max"/>
        <color rgb="FFFCFCFF"/>
        <color rgb="FF63BE7B"/>
      </colorScale>
    </cfRule>
  </conditionalFormatting>
  <conditionalFormatting sqref="B20:M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{EC85056C-7095-4668-A4E7-4F7B7E1DCCAA}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85056C-7095-4668-A4E7-4F7B7E1DCC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B20:M20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3A688-F4C3-48CB-9A40-142F491BD49B}">
  <dimension ref="A1:P16"/>
  <sheetViews>
    <sheetView topLeftCell="B1" workbookViewId="0">
      <selection activeCell="E22" sqref="E22"/>
    </sheetView>
  </sheetViews>
  <sheetFormatPr defaultRowHeight="14.5"/>
  <cols>
    <col min="1" max="1" width="8.7265625" style="26"/>
    <col min="2" max="2" width="11.26953125" customWidth="1"/>
    <col min="15" max="15" width="8.7265625" style="29"/>
    <col min="16" max="16" width="13.81640625" bestFit="1" customWidth="1"/>
  </cols>
  <sheetData>
    <row r="1" spans="1:16" s="26" customFormat="1">
      <c r="A1" s="4" t="s">
        <v>10</v>
      </c>
      <c r="B1" s="5">
        <v>40179</v>
      </c>
      <c r="O1" s="29"/>
    </row>
    <row r="2" spans="1:16">
      <c r="A2" s="26" t="s">
        <v>1</v>
      </c>
      <c r="B2" s="26" t="s">
        <v>0</v>
      </c>
      <c r="C2" s="25" t="s">
        <v>13</v>
      </c>
      <c r="D2" s="25" t="s">
        <v>14</v>
      </c>
      <c r="E2" s="25" t="s">
        <v>17</v>
      </c>
      <c r="F2" s="25" t="s">
        <v>16</v>
      </c>
      <c r="G2" s="25" t="s">
        <v>15</v>
      </c>
      <c r="H2" s="25" t="s">
        <v>20</v>
      </c>
      <c r="I2" s="25" t="s">
        <v>19</v>
      </c>
      <c r="J2" s="25" t="s">
        <v>18</v>
      </c>
      <c r="K2" s="25" t="s">
        <v>23</v>
      </c>
      <c r="L2" s="25" t="s">
        <v>2</v>
      </c>
      <c r="M2" s="25" t="s">
        <v>22</v>
      </c>
      <c r="N2" s="25" t="s">
        <v>21</v>
      </c>
      <c r="P2" s="25"/>
    </row>
    <row r="3" spans="1:16">
      <c r="B3" s="25" t="s">
        <v>13</v>
      </c>
      <c r="C3" s="23">
        <v>1</v>
      </c>
      <c r="D3" s="23">
        <v>-2.7688303569639E-2</v>
      </c>
      <c r="E3" s="23">
        <v>9.3253587434908702E-3</v>
      </c>
      <c r="F3" s="23">
        <v>0.106217084471371</v>
      </c>
      <c r="G3" s="23">
        <v>-4.5096598881649401E-3</v>
      </c>
      <c r="H3" s="23">
        <v>1.3532913006965601E-2</v>
      </c>
      <c r="I3" s="23">
        <v>-1.47220571650908E-3</v>
      </c>
      <c r="J3" s="23">
        <v>-9.7541629337136795E-3</v>
      </c>
      <c r="K3" s="23">
        <v>0.12627012797416101</v>
      </c>
      <c r="L3" s="23">
        <v>5.7053058277800203E-2</v>
      </c>
      <c r="M3" s="23">
        <v>2.0512521484083699E-2</v>
      </c>
      <c r="N3" s="23">
        <v>-8.2543042362767504E-3</v>
      </c>
      <c r="P3" s="25"/>
    </row>
    <row r="4" spans="1:16">
      <c r="B4" s="25" t="s">
        <v>14</v>
      </c>
      <c r="C4" s="23">
        <v>-2.7688303569639E-2</v>
      </c>
      <c r="D4" s="23">
        <v>1</v>
      </c>
      <c r="E4" s="23">
        <v>0.28922858715663202</v>
      </c>
      <c r="F4" s="23">
        <v>0.36202674045233002</v>
      </c>
      <c r="G4" s="23">
        <v>0.14308467565404501</v>
      </c>
      <c r="H4" s="23">
        <v>0.52406835227612802</v>
      </c>
      <c r="I4" s="23">
        <v>0.21229226858844499</v>
      </c>
      <c r="J4" s="23">
        <v>0.116542017222107</v>
      </c>
      <c r="K4" s="23">
        <v>0.113555157502693</v>
      </c>
      <c r="L4" s="23">
        <v>0.16840206267131999</v>
      </c>
      <c r="M4" s="23">
        <v>0.271474152847346</v>
      </c>
      <c r="N4" s="23">
        <v>0.16009209622691001</v>
      </c>
      <c r="P4" s="25"/>
    </row>
    <row r="5" spans="1:16">
      <c r="B5" s="25" t="s">
        <v>17</v>
      </c>
      <c r="C5" s="23">
        <v>9.3253587434908702E-3</v>
      </c>
      <c r="D5" s="23">
        <v>0.28922858715663202</v>
      </c>
      <c r="E5" s="23">
        <v>1</v>
      </c>
      <c r="F5" s="23">
        <v>0.25830065722321999</v>
      </c>
      <c r="G5" s="23">
        <v>0.17361915641053199</v>
      </c>
      <c r="H5" s="23">
        <v>0.67485707578079401</v>
      </c>
      <c r="I5" s="23">
        <v>0.18417275427329299</v>
      </c>
      <c r="J5" s="23">
        <v>0.128015131016291</v>
      </c>
      <c r="K5" s="23">
        <v>0.21791374137028899</v>
      </c>
      <c r="L5" s="23">
        <v>0.18873980324925199</v>
      </c>
      <c r="M5" s="23">
        <v>0.26146882734388199</v>
      </c>
      <c r="N5" s="23">
        <v>0.19602730091860601</v>
      </c>
      <c r="P5" s="25"/>
    </row>
    <row r="6" spans="1:16">
      <c r="B6" s="25" t="s">
        <v>16</v>
      </c>
      <c r="C6" s="23">
        <v>0.106217084471371</v>
      </c>
      <c r="D6" s="23">
        <v>0.36202674045233002</v>
      </c>
      <c r="E6" s="23">
        <v>0.25830065722321999</v>
      </c>
      <c r="F6" s="23">
        <v>1</v>
      </c>
      <c r="G6" s="23">
        <v>0.166267159258912</v>
      </c>
      <c r="H6" s="23">
        <v>0.47320384752557898</v>
      </c>
      <c r="I6" s="23">
        <v>0.26335050769072199</v>
      </c>
      <c r="J6" s="23">
        <v>0.22454875943807501</v>
      </c>
      <c r="K6" s="23">
        <v>0.24253145727967501</v>
      </c>
      <c r="L6" s="23">
        <v>0.20487452518167601</v>
      </c>
      <c r="M6" s="23">
        <v>0.29367808223111003</v>
      </c>
      <c r="N6" s="23">
        <v>0.21824337835325999</v>
      </c>
      <c r="P6" s="25"/>
    </row>
    <row r="7" spans="1:16">
      <c r="B7" s="25" t="s">
        <v>15</v>
      </c>
      <c r="C7" s="23">
        <v>-4.5096598881649401E-3</v>
      </c>
      <c r="D7" s="23">
        <v>0.14308467565404501</v>
      </c>
      <c r="E7" s="23">
        <v>0.17361915641053199</v>
      </c>
      <c r="F7" s="23">
        <v>0.166267159258912</v>
      </c>
      <c r="G7" s="23">
        <v>1</v>
      </c>
      <c r="H7" s="23">
        <v>0.18919809110424601</v>
      </c>
      <c r="I7" s="23">
        <v>0.28513542507763801</v>
      </c>
      <c r="J7" s="23">
        <v>0.35788974599715101</v>
      </c>
      <c r="K7" s="23">
        <v>0.33872914086350298</v>
      </c>
      <c r="L7" s="23">
        <v>0.31434505133696</v>
      </c>
      <c r="M7" s="23">
        <v>0.46354654269886603</v>
      </c>
      <c r="N7" s="23">
        <v>0.48120801508920502</v>
      </c>
      <c r="P7" s="25"/>
    </row>
    <row r="8" spans="1:16">
      <c r="B8" s="25" t="s">
        <v>20</v>
      </c>
      <c r="C8" s="23">
        <v>1.3532913006965601E-2</v>
      </c>
      <c r="D8" s="23">
        <v>0.52406835227612802</v>
      </c>
      <c r="E8" s="23">
        <v>0.67485707578079401</v>
      </c>
      <c r="F8" s="23">
        <v>0.47320384752557898</v>
      </c>
      <c r="G8" s="23">
        <v>0.18919809110424601</v>
      </c>
      <c r="H8" s="23">
        <v>1</v>
      </c>
      <c r="I8" s="23">
        <v>0.24175909074177401</v>
      </c>
      <c r="J8" s="23">
        <v>0.102472904364867</v>
      </c>
      <c r="K8" s="23">
        <v>0.134427292144598</v>
      </c>
      <c r="L8" s="23">
        <v>0.20002151332534601</v>
      </c>
      <c r="M8" s="23">
        <v>0.31605986905461397</v>
      </c>
      <c r="N8" s="23">
        <v>0.18399241066616701</v>
      </c>
      <c r="P8" s="25"/>
    </row>
    <row r="9" spans="1:16">
      <c r="B9" s="25" t="s">
        <v>19</v>
      </c>
      <c r="C9" s="23">
        <v>-1.47220571650908E-3</v>
      </c>
      <c r="D9" s="23">
        <v>0.21229226858844499</v>
      </c>
      <c r="E9" s="23">
        <v>0.18417275427329299</v>
      </c>
      <c r="F9" s="23">
        <v>0.26335050769072199</v>
      </c>
      <c r="G9" s="23">
        <v>0.28513542507763801</v>
      </c>
      <c r="H9" s="23">
        <v>0.24175909074177401</v>
      </c>
      <c r="I9" s="23">
        <v>1</v>
      </c>
      <c r="J9" s="23">
        <v>0.35489029933930899</v>
      </c>
      <c r="K9" s="23">
        <v>0.31548830654643101</v>
      </c>
      <c r="L9" s="23">
        <v>0.50831334547978402</v>
      </c>
      <c r="M9" s="23">
        <v>0.48109262126818397</v>
      </c>
      <c r="N9" s="23">
        <v>0.49640785346847199</v>
      </c>
      <c r="P9" s="25"/>
    </row>
    <row r="10" spans="1:16">
      <c r="B10" s="25" t="s">
        <v>18</v>
      </c>
      <c r="C10" s="23">
        <v>-9.7541629337136795E-3</v>
      </c>
      <c r="D10" s="23">
        <v>0.116542017222107</v>
      </c>
      <c r="E10" s="23">
        <v>0.128015131016291</v>
      </c>
      <c r="F10" s="23">
        <v>0.22454875943807501</v>
      </c>
      <c r="G10" s="23">
        <v>0.35788974599715101</v>
      </c>
      <c r="H10" s="23">
        <v>0.102472904364867</v>
      </c>
      <c r="I10" s="23">
        <v>0.35489029933930899</v>
      </c>
      <c r="J10" s="23">
        <v>1</v>
      </c>
      <c r="K10" s="23">
        <v>0.63752414732194895</v>
      </c>
      <c r="L10" s="23">
        <v>0.47661518917871798</v>
      </c>
      <c r="M10" s="23">
        <v>0.60573119067156</v>
      </c>
      <c r="N10" s="23">
        <v>0.81700971606061001</v>
      </c>
      <c r="P10" s="25"/>
    </row>
    <row r="11" spans="1:16">
      <c r="B11" s="25" t="s">
        <v>23</v>
      </c>
      <c r="C11" s="23">
        <v>0.12627012797416101</v>
      </c>
      <c r="D11" s="23">
        <v>0.113555157502693</v>
      </c>
      <c r="E11" s="23">
        <v>0.21791374137028899</v>
      </c>
      <c r="F11" s="23">
        <v>0.24253145727967501</v>
      </c>
      <c r="G11" s="23">
        <v>0.33872914086350298</v>
      </c>
      <c r="H11" s="23">
        <v>0.134427292144598</v>
      </c>
      <c r="I11" s="23">
        <v>0.31548830654643101</v>
      </c>
      <c r="J11" s="23">
        <v>0.63752414732194895</v>
      </c>
      <c r="K11" s="23">
        <v>1</v>
      </c>
      <c r="L11" s="23">
        <v>0.49408999501225698</v>
      </c>
      <c r="M11" s="23">
        <v>0.57417549887744102</v>
      </c>
      <c r="N11" s="23">
        <v>0.745230266767964</v>
      </c>
      <c r="P11" s="25"/>
    </row>
    <row r="12" spans="1:16">
      <c r="B12" s="25" t="s">
        <v>2</v>
      </c>
      <c r="C12" s="23">
        <v>5.7053058277800203E-2</v>
      </c>
      <c r="D12" s="23">
        <v>0.16840206267131999</v>
      </c>
      <c r="E12" s="23">
        <v>0.18873980324925199</v>
      </c>
      <c r="F12" s="23">
        <v>0.20487452518167601</v>
      </c>
      <c r="G12" s="23">
        <v>0.31434505133696</v>
      </c>
      <c r="H12" s="23">
        <v>0.20002151332534601</v>
      </c>
      <c r="I12" s="23">
        <v>0.50831334547978402</v>
      </c>
      <c r="J12" s="23">
        <v>0.47661518917871798</v>
      </c>
      <c r="K12" s="23">
        <v>0.49408999501225698</v>
      </c>
      <c r="L12" s="23">
        <v>1</v>
      </c>
      <c r="M12" s="23">
        <v>0.66137608890817601</v>
      </c>
      <c r="N12" s="23">
        <v>0.72575348203970302</v>
      </c>
      <c r="P12" s="25"/>
    </row>
    <row r="13" spans="1:16">
      <c r="B13" s="25" t="s">
        <v>22</v>
      </c>
      <c r="C13" s="23">
        <v>2.0512521484083699E-2</v>
      </c>
      <c r="D13" s="23">
        <v>0.271474152847346</v>
      </c>
      <c r="E13" s="23">
        <v>0.26146882734388199</v>
      </c>
      <c r="F13" s="23">
        <v>0.29367808223111003</v>
      </c>
      <c r="G13" s="23">
        <v>0.46354654269886603</v>
      </c>
      <c r="H13" s="23">
        <v>0.31605986905461397</v>
      </c>
      <c r="I13" s="23">
        <v>0.48109262126818397</v>
      </c>
      <c r="J13" s="23">
        <v>0.60573119067156</v>
      </c>
      <c r="K13" s="23">
        <v>0.57417549887744102</v>
      </c>
      <c r="L13" s="23">
        <v>0.66137608890817601</v>
      </c>
      <c r="M13" s="23">
        <v>1</v>
      </c>
      <c r="N13" s="23">
        <v>0.754532528778454</v>
      </c>
      <c r="P13" s="25"/>
    </row>
    <row r="14" spans="1:16">
      <c r="B14" s="25" t="s">
        <v>21</v>
      </c>
      <c r="C14" s="23">
        <v>-8.2543042362767504E-3</v>
      </c>
      <c r="D14" s="23">
        <v>0.16009209622691001</v>
      </c>
      <c r="E14" s="23">
        <v>0.19602730091860601</v>
      </c>
      <c r="F14" s="23">
        <v>0.21824337835325999</v>
      </c>
      <c r="G14" s="23">
        <v>0.48120801508920502</v>
      </c>
      <c r="H14" s="23">
        <v>0.18399241066616701</v>
      </c>
      <c r="I14" s="23">
        <v>0.49640785346847199</v>
      </c>
      <c r="J14" s="23">
        <v>0.81700971606061001</v>
      </c>
      <c r="K14" s="23">
        <v>0.745230266767964</v>
      </c>
      <c r="L14" s="23">
        <v>0.72575348203970302</v>
      </c>
      <c r="M14" s="23">
        <v>0.754532528778454</v>
      </c>
      <c r="N14" s="23">
        <v>1</v>
      </c>
      <c r="P14" s="25"/>
    </row>
    <row r="15" spans="1:16" s="25" customFormat="1">
      <c r="A15" s="26"/>
      <c r="O15" s="29"/>
      <c r="P15" s="21" t="s">
        <v>8</v>
      </c>
    </row>
    <row r="16" spans="1:16">
      <c r="C16" s="25">
        <f>SUM(C3:C14) -1</f>
        <v>0.28123242761356892</v>
      </c>
      <c r="D16" s="25">
        <f t="shared" ref="D16:N16" si="0">SUM(D3:D14) -1</f>
        <v>2.3330778070283174</v>
      </c>
      <c r="E16" s="25">
        <f t="shared" si="0"/>
        <v>2.5816683934862823</v>
      </c>
      <c r="F16" s="25">
        <f t="shared" si="0"/>
        <v>2.8132421991059307</v>
      </c>
      <c r="G16" s="25">
        <f t="shared" si="0"/>
        <v>2.9085133436028925</v>
      </c>
      <c r="H16" s="25">
        <f t="shared" si="0"/>
        <v>3.0535933599910789</v>
      </c>
      <c r="I16" s="25">
        <f t="shared" si="0"/>
        <v>3.3414302667575431</v>
      </c>
      <c r="J16" s="25">
        <f t="shared" si="0"/>
        <v>3.8114849376769229</v>
      </c>
      <c r="K16" s="25">
        <f t="shared" si="0"/>
        <v>3.9399351316609597</v>
      </c>
      <c r="L16" s="25">
        <f t="shared" si="0"/>
        <v>3.9995841146609923</v>
      </c>
      <c r="M16" s="25">
        <f t="shared" si="0"/>
        <v>4.7036479241637172</v>
      </c>
      <c r="N16" s="25">
        <f t="shared" si="0"/>
        <v>4.7702427441330748</v>
      </c>
      <c r="P16" s="21">
        <f>SUM(C16:N16)/(POWER(COUNTA(B3:B14),2) - COUNTA(B3:B14))</f>
        <v>0.29195191401425213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9EB24-2681-47A3-B629-E52E99710556}">
  <dimension ref="A1:J19"/>
  <sheetViews>
    <sheetView workbookViewId="0">
      <selection activeCell="H19" sqref="H19"/>
    </sheetView>
  </sheetViews>
  <sheetFormatPr defaultRowHeight="14.5"/>
  <cols>
    <col min="2" max="2" width="22.7265625" bestFit="1" customWidth="1"/>
    <col min="3" max="3" width="18.36328125" customWidth="1"/>
    <col min="4" max="4" width="16" customWidth="1"/>
    <col min="5" max="5" width="16" style="26" customWidth="1"/>
    <col min="8" max="8" width="26.81640625" customWidth="1"/>
    <col min="9" max="9" width="15.26953125" customWidth="1"/>
    <col min="10" max="10" width="10" bestFit="1" customWidth="1"/>
  </cols>
  <sheetData>
    <row r="1" spans="1:10" s="29" customFormat="1">
      <c r="A1" s="4" t="s">
        <v>10</v>
      </c>
      <c r="B1" s="5">
        <v>44287</v>
      </c>
      <c r="G1" s="4" t="s">
        <v>10</v>
      </c>
      <c r="H1" s="5">
        <v>40179</v>
      </c>
    </row>
    <row r="2" spans="1:10">
      <c r="B2" s="26" t="s">
        <v>25</v>
      </c>
      <c r="C2" s="23" t="s">
        <v>35</v>
      </c>
      <c r="D2" t="s">
        <v>37</v>
      </c>
      <c r="E2" s="26" t="s">
        <v>34</v>
      </c>
      <c r="H2" s="26" t="s">
        <v>26</v>
      </c>
      <c r="I2" s="23" t="s">
        <v>36</v>
      </c>
      <c r="J2" s="26" t="s">
        <v>37</v>
      </c>
    </row>
    <row r="3" spans="1:10">
      <c r="A3" s="26" t="s">
        <v>2</v>
      </c>
      <c r="B3" s="30">
        <v>-1.7073144935628201E-3</v>
      </c>
      <c r="C3" s="49">
        <f>B3*252</f>
        <v>-0.43024325237783068</v>
      </c>
      <c r="D3" s="2">
        <f>EXP(C3)-1</f>
        <v>-0.34964912391646508</v>
      </c>
      <c r="E3" s="2"/>
      <c r="G3" s="26" t="s">
        <v>15</v>
      </c>
      <c r="H3" s="26">
        <v>1.0774020686448401E-4</v>
      </c>
      <c r="I3" s="23">
        <f>SQRT(H3*252)</f>
        <v>0.16477418526531992</v>
      </c>
      <c r="J3" s="2">
        <f>EXP(I3)-1</f>
        <v>0.17912682443492245</v>
      </c>
    </row>
    <row r="4" spans="1:10">
      <c r="A4" s="26" t="s">
        <v>22</v>
      </c>
      <c r="B4" s="26">
        <v>-6.5155849849780705E-4</v>
      </c>
      <c r="C4" s="49">
        <f t="shared" ref="C4:C14" si="0">B4*252</f>
        <v>-0.16419274162144737</v>
      </c>
      <c r="D4" s="2">
        <f t="shared" ref="D4:D14" si="1">EXP(C4)-1</f>
        <v>-0.15142155026919391</v>
      </c>
      <c r="E4" s="2"/>
      <c r="G4" s="26" t="s">
        <v>14</v>
      </c>
      <c r="H4" s="26">
        <v>2.48362864626651E-4</v>
      </c>
      <c r="I4" s="23">
        <f t="shared" ref="I4:I14" si="2">SQRT(H4*252)</f>
        <v>0.25017482264591706</v>
      </c>
      <c r="J4" s="2">
        <f t="shared" ref="J4:J14" si="3">EXP(I4)-1</f>
        <v>0.28424991303146219</v>
      </c>
    </row>
    <row r="5" spans="1:10">
      <c r="A5" s="26" t="s">
        <v>15</v>
      </c>
      <c r="B5" s="26">
        <v>2.25291763749278E-3</v>
      </c>
      <c r="C5" s="49">
        <f t="shared" si="0"/>
        <v>0.56773524464818059</v>
      </c>
      <c r="D5" s="2">
        <f t="shared" si="1"/>
        <v>0.76426689056819308</v>
      </c>
      <c r="E5" s="2"/>
      <c r="G5" s="26" t="s">
        <v>18</v>
      </c>
      <c r="H5" s="26">
        <v>1.6207083944590799E-4</v>
      </c>
      <c r="I5" s="23">
        <f t="shared" si="2"/>
        <v>0.20209367021351465</v>
      </c>
      <c r="J5" s="2">
        <f t="shared" si="3"/>
        <v>0.22396265158484296</v>
      </c>
    </row>
    <row r="6" spans="1:10">
      <c r="A6" s="26" t="s">
        <v>13</v>
      </c>
      <c r="B6" s="26">
        <v>-6.1995054629184702E-4</v>
      </c>
      <c r="C6" s="49">
        <f t="shared" si="0"/>
        <v>-0.15622753766554545</v>
      </c>
      <c r="D6" s="2">
        <f t="shared" si="1"/>
        <v>-0.14463545942397471</v>
      </c>
      <c r="E6" s="2"/>
      <c r="G6" s="26" t="s">
        <v>22</v>
      </c>
      <c r="H6" s="26">
        <v>2.8564769536592498E-4</v>
      </c>
      <c r="I6" s="23">
        <f t="shared" si="2"/>
        <v>0.26829688636324706</v>
      </c>
      <c r="J6" s="2">
        <f t="shared" si="3"/>
        <v>0.30773533117431606</v>
      </c>
    </row>
    <row r="7" spans="1:10">
      <c r="A7" s="26" t="s">
        <v>20</v>
      </c>
      <c r="B7" s="26">
        <v>3.4969623561309802E-4</v>
      </c>
      <c r="C7" s="49">
        <f t="shared" si="0"/>
        <v>8.81234513745007E-2</v>
      </c>
      <c r="D7" s="2">
        <f t="shared" si="1"/>
        <v>9.2122937784224312E-2</v>
      </c>
      <c r="E7" s="2"/>
      <c r="G7" s="26" t="s">
        <v>23</v>
      </c>
      <c r="H7" s="26">
        <v>1.4779642758330999E-4</v>
      </c>
      <c r="I7" s="23">
        <f t="shared" si="2"/>
        <v>0.19298885913698263</v>
      </c>
      <c r="J7" s="2">
        <f t="shared" si="3"/>
        <v>0.21286928103333125</v>
      </c>
    </row>
    <row r="8" spans="1:10">
      <c r="A8" s="26" t="s">
        <v>21</v>
      </c>
      <c r="B8" s="26">
        <v>1.26225403528745E-3</v>
      </c>
      <c r="C8" s="49">
        <f t="shared" si="0"/>
        <v>0.31808801689243743</v>
      </c>
      <c r="D8" s="2">
        <f t="shared" si="1"/>
        <v>0.37449723487889863</v>
      </c>
      <c r="E8" s="2"/>
      <c r="G8" s="26" t="s">
        <v>16</v>
      </c>
      <c r="H8" s="26">
        <v>6.3977845110191897E-4</v>
      </c>
      <c r="I8" s="23">
        <f t="shared" si="2"/>
        <v>0.40152729630460193</v>
      </c>
      <c r="J8" s="2">
        <f t="shared" si="3"/>
        <v>0.4941048968157391</v>
      </c>
    </row>
    <row r="9" spans="1:10">
      <c r="A9" s="26" t="s">
        <v>14</v>
      </c>
      <c r="B9" s="26">
        <v>-9.4076153564245601E-5</v>
      </c>
      <c r="C9" s="49">
        <f t="shared" si="0"/>
        <v>-2.3707190698189891E-2</v>
      </c>
      <c r="D9" s="2">
        <f t="shared" si="1"/>
        <v>-2.3428382848919904E-2</v>
      </c>
      <c r="E9" s="2"/>
      <c r="G9" s="26" t="s">
        <v>17</v>
      </c>
      <c r="H9" s="26">
        <v>2.16775031621354E-4</v>
      </c>
      <c r="I9" s="23">
        <f t="shared" si="2"/>
        <v>0.23372485526486311</v>
      </c>
      <c r="J9" s="2">
        <f t="shared" si="3"/>
        <v>0.26329685490614185</v>
      </c>
    </row>
    <row r="10" spans="1:10">
      <c r="A10" s="26" t="s">
        <v>17</v>
      </c>
      <c r="B10" s="26">
        <v>1.0961729021322099E-3</v>
      </c>
      <c r="C10" s="49">
        <f t="shared" si="0"/>
        <v>0.27623557133731691</v>
      </c>
      <c r="D10" s="2">
        <f t="shared" si="1"/>
        <v>0.31815834778011309</v>
      </c>
      <c r="E10" s="2"/>
      <c r="G10" s="26" t="s">
        <v>13</v>
      </c>
      <c r="H10" s="26">
        <v>8.1293193247020893E-3</v>
      </c>
      <c r="I10" s="23">
        <f t="shared" si="2"/>
        <v>1.4312890937280722</v>
      </c>
      <c r="J10" s="2">
        <f t="shared" si="3"/>
        <v>3.1840894003385483</v>
      </c>
    </row>
    <row r="11" spans="1:10">
      <c r="A11" s="26" t="s">
        <v>16</v>
      </c>
      <c r="B11" s="26">
        <v>-8.8106183851979802E-4</v>
      </c>
      <c r="C11" s="49">
        <f t="shared" si="0"/>
        <v>-0.2220275833069891</v>
      </c>
      <c r="D11" s="2">
        <f t="shared" si="1"/>
        <v>-0.19910672725502665</v>
      </c>
      <c r="E11" s="2"/>
      <c r="G11" s="26" t="s">
        <v>2</v>
      </c>
      <c r="H11" s="26">
        <v>3.7847374776653098E-4</v>
      </c>
      <c r="I11" s="23">
        <f t="shared" si="2"/>
        <v>0.30882905374521646</v>
      </c>
      <c r="J11" s="2">
        <f t="shared" si="3"/>
        <v>0.36182955094278579</v>
      </c>
    </row>
    <row r="12" spans="1:10">
      <c r="A12" s="26" t="s">
        <v>18</v>
      </c>
      <c r="B12" s="30">
        <v>2.4035406876987899E-3</v>
      </c>
      <c r="C12" s="49">
        <f t="shared" si="0"/>
        <v>0.60569225330009502</v>
      </c>
      <c r="D12" s="2">
        <f t="shared" si="1"/>
        <v>0.83252033815337367</v>
      </c>
      <c r="E12" s="2"/>
      <c r="G12" s="26" t="s">
        <v>20</v>
      </c>
      <c r="H12" s="26">
        <v>1.44599007828265E-4</v>
      </c>
      <c r="I12" s="23">
        <f t="shared" si="2"/>
        <v>0.19088988965558856</v>
      </c>
      <c r="J12" s="2">
        <f t="shared" si="3"/>
        <v>0.21032617531184483</v>
      </c>
    </row>
    <row r="13" spans="1:10">
      <c r="A13" s="26" t="s">
        <v>23</v>
      </c>
      <c r="B13" s="26">
        <v>1.6883603648553301E-3</v>
      </c>
      <c r="C13" s="49">
        <f t="shared" si="0"/>
        <v>0.42546681194354319</v>
      </c>
      <c r="D13" s="2">
        <f t="shared" si="1"/>
        <v>0.53030461742505985</v>
      </c>
      <c r="E13" s="2"/>
      <c r="G13" s="26" t="s">
        <v>21</v>
      </c>
      <c r="H13" s="26">
        <v>1.1788296477024899E-4</v>
      </c>
      <c r="I13" s="23">
        <f t="shared" si="2"/>
        <v>0.17235575743822062</v>
      </c>
      <c r="J13" s="2">
        <f t="shared" si="3"/>
        <v>0.18810043360444051</v>
      </c>
    </row>
    <row r="14" spans="1:10">
      <c r="A14" s="26" t="s">
        <v>19</v>
      </c>
      <c r="B14" s="26">
        <v>-1.4002913202535499E-3</v>
      </c>
      <c r="C14" s="49">
        <f t="shared" si="0"/>
        <v>-0.35287341270389461</v>
      </c>
      <c r="D14" s="2">
        <f t="shared" si="1"/>
        <v>-0.2973338636461369</v>
      </c>
      <c r="E14" s="2"/>
      <c r="G14" s="26" t="s">
        <v>19</v>
      </c>
      <c r="H14" s="26">
        <v>6.4969884231822405E-4</v>
      </c>
      <c r="I14" s="23">
        <f t="shared" si="2"/>
        <v>0.40462835820564091</v>
      </c>
      <c r="J14" s="2">
        <f t="shared" si="3"/>
        <v>0.49874540011258217</v>
      </c>
    </row>
    <row r="16" spans="1:10">
      <c r="A16" s="29"/>
      <c r="B16" s="29"/>
      <c r="H16" s="21" t="s">
        <v>27</v>
      </c>
    </row>
    <row r="17" spans="8:8">
      <c r="H17" s="31">
        <f>SQRT(AVERAGE(H2:H14)*252)</f>
        <v>0.48558320963959734</v>
      </c>
    </row>
    <row r="18" spans="8:8">
      <c r="H18" s="4" t="s">
        <v>9</v>
      </c>
    </row>
    <row r="19" spans="8:8">
      <c r="H19" s="19">
        <f>EXP(H17*SQRT(correlation!$P$16))-1</f>
        <v>0.30001150053381931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3E674-2676-4C42-9716-03462752E3D4}">
  <dimension ref="A1:D14"/>
  <sheetViews>
    <sheetView workbookViewId="0">
      <selection activeCell="A2" sqref="A2:XFD2"/>
    </sheetView>
  </sheetViews>
  <sheetFormatPr defaultRowHeight="14.5"/>
  <sheetData>
    <row r="1" spans="1:4" s="29" customFormat="1">
      <c r="A1" s="4" t="s">
        <v>10</v>
      </c>
      <c r="B1" s="5">
        <v>40179</v>
      </c>
    </row>
    <row r="2" spans="1:4">
      <c r="A2" s="25"/>
      <c r="B2" s="25" t="s">
        <v>21</v>
      </c>
      <c r="C2" s="25" t="s">
        <v>14</v>
      </c>
      <c r="D2" s="25" t="s">
        <v>20</v>
      </c>
    </row>
    <row r="3" spans="1:4">
      <c r="A3" s="25" t="s">
        <v>13</v>
      </c>
      <c r="B3" s="23">
        <v>8.8363619154022896E-2</v>
      </c>
      <c r="C3" s="23">
        <v>-0.151491364153789</v>
      </c>
      <c r="D3" s="23">
        <v>0.13358183339340399</v>
      </c>
    </row>
    <row r="4" spans="1:4">
      <c r="A4" s="25" t="s">
        <v>21</v>
      </c>
      <c r="B4" s="23">
        <v>1</v>
      </c>
      <c r="C4" s="23">
        <v>9.81486299491766E-2</v>
      </c>
      <c r="D4" s="23">
        <v>0.17409503885588601</v>
      </c>
    </row>
    <row r="5" spans="1:4">
      <c r="A5" s="25" t="s">
        <v>14</v>
      </c>
      <c r="B5" s="23">
        <v>0.15743642273504599</v>
      </c>
      <c r="C5" s="23">
        <v>1</v>
      </c>
      <c r="D5" s="23">
        <v>0.48734204708203599</v>
      </c>
    </row>
    <row r="6" spans="1:4">
      <c r="A6" s="25" t="s">
        <v>20</v>
      </c>
      <c r="B6" s="23">
        <v>0.211951644728336</v>
      </c>
      <c r="C6" s="23">
        <v>0.36988209384246601</v>
      </c>
      <c r="D6" s="23">
        <v>1</v>
      </c>
    </row>
    <row r="7" spans="1:4">
      <c r="A7" s="25" t="s">
        <v>22</v>
      </c>
      <c r="B7" s="23">
        <v>1.1032598491710599</v>
      </c>
      <c r="C7" s="23">
        <v>0.25907056004447199</v>
      </c>
      <c r="D7" s="23">
        <v>0.42765626494898001</v>
      </c>
    </row>
    <row r="8" spans="1:4">
      <c r="A8" s="25" t="s">
        <v>15</v>
      </c>
      <c r="B8" s="23">
        <v>0.45307655490166998</v>
      </c>
      <c r="C8" s="23">
        <v>8.1742052260978207E-2</v>
      </c>
      <c r="D8" s="23">
        <v>0.15913902386590301</v>
      </c>
    </row>
    <row r="9" spans="1:4">
      <c r="A9" s="25" t="s">
        <v>18</v>
      </c>
      <c r="B9" s="23">
        <v>0.95985998793451</v>
      </c>
      <c r="C9" s="23">
        <v>7.4880454613250602E-2</v>
      </c>
      <c r="D9" s="23">
        <v>0.10848484650859901</v>
      </c>
    </row>
    <row r="10" spans="1:4">
      <c r="A10" s="25" t="s">
        <v>23</v>
      </c>
      <c r="B10" s="23">
        <v>0.524043493240686</v>
      </c>
      <c r="C10" s="23">
        <v>6.9683598711698796E-2</v>
      </c>
      <c r="D10" s="23">
        <v>9.0560101553886593E-2</v>
      </c>
    </row>
    <row r="11" spans="1:4">
      <c r="A11" s="25" t="s">
        <v>19</v>
      </c>
      <c r="B11" s="23">
        <v>1.1676715478264199</v>
      </c>
      <c r="C11" s="23">
        <v>0.30654108719175799</v>
      </c>
      <c r="D11" s="23">
        <v>0.51567664526228796</v>
      </c>
    </row>
    <row r="12" spans="1:4">
      <c r="A12" s="25" t="s">
        <v>2</v>
      </c>
      <c r="B12" s="23">
        <v>0.77046775743178997</v>
      </c>
      <c r="C12" s="23">
        <v>0.15876100440722901</v>
      </c>
      <c r="D12" s="23">
        <v>0.18695250035945399</v>
      </c>
    </row>
    <row r="13" spans="1:4">
      <c r="A13" s="25" t="s">
        <v>17</v>
      </c>
      <c r="B13" s="23">
        <v>0.27083084484242498</v>
      </c>
      <c r="C13" s="23">
        <v>0.24531328073466099</v>
      </c>
      <c r="D13" s="23">
        <v>0.82233353607652304</v>
      </c>
    </row>
    <row r="14" spans="1:4">
      <c r="A14" s="25" t="s">
        <v>16</v>
      </c>
      <c r="B14" s="23">
        <v>0.107490055967637</v>
      </c>
      <c r="C14" s="23">
        <v>7.8730227643679707E-2</v>
      </c>
      <c r="D14" s="23">
        <v>0.15387059728765001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4D10-C373-4AD6-9DE4-692C5C1C7AC1}">
  <dimension ref="A1:B13"/>
  <sheetViews>
    <sheetView tabSelected="1" workbookViewId="0">
      <selection activeCell="F12" sqref="F12"/>
    </sheetView>
  </sheetViews>
  <sheetFormatPr defaultRowHeight="14.5"/>
  <cols>
    <col min="2" max="2" width="11.81640625" bestFit="1" customWidth="1"/>
  </cols>
  <sheetData>
    <row r="1" spans="1:2">
      <c r="A1" s="4" t="s">
        <v>10</v>
      </c>
      <c r="B1" s="5">
        <v>44197</v>
      </c>
    </row>
    <row r="2" spans="1:2">
      <c r="A2" s="26" t="s">
        <v>18</v>
      </c>
      <c r="B2" s="23">
        <v>0.37639471300157801</v>
      </c>
    </row>
    <row r="3" spans="1:2">
      <c r="A3" s="26" t="s">
        <v>22</v>
      </c>
      <c r="B3" s="23">
        <v>0</v>
      </c>
    </row>
    <row r="4" spans="1:2">
      <c r="A4" s="26" t="s">
        <v>2</v>
      </c>
      <c r="B4" s="23">
        <v>0</v>
      </c>
    </row>
    <row r="5" spans="1:2">
      <c r="A5" s="26" t="s">
        <v>19</v>
      </c>
      <c r="B5" s="23">
        <v>0</v>
      </c>
    </row>
    <row r="6" spans="1:2">
      <c r="A6" s="26" t="s">
        <v>15</v>
      </c>
      <c r="B6" s="23">
        <v>0.35648312666953402</v>
      </c>
    </row>
    <row r="7" spans="1:2">
      <c r="A7" s="26" t="s">
        <v>23</v>
      </c>
      <c r="B7" s="23">
        <v>0.17925537350522699</v>
      </c>
    </row>
    <row r="8" spans="1:2">
      <c r="A8" s="26" t="s">
        <v>16</v>
      </c>
      <c r="B8" s="23">
        <v>0</v>
      </c>
    </row>
    <row r="9" spans="1:2">
      <c r="A9" s="26" t="s">
        <v>17</v>
      </c>
      <c r="B9" s="23">
        <v>8.78667868240567E-2</v>
      </c>
    </row>
    <row r="10" spans="1:2">
      <c r="A10" s="26" t="s">
        <v>13</v>
      </c>
      <c r="B10" s="23">
        <v>0</v>
      </c>
    </row>
    <row r="11" spans="1:2">
      <c r="A11" s="26" t="s">
        <v>21</v>
      </c>
      <c r="B11" s="49">
        <v>1.22312709548329E-14</v>
      </c>
    </row>
    <row r="12" spans="1:2">
      <c r="A12" s="26" t="s">
        <v>20</v>
      </c>
      <c r="B12" s="49">
        <v>7.8797781017173003E-16</v>
      </c>
    </row>
    <row r="13" spans="1:2">
      <c r="A13" s="26" t="s">
        <v>14</v>
      </c>
      <c r="B13" s="2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U 9 7 l G L E A A A D 5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7 f Q M z U 3 M d A z s T C 0 0 Y c J 2 / h m 5 i G U G A G d r G d g o 4 8 k a O N c m l N S W p R q V 5 W h 6 + F t o w / j 2 u h D f W E H A A A A / / 8 D A F B L A w Q U A A I A C A A A A C E A p V 1 U 5 H w B A A A e B w A A E w A A A E Z v c m 1 1 b G F z L 1 N l Y 3 R p b 2 4 x L m 3 s k 8 t O g 0 A U h v c k v M N k u o G E k N 4 T N S w M 1 e h C o 6 G 7 1 s U I p 5 R k m C F z a U q a v r u D F I v a q L H u K h v g / + D M 4 T u D h F h l n K G o P v c u b M u 2 5 J I I S F A h e K J r H C A K y r a Q O S K u R Q w m C e X K n / B Y 5 8 C U c 5 1 R 8 E P O l L m R D g 7 P 5 3 e l g f N F x g i L Y b 6 v 5 a u 1 w q 4 3 m w D N 8 k y B C L C H P R R y q n M m g 4 G H r l j M k 4 y l w d m o 6 6 F H z R V E q q Q Q 7 C / 9 e 8 7 g y f X q l j o 4 X B K W m p a n Z Q H Y 9 D Y l z + a h q S B M L r j I 6 + I V l E 7 d v 7 f Z 4 D r t m c W V I U j B W m 0 9 1 O R 9 k 9 8 y N R 7 6 1 X s t M H g P t q 5 t Z e x g I 2 2 Z H d z S 6 f R d / O / 0 a K e J + d w V i P J 4 l U 2 l k 9 2 c b y r / Z m u e u E 8 B q f k r C T 1 e Z F P p G 5 H D l s j x q N v t / V D l g + C 5 Y Q m 6 A Z K A k H u d O 7 L L G 5 F o t s s v K Y 1 i Q o m Q g R L 6 l 9 M 5 s H 4 1 K q k I S 4 g w G q t K q K B a f h o b 5 S y t e Y O Y z p 9 B v M I C R L V U J f A A / R B 9 N d I X A A A A / / 8 D A F B L A Q I t A B Q A B g A I A A A A I Q A q 3 a p A 0 g A A A D c B A A A T A A A A A A A A A A A A A A A A A A A A A A B b Q 2 9 u d G V u d F 9 U e X B l c 1 0 u e G 1 s U E s B A i 0 A F A A C A A g A A A A h A F P e 5 R i x A A A A + Q A A A B I A A A A A A A A A A A A A A A A A C w M A A E N v b m Z p Z y 9 Q Y W N r Y W d l L n h t b F B L A Q I t A B Q A A g A I A A A A I Q C l X V T k f A E A A B 4 H A A A T A A A A A A A A A A A A A A A A A O w D A A B G b 3 J t d W x h c y 9 T Z W N 0 a W 9 u M S 5 t U E s F B g A A A A A D A A M A w g A A A J k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J w A A A A A A A O A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H J v Z H V j d G l v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A 5 L T M w V D A y O j U 0 O j Q 1 L j A 5 N j Y z M T F a I i 8 + P E V u d H J 5 I F R 5 c G U 9 I k Z p b G x D b 2 x 1 b W 5 U e X B l c y I g V m F s d W U 9 I n N C Z 0 1 E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a W 9 u L 0 N o Y W 5 n Z W Q g V H l w Z S 5 7 Q 2 9 s d W 1 u M S w w f S Z x d W 9 0 O y w m c X V v d D t T Z W N 0 a W 9 u M S 9 w c m 9 k d W N 0 a W 9 u L 0 N o Y W 5 n Z W Q g V H l w Z S 5 7 Q 2 9 s d W 1 u M i w x f S Z x d W 9 0 O y w m c X V v d D t T Z W N 0 a W 9 u M S 9 w c m 9 k d W N 0 a W 9 u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k d W N 0 a W 9 u L 0 N o Y W 5 n Z W Q g V H l w Z S 5 7 Q 2 9 s d W 1 u M S w w f S Z x d W 9 0 O y w m c X V v d D t T Z W N 0 a W 9 u M S 9 w c m 9 k d W N 0 a W 9 u L 0 N o Y W 5 n Z W Q g V H l w Z S 5 7 Q 2 9 s d W 1 u M i w x f S Z x d W 9 0 O y w m c X V v d D t T Z W N 0 a W 9 u M S 9 w c m 9 k d W N 0 a W 9 u L 0 N o Y W 5 n Z W Q g V H l w Z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H J v Z H V j d G l v b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A 5 L T M w V D A y O j U 0 O j Q 1 L j A 5 N j Y z M T F a I i 8 + P E V u d H J 5 I F R 5 c G U 9 I k Z p b G x D b 2 x 1 b W 5 U e X B l c y I g V m F s d W U 9 I n N C Z 0 1 E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a W 9 u L 0 N o Y W 5 n Z W Q g V H l w Z S 5 7 Q 2 9 s d W 1 u M S w w f S Z x d W 9 0 O y w m c X V v d D t T Z W N 0 a W 9 u M S 9 w c m 9 k d W N 0 a W 9 u L 0 N o Y W 5 n Z W Q g V H l w Z S 5 7 Q 2 9 s d W 1 u M i w x f S Z x d W 9 0 O y w m c X V v d D t T Z W N 0 a W 9 u M S 9 w c m 9 k d W N 0 a W 9 u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k d W N 0 a W 9 u L 0 N o Y W 5 n Z W Q g V H l w Z S 5 7 Q 2 9 s d W 1 u M S w w f S Z x d W 9 0 O y w m c X V v d D t T Z W N 0 a W 9 u M S 9 w c m 9 k d W N 0 a W 9 u L 0 N o Y W 5 n Z W Q g V H l w Z S 5 7 Q 2 9 s d W 1 u M i w x f S Z x d W 9 0 O y w m c X V v d D t T Z W N 0 a W 9 u M S 9 w c m 9 k d W N 0 a W 9 u L 0 N o Y W 5 n Z W Q g V H l w Z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R l b G l 2 Z X J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D k t M z B U M D M 6 M z U 6 N T M u N z Q 2 N j M x M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b G l 2 Z X J 5 L 0 N o Y W 5 n Z W Q g V H l w Z S 5 7 Q 2 9 s d W 1 u M S w w f S Z x d W 9 0 O y w m c X V v d D t T Z W N 0 a W 9 u M S 9 k Z W x p d m V y e S 9 D a G F u Z 2 V k I F R 5 c G U u e 0 N v b H V t b j I s M X 0 m c X V v d D s s J n F 1 b 3 Q 7 U 2 V j d G l v b j E v Z G V s a X Z l c n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l b G l 2 Z X J 5 L 0 N o Y W 5 n Z W Q g V H l w Z S 5 7 Q 2 9 s d W 1 u M S w w f S Z x d W 9 0 O y w m c X V v d D t T Z W N 0 a W 9 u M S 9 k Z W x p d m V y e S 9 D a G F u Z 2 V k I F R 5 c G U u e 0 N v b H V t b j I s M X 0 m c X V v d D s s J n F 1 b 3 Q 7 U 2 V j d G l v b j E v Z G V s a X Z l c n k v Q 2 h h b m d l Z C B U e X B l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Z W x p d m V y e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A 5 L T M w V D A z O j M 1 O j U z L j c 0 N j Y z M T F a I i 8 + P E V u d H J 5 I F R 5 c G U 9 I k Z p b G x D b 2 x 1 b W 5 U e X B l c y I g V m F s d W U 9 I n N C Z 0 1 E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x p d m V y e S 9 D a G F u Z 2 V k I F R 5 c G U u e 0 N v b H V t b j E s M H 0 m c X V v d D s s J n F 1 b 3 Q 7 U 2 V j d G l v b j E v Z G V s a X Z l c n k v Q 2 h h b m d l Z C B U e X B l L n t D b 2 x 1 b W 4 y L D F 9 J n F 1 b 3 Q 7 L C Z x d W 9 0 O 1 N l Y 3 R p b 2 4 x L 2 R l b G l 2 Z X J 5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Z W x p d m V y e S 9 D a G F u Z 2 V k I F R 5 c G U u e 0 N v b H V t b j E s M H 0 m c X V v d D s s J n F 1 b 3 Q 7 U 2 V j d G l v b j E v Z G V s a X Z l c n k v Q 2 h h b m d l Z C B U e X B l L n t D b 2 x 1 b W 4 y L D F 9 J n F 1 b 3 Q 7 L C Z x d W 9 0 O 1 N l Y 3 R p b 2 4 x L 2 R l b G l 2 Z X J 5 L 0 N o Y W 5 n Z W Q g V H l w Z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l Z 2 l v b m F s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T A t M D V U M D Y 6 M j Y 6 M D M u M j I 5 M D A w M F o i L z 4 8 R W 5 0 c n k g V H l w Z T 0 i R m l s b E N v b H V t b l R 5 c G V z I i B W Y W x 1 Z T 0 i c 0 J n V U Z C U T 0 9 I i 8 + P E V u d H J 5 I F R 5 c G U 9 I k Z p b G x D b 2 x 1 b W 5 O Y W 1 l c y I g V m F s d W U 9 I n N b J n F 1 b 3 Q 7 c 3 R h b m R h c m Q g c m F u Z 2 U g c G x 1 c y Z x d W 9 0 O y w m c X V v d D t s b 2 5 n I H J h b m d l J n F 1 b 3 Q 7 L C Z x d W 9 0 O 3 B l c m Z v c m 1 h b m N l J n F 1 b 3 Q 7 L C Z x d W 9 0 O 0 N v b H V t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d p b 2 5 h b C 9 D a G F u Z 2 V k I F R 5 c G U u e 3 N 0 Y W 5 k Y X J k I H J h b m d l I H B s d X M s M H 0 m c X V v d D s s J n F 1 b 3 Q 7 U 2 V j d G l v b j E v c m V n a W 9 u Y W w v Q 2 h h b m d l Z C B U e X B l L n t s b 2 5 n I H J h b m d l L D F 9 J n F 1 b 3 Q 7 L C Z x d W 9 0 O 1 N l Y 3 R p b 2 4 x L 3 J l Z 2 l v b m F s L 0 N o Y W 5 n Z W Q g V H l w Z S 5 7 c G V y Z m 9 y b W F u Y 2 U s M n 0 m c X V v d D s s J n F 1 b 3 Q 7 U 2 V j d G l v b j E v c m V n a W 9 u Y W w v Q 2 h h b m d l Z C B U e X B l L n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n a W 9 u Y W w v Q 2 h h b m d l Z C B U e X B l L n t z d G F u Z G F y Z C B y Y W 5 n Z S B w b H V z L D B 9 J n F 1 b 3 Q 7 L C Z x d W 9 0 O 1 N l Y 3 R p b 2 4 x L 3 J l Z 2 l v b m F s L 0 N o Y W 5 n Z W Q g V H l w Z S 5 7 b G 9 u Z y B y Y W 5 n Z S w x f S Z x d W 9 0 O y w m c X V v d D t T Z W N 0 a W 9 u M S 9 y Z W d p b 2 5 h b C 9 D a G F u Z 2 V k I F R 5 c G U u e 3 B l c m Z v c m 1 h b m N l L D J 9 J n F 1 b 3 Q 7 L C Z x d W 9 0 O 1 N l Y 3 R p b 2 4 x L 3 J l Z 2 l v b m F s L 0 N o Y W 5 n Z W Q g V H l w Z S 5 7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w c m 9 k d W N 0 a W 9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v Z H V j d G l v b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v Z H V j d G l v b i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b 2 R 1 Y 3 R p b 2 4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l b G l 2 Z X J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V s a X Z l c n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l b G l 2 Z X J 5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V s a X Z l c n k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Z 2 l v b m F s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n a W 9 u Y W w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W d p b 2 5 h b C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+ u + H h C x 5 o E S j l 6 K m o r F 9 w Q A A A A A C A A A A A A A D Z g A A w A A A A B A A A A B 2 g T H a h t w C 5 f s T L k m 9 6 m P 5 A A A A A A S A A A C g A A A A E A A A A A 0 L H w H Q u 9 Z c U / Z F 5 e j 1 / f p Q A A A A Z + J 4 / Y r S e H O d n y I D W v n i 8 M H q L 5 t + a m K H 2 c 5 k X p k o F e e M s p Z I h s A Z A 7 0 G O l J l w 6 x S j B x R o H X k + 3 L f 1 p x N h 1 y 9 l L o n R T q v j 5 B u I q / U k m H l v r 0 U A A A A s L I J m d g J I o C r Y d v / r c Y Y 3 6 G n 9 Q M = < / D a t a M a s h u p > 
</file>

<file path=customXml/itemProps1.xml><?xml version="1.0" encoding="utf-8"?>
<ds:datastoreItem xmlns:ds="http://schemas.openxmlformats.org/officeDocument/2006/customXml" ds:itemID="{F42E790B-890C-4DB1-9B48-4C74895904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MyPortfolio</vt:lpstr>
      <vt:lpstr>correlation</vt:lpstr>
      <vt:lpstr>lognormal</vt:lpstr>
      <vt:lpstr>beta</vt:lpstr>
      <vt:lpstr>tangentPorfolio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Sheung KAM (Raymond) WONG</dc:creator>
  <cp:lastModifiedBy>raymond</cp:lastModifiedBy>
  <dcterms:created xsi:type="dcterms:W3CDTF">2015-06-05T18:17:20Z</dcterms:created>
  <dcterms:modified xsi:type="dcterms:W3CDTF">2021-05-23T07:37:17Z</dcterms:modified>
</cp:coreProperties>
</file>