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user\Desktop\"/>
    </mc:Choice>
  </mc:AlternateContent>
  <xr:revisionPtr revIDLastSave="0" documentId="13_ncr:1_{C083ADB9-C0FC-4CC9-AAAE-FC7F16A033A6}" xr6:coauthVersionLast="47" xr6:coauthVersionMax="47" xr10:uidLastSave="{00000000-0000-0000-0000-000000000000}"/>
  <bookViews>
    <workbookView xWindow="-120" yWindow="-120" windowWidth="20640" windowHeight="11040" xr2:uid="{00000000-000D-0000-FFFF-FFFF00000000}"/>
  </bookViews>
  <sheets>
    <sheet name="Valuation" sheetId="12" r:id="rId1"/>
    <sheet name="Dividend Stock" sheetId="23" r:id="rId2"/>
    <sheet name="EV Battery Supply chain" sheetId="20" r:id="rId3"/>
    <sheet name="WACC" sheetId="22" r:id="rId4"/>
    <sheet name="Decreasing Indusctry Cost" sheetId="21" r:id="rId5"/>
    <sheet name="Toyota - production" sheetId="19" r:id="rId6"/>
  </sheets>
  <definedNames>
    <definedName name="ExternalData_1" localSheetId="0" hidden="1">Valuation!$A$86:$C$116</definedName>
    <definedName name="ExternalData_2" localSheetId="0" hidden="1">Valuation!$A$120:$C$150</definedName>
    <definedName name="ExternalData_3" localSheetId="0" hidden="1">Valuation!$A$174:$D$185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9" i="12" l="1"/>
  <c r="Q76" i="12"/>
  <c r="R76" i="12"/>
  <c r="R54" i="12"/>
  <c r="R50" i="12"/>
  <c r="R46" i="12"/>
  <c r="R30" i="12"/>
  <c r="R29" i="12"/>
  <c r="R26" i="12"/>
  <c r="R27" i="12"/>
  <c r="R23" i="12"/>
  <c r="R22" i="12"/>
  <c r="Q22" i="12"/>
  <c r="R20" i="12"/>
  <c r="Q7" i="12"/>
  <c r="R7" i="12"/>
  <c r="Q74" i="12"/>
  <c r="Q75" i="12" s="1"/>
  <c r="Q73" i="12"/>
  <c r="Q53" i="12"/>
  <c r="Q21" i="12"/>
  <c r="Q18" i="12"/>
  <c r="Q19" i="12" s="1"/>
  <c r="Q8" i="12"/>
  <c r="R74" i="12"/>
  <c r="R62" i="12" s="1"/>
  <c r="O74" i="12"/>
  <c r="O62" i="12" s="1"/>
  <c r="N74" i="12"/>
  <c r="N62" i="12" s="1"/>
  <c r="M74" i="12"/>
  <c r="M62" i="12" s="1"/>
  <c r="R38" i="12"/>
  <c r="L74" i="12"/>
  <c r="R73" i="12"/>
  <c r="O73" i="12"/>
  <c r="N73" i="12"/>
  <c r="N8" i="12" s="1"/>
  <c r="M73" i="12"/>
  <c r="L73" i="12"/>
  <c r="L76" i="12" s="1"/>
  <c r="L7" i="12"/>
  <c r="R13" i="12"/>
  <c r="R18" i="12" s="1"/>
  <c r="R21" i="12"/>
  <c r="R34" i="12"/>
  <c r="R35" i="12" s="1"/>
  <c r="R53" i="12"/>
  <c r="R61" i="12"/>
  <c r="R71" i="12"/>
  <c r="R72" i="12" s="1"/>
  <c r="N7" i="12"/>
  <c r="O7" i="12"/>
  <c r="U63" i="12"/>
  <c r="U69" i="12" s="1"/>
  <c r="H53" i="12"/>
  <c r="I53" i="12"/>
  <c r="H54" i="12"/>
  <c r="I54" i="12"/>
  <c r="H34" i="12"/>
  <c r="H35" i="12" s="1"/>
  <c r="I34" i="12"/>
  <c r="I35" i="12" s="1"/>
  <c r="H21" i="12"/>
  <c r="I21" i="12"/>
  <c r="H74" i="12"/>
  <c r="H38" i="12" s="1"/>
  <c r="D123" i="12"/>
  <c r="I74" i="12" s="1"/>
  <c r="D89" i="12"/>
  <c r="I73" i="12" s="1"/>
  <c r="I8" i="12" s="1"/>
  <c r="D93" i="12"/>
  <c r="H73" i="12" s="1"/>
  <c r="H8" i="12" s="1"/>
  <c r="H13" i="12"/>
  <c r="H18" i="12" s="1"/>
  <c r="I13" i="12"/>
  <c r="I18" i="12" s="1"/>
  <c r="H7" i="12"/>
  <c r="I7" i="12"/>
  <c r="Q38" i="12" l="1"/>
  <c r="Q39" i="12" s="1"/>
  <c r="Q41" i="12" s="1"/>
  <c r="Q52" i="12"/>
  <c r="Q24" i="12"/>
  <c r="Q25" i="12" s="1"/>
  <c r="Q9" i="12"/>
  <c r="R9" i="12"/>
  <c r="R10" i="12" s="1"/>
  <c r="R19" i="12"/>
  <c r="R47" i="12" s="1"/>
  <c r="R48" i="12" s="1"/>
  <c r="R8" i="12"/>
  <c r="L9" i="12"/>
  <c r="M75" i="12"/>
  <c r="O75" i="12"/>
  <c r="M76" i="12"/>
  <c r="I9" i="12"/>
  <c r="N75" i="12"/>
  <c r="N76" i="12"/>
  <c r="L75" i="12"/>
  <c r="O76" i="12"/>
  <c r="R75" i="12"/>
  <c r="N9" i="12"/>
  <c r="M8" i="12"/>
  <c r="O9" i="12"/>
  <c r="O8" i="12"/>
  <c r="R39" i="12"/>
  <c r="R24" i="12"/>
  <c r="R52" i="12"/>
  <c r="I24" i="12"/>
  <c r="I25" i="12" s="1"/>
  <c r="H19" i="12"/>
  <c r="H47" i="12" s="1"/>
  <c r="H48" i="12" s="1"/>
  <c r="U66" i="12"/>
  <c r="H75" i="12"/>
  <c r="H22" i="12"/>
  <c r="V73" i="12"/>
  <c r="V74" i="12" s="1"/>
  <c r="I76" i="12"/>
  <c r="I75" i="12"/>
  <c r="I22" i="12"/>
  <c r="I23" i="12" s="1"/>
  <c r="I29" i="12"/>
  <c r="I38" i="12"/>
  <c r="I62" i="12"/>
  <c r="I52" i="12"/>
  <c r="I19" i="12"/>
  <c r="H24" i="12"/>
  <c r="H52" i="12"/>
  <c r="H62" i="12"/>
  <c r="G53" i="12"/>
  <c r="G54" i="12"/>
  <c r="F34" i="12"/>
  <c r="F35" i="12" s="1"/>
  <c r="G34" i="12"/>
  <c r="G35" i="12" s="1"/>
  <c r="F21" i="12"/>
  <c r="G21" i="12"/>
  <c r="F13" i="12"/>
  <c r="F18" i="12" s="1"/>
  <c r="G13" i="12"/>
  <c r="G18" i="12" s="1"/>
  <c r="E53" i="12"/>
  <c r="F53" i="12"/>
  <c r="F54" i="12"/>
  <c r="G74" i="12"/>
  <c r="G62" i="12" s="1"/>
  <c r="G7" i="12"/>
  <c r="O6" i="23"/>
  <c r="Q42" i="12" l="1"/>
  <c r="Q10" i="12"/>
  <c r="Q47" i="12"/>
  <c r="Q48" i="12" s="1"/>
  <c r="Q40" i="12"/>
  <c r="R42" i="12"/>
  <c r="Q44" i="12"/>
  <c r="Q49" i="12" s="1"/>
  <c r="Q45" i="12"/>
  <c r="I10" i="12"/>
  <c r="R41" i="12"/>
  <c r="R40" i="12"/>
  <c r="R25" i="12"/>
  <c r="H42" i="12"/>
  <c r="H39" i="12"/>
  <c r="H41" i="12" s="1"/>
  <c r="I20" i="12"/>
  <c r="I39" i="12"/>
  <c r="I40" i="12" s="1"/>
  <c r="B84" i="12"/>
  <c r="I42" i="12"/>
  <c r="H25" i="12"/>
  <c r="I26" i="12"/>
  <c r="I47" i="12"/>
  <c r="I48" i="12" s="1"/>
  <c r="H29" i="12"/>
  <c r="H40" i="12"/>
  <c r="F24" i="12"/>
  <c r="G38" i="12"/>
  <c r="G52" i="12"/>
  <c r="G24" i="12"/>
  <c r="D97" i="12"/>
  <c r="R44" i="12" l="1"/>
  <c r="R49" i="12" s="1"/>
  <c r="R45" i="12"/>
  <c r="I41" i="12"/>
  <c r="I44" i="12" s="1"/>
  <c r="I49" i="12" s="1"/>
  <c r="I30" i="12"/>
  <c r="G73" i="12"/>
  <c r="H44" i="12"/>
  <c r="H49" i="12" s="1"/>
  <c r="H45" i="12"/>
  <c r="G19" i="12" l="1"/>
  <c r="H20" i="12" s="1"/>
  <c r="H9" i="12"/>
  <c r="H10" i="12" s="1"/>
  <c r="I45" i="12"/>
  <c r="G8" i="12"/>
  <c r="G22" i="12"/>
  <c r="H23" i="12" s="1"/>
  <c r="G25" i="12"/>
  <c r="G75" i="12"/>
  <c r="H76" i="12"/>
  <c r="H26" i="12"/>
  <c r="G39" i="12" l="1"/>
  <c r="G41" i="12" s="1"/>
  <c r="G47" i="12"/>
  <c r="G48" i="12" s="1"/>
  <c r="G42" i="12"/>
  <c r="I27" i="12"/>
  <c r="G40" i="12"/>
  <c r="G45" i="12" l="1"/>
  <c r="G44" i="12"/>
  <c r="G49" i="12" s="1"/>
  <c r="K34" i="12" l="1"/>
  <c r="K35" i="12" s="1"/>
  <c r="N34" i="12"/>
  <c r="N35" i="12" s="1"/>
  <c r="O34" i="12"/>
  <c r="O35" i="12" s="1"/>
  <c r="M34" i="12"/>
  <c r="M35" i="12" s="1"/>
  <c r="C34" i="12"/>
  <c r="C35" i="12" s="1"/>
  <c r="D34" i="12"/>
  <c r="D35" i="12" s="1"/>
  <c r="E34" i="12"/>
  <c r="E35" i="12" s="1"/>
  <c r="B34" i="12"/>
  <c r="B35" i="12" s="1"/>
  <c r="P6" i="23" l="1"/>
  <c r="Q6" i="23" s="1"/>
  <c r="R6" i="23" s="1"/>
  <c r="P7" i="23"/>
  <c r="R23" i="23"/>
  <c r="N23" i="23"/>
  <c r="O23" i="23"/>
  <c r="P23" i="23"/>
  <c r="Q23" i="23"/>
  <c r="M23" i="23"/>
  <c r="N20" i="23"/>
  <c r="R8" i="23"/>
  <c r="N16" i="23"/>
  <c r="N9" i="23" s="1"/>
  <c r="N7" i="23"/>
  <c r="R7" i="23" l="1"/>
  <c r="Q10" i="23" s="1"/>
  <c r="C232" i="12"/>
  <c r="B221" i="12"/>
  <c r="B220" i="12"/>
  <c r="B222" i="12" s="1"/>
  <c r="B223" i="12" l="1"/>
  <c r="O12" i="23"/>
  <c r="P12" i="23"/>
  <c r="R12" i="23"/>
  <c r="N12" i="23"/>
  <c r="Q12" i="23"/>
  <c r="R10" i="23"/>
  <c r="R11" i="23" s="1"/>
  <c r="N10" i="23"/>
  <c r="N11" i="23" s="1"/>
  <c r="O10" i="23"/>
  <c r="O11" i="23" s="1"/>
  <c r="P10" i="23"/>
  <c r="P11" i="23" s="1"/>
  <c r="Q11" i="23"/>
  <c r="C228" i="12"/>
  <c r="P13" i="23" l="1"/>
  <c r="O13" i="23"/>
  <c r="C230" i="12"/>
  <c r="Q13" i="23"/>
  <c r="N13" i="23"/>
  <c r="R13" i="23"/>
  <c r="C227" i="12"/>
  <c r="C229" i="12" s="1"/>
  <c r="C221" i="12"/>
  <c r="C220" i="12"/>
  <c r="C223" i="12" l="1"/>
  <c r="C222" i="12"/>
  <c r="W60" i="12"/>
  <c r="X60" i="12" s="1"/>
  <c r="Y60" i="12" s="1"/>
  <c r="Z60" i="12" s="1"/>
  <c r="AA60" i="12" s="1"/>
  <c r="AB60" i="12" s="1"/>
  <c r="AC60" i="12" s="1"/>
  <c r="AD60" i="12" s="1"/>
  <c r="AE60" i="12" s="1"/>
  <c r="AF60" i="12" s="1"/>
  <c r="N71" i="12" l="1"/>
  <c r="N72" i="12" s="1"/>
  <c r="O71" i="12"/>
  <c r="O72" i="12" s="1"/>
  <c r="M71" i="12"/>
  <c r="M72" i="12" s="1"/>
  <c r="O61" i="12"/>
  <c r="B38" i="12" l="1"/>
  <c r="B8" i="12" l="1"/>
  <c r="M7" i="12" l="1"/>
  <c r="F7" i="12"/>
  <c r="E7" i="12"/>
  <c r="D7" i="12"/>
  <c r="C7" i="12"/>
  <c r="B21" i="12" l="1"/>
  <c r="B22" i="12" s="1"/>
  <c r="B18" i="12"/>
  <c r="B24" i="12" l="1"/>
  <c r="B25" i="12" s="1"/>
  <c r="B19" i="12"/>
  <c r="B39" i="12" s="1"/>
  <c r="B40" i="12" l="1"/>
  <c r="B41" i="12"/>
  <c r="B42" i="12"/>
  <c r="B47" i="12"/>
  <c r="B48" i="12" s="1"/>
  <c r="B45" i="12" l="1"/>
  <c r="B44" i="12"/>
  <c r="B49" i="12" s="1"/>
  <c r="J77" i="19" l="1"/>
  <c r="J33" i="19"/>
  <c r="J34" i="19"/>
  <c r="J35" i="19"/>
  <c r="J36" i="19"/>
  <c r="J37" i="19"/>
  <c r="J38" i="19"/>
  <c r="J39" i="19"/>
  <c r="J40" i="19"/>
  <c r="J41" i="19"/>
  <c r="J42" i="19"/>
  <c r="J43" i="19"/>
  <c r="J44" i="19"/>
  <c r="J45" i="19"/>
  <c r="J46" i="19"/>
  <c r="J47" i="19"/>
  <c r="J48" i="19"/>
  <c r="J49" i="19"/>
  <c r="J50" i="19"/>
  <c r="J51" i="19"/>
  <c r="J52" i="19"/>
  <c r="J53" i="19"/>
  <c r="J54" i="19"/>
  <c r="J55" i="19"/>
  <c r="J56" i="19"/>
  <c r="J57" i="19"/>
  <c r="J58" i="19"/>
  <c r="J59" i="19"/>
  <c r="J60" i="19"/>
  <c r="J61" i="19"/>
  <c r="J62" i="19"/>
  <c r="J63" i="19"/>
  <c r="J64" i="19"/>
  <c r="J65" i="19"/>
  <c r="J66" i="19"/>
  <c r="J67" i="19"/>
  <c r="J68" i="19"/>
  <c r="J69" i="19"/>
  <c r="J70" i="19"/>
  <c r="J71" i="19"/>
  <c r="J72" i="19"/>
  <c r="J73" i="19"/>
  <c r="J74" i="19"/>
  <c r="J75" i="19"/>
  <c r="J76" i="19"/>
  <c r="J78" i="19"/>
  <c r="J79" i="19"/>
  <c r="J80" i="19"/>
  <c r="J81" i="19"/>
  <c r="J82" i="19"/>
  <c r="J83" i="19"/>
  <c r="J84" i="19"/>
  <c r="J85" i="19"/>
  <c r="J86" i="19"/>
  <c r="J87" i="19"/>
  <c r="J88" i="19"/>
  <c r="J89" i="19"/>
  <c r="J90" i="19"/>
  <c r="J91" i="19"/>
  <c r="J92" i="19"/>
  <c r="J93" i="19"/>
  <c r="J32" i="19"/>
  <c r="I13" i="19" l="1"/>
  <c r="D13" i="19"/>
  <c r="E11" i="19"/>
  <c r="E13" i="19" s="1"/>
  <c r="F11" i="19"/>
  <c r="F13" i="19" s="1"/>
  <c r="G11" i="19"/>
  <c r="G13" i="19" s="1"/>
  <c r="H11" i="19"/>
  <c r="H13" i="19" s="1"/>
  <c r="I11" i="19"/>
  <c r="D11" i="19"/>
  <c r="M53" i="12" l="1"/>
  <c r="N53" i="12"/>
  <c r="O53" i="12"/>
  <c r="L53" i="12"/>
  <c r="C53" i="12"/>
  <c r="D53" i="12"/>
  <c r="B53" i="12"/>
  <c r="M54" i="12"/>
  <c r="N54" i="12"/>
  <c r="O54" i="12"/>
  <c r="D54" i="12"/>
  <c r="E54" i="12"/>
  <c r="C54" i="12"/>
  <c r="D132" i="12"/>
  <c r="D98" i="12"/>
  <c r="L21" i="12" l="1"/>
  <c r="L18" i="12"/>
  <c r="N21" i="12"/>
  <c r="O21" i="12"/>
  <c r="M21" i="12"/>
  <c r="D21" i="12"/>
  <c r="E21" i="12"/>
  <c r="C21" i="12"/>
  <c r="L24" i="12" l="1"/>
  <c r="N13" i="12"/>
  <c r="N18" i="12" s="1"/>
  <c r="N24" i="12" s="1"/>
  <c r="O13" i="12"/>
  <c r="O18" i="12" s="1"/>
  <c r="O24" i="12" s="1"/>
  <c r="M13" i="12"/>
  <c r="M18" i="12" s="1"/>
  <c r="M24" i="12" s="1"/>
  <c r="D13" i="12" l="1"/>
  <c r="D18" i="12" s="1"/>
  <c r="E13" i="12"/>
  <c r="E18" i="12" s="1"/>
  <c r="C13" i="12"/>
  <c r="C18" i="12" s="1"/>
  <c r="C24" i="12" l="1"/>
  <c r="E24" i="12"/>
  <c r="D24" i="12"/>
  <c r="D135" i="12"/>
  <c r="F74" i="12" s="1"/>
  <c r="D139" i="12"/>
  <c r="E74" i="12" s="1"/>
  <c r="D143" i="12"/>
  <c r="D74" i="12" s="1"/>
  <c r="D147" i="12"/>
  <c r="C74" i="12" s="1"/>
  <c r="D101" i="12"/>
  <c r="F73" i="12" s="1"/>
  <c r="D105" i="12"/>
  <c r="E73" i="12" s="1"/>
  <c r="D109" i="12"/>
  <c r="D73" i="12" s="1"/>
  <c r="D113" i="12"/>
  <c r="C73" i="12" s="1"/>
  <c r="F26" i="12" l="1"/>
  <c r="G76" i="12"/>
  <c r="F19" i="12"/>
  <c r="F75" i="12"/>
  <c r="F25" i="12"/>
  <c r="F22" i="12"/>
  <c r="F76" i="12"/>
  <c r="F8" i="12"/>
  <c r="F9" i="12"/>
  <c r="G9" i="12"/>
  <c r="G10" i="12" s="1"/>
  <c r="G26" i="12"/>
  <c r="H27" i="12" s="1"/>
  <c r="F38" i="12"/>
  <c r="F29" i="12"/>
  <c r="F62" i="12"/>
  <c r="F52" i="12"/>
  <c r="G29" i="12"/>
  <c r="H30" i="12" s="1"/>
  <c r="N52" i="12"/>
  <c r="O52" i="12"/>
  <c r="C29" i="12"/>
  <c r="M52" i="12"/>
  <c r="C8" i="12"/>
  <c r="C9" i="12"/>
  <c r="D8" i="12"/>
  <c r="D9" i="12"/>
  <c r="E9" i="12"/>
  <c r="E8" i="12"/>
  <c r="L8" i="12"/>
  <c r="M9" i="12"/>
  <c r="E22" i="12"/>
  <c r="O25" i="12"/>
  <c r="O22" i="12"/>
  <c r="C75" i="12"/>
  <c r="C76" i="12"/>
  <c r="C77" i="12"/>
  <c r="D77" i="12" s="1"/>
  <c r="E77" i="12" s="1"/>
  <c r="C22" i="12"/>
  <c r="C23" i="12" s="1"/>
  <c r="D22" i="12"/>
  <c r="N25" i="12"/>
  <c r="N22" i="12"/>
  <c r="L22" i="12"/>
  <c r="M25" i="12"/>
  <c r="M22" i="12"/>
  <c r="C26" i="12"/>
  <c r="D76" i="12"/>
  <c r="E76" i="12"/>
  <c r="E75" i="12"/>
  <c r="D75" i="12"/>
  <c r="D25" i="12"/>
  <c r="E25" i="12"/>
  <c r="L19" i="12"/>
  <c r="L25" i="12"/>
  <c r="L38" i="12"/>
  <c r="L10" i="12" s="1"/>
  <c r="L52" i="12"/>
  <c r="C25" i="12"/>
  <c r="M19" i="12"/>
  <c r="M26" i="12"/>
  <c r="N19" i="12"/>
  <c r="N26" i="12"/>
  <c r="O19" i="12"/>
  <c r="O26" i="12"/>
  <c r="D26" i="12"/>
  <c r="D27" i="12" s="1"/>
  <c r="E26" i="12"/>
  <c r="O38" i="12"/>
  <c r="C19" i="12"/>
  <c r="C20" i="12" s="1"/>
  <c r="C52" i="12"/>
  <c r="C38" i="12"/>
  <c r="D29" i="12"/>
  <c r="D38" i="12"/>
  <c r="D52" i="12"/>
  <c r="E29" i="12"/>
  <c r="E38" i="12"/>
  <c r="E52" i="12"/>
  <c r="D19" i="12"/>
  <c r="E19" i="12"/>
  <c r="M38" i="12"/>
  <c r="M29" i="12"/>
  <c r="N38" i="12"/>
  <c r="N29" i="12"/>
  <c r="B78" i="12" l="1"/>
  <c r="W76" i="12" s="1"/>
  <c r="G27" i="12"/>
  <c r="F30" i="12"/>
  <c r="F10" i="12"/>
  <c r="F47" i="12"/>
  <c r="F48" i="12" s="1"/>
  <c r="F42" i="12"/>
  <c r="F20" i="12"/>
  <c r="G20" i="12"/>
  <c r="F23" i="12"/>
  <c r="G23" i="12"/>
  <c r="G30" i="12"/>
  <c r="F39" i="12"/>
  <c r="F27" i="12"/>
  <c r="F77" i="12"/>
  <c r="G77" i="12" s="1"/>
  <c r="H77" i="12" s="1"/>
  <c r="I77" i="12" s="1"/>
  <c r="N30" i="12"/>
  <c r="D23" i="12"/>
  <c r="O39" i="12"/>
  <c r="O40" i="12" s="1"/>
  <c r="O10" i="12"/>
  <c r="L39" i="12"/>
  <c r="L41" i="12" s="1"/>
  <c r="E39" i="12"/>
  <c r="E41" i="12" s="1"/>
  <c r="C39" i="12"/>
  <c r="C41" i="12" s="1"/>
  <c r="M20" i="12"/>
  <c r="D10" i="12"/>
  <c r="M39" i="12"/>
  <c r="N47" i="12"/>
  <c r="N48" i="12" s="1"/>
  <c r="N42" i="12"/>
  <c r="D30" i="12"/>
  <c r="N20" i="12"/>
  <c r="O23" i="12"/>
  <c r="C10" i="12"/>
  <c r="M47" i="12"/>
  <c r="M48" i="12" s="1"/>
  <c r="M42" i="12"/>
  <c r="N10" i="12"/>
  <c r="C47" i="12"/>
  <c r="C48" i="12" s="1"/>
  <c r="C42" i="12"/>
  <c r="E20" i="12"/>
  <c r="O20" i="12"/>
  <c r="L42" i="12"/>
  <c r="L47" i="12"/>
  <c r="L48" i="12" s="1"/>
  <c r="M10" i="12"/>
  <c r="E47" i="12"/>
  <c r="E48" i="12" s="1"/>
  <c r="E42" i="12"/>
  <c r="D47" i="12"/>
  <c r="D48" i="12" s="1"/>
  <c r="D42" i="12"/>
  <c r="O42" i="12"/>
  <c r="O47" i="12"/>
  <c r="O48" i="12" s="1"/>
  <c r="N27" i="12"/>
  <c r="E10" i="12"/>
  <c r="D39" i="12"/>
  <c r="N39" i="12"/>
  <c r="D20" i="12"/>
  <c r="M23" i="12"/>
  <c r="N23" i="12"/>
  <c r="E23" i="12"/>
  <c r="E27" i="12"/>
  <c r="E30" i="12"/>
  <c r="O27" i="12"/>
  <c r="O30" i="12"/>
  <c r="B81" i="12" l="1"/>
  <c r="V76" i="12"/>
  <c r="B79" i="12"/>
  <c r="B82" i="12"/>
  <c r="B80" i="12"/>
  <c r="F40" i="12"/>
  <c r="F41" i="12"/>
  <c r="E40" i="12"/>
  <c r="O41" i="12"/>
  <c r="O44" i="12" s="1"/>
  <c r="O49" i="12" s="1"/>
  <c r="L40" i="12"/>
  <c r="C40" i="12"/>
  <c r="L45" i="12"/>
  <c r="L44" i="12"/>
  <c r="M41" i="12"/>
  <c r="M40" i="12"/>
  <c r="N40" i="12"/>
  <c r="N41" i="12"/>
  <c r="D41" i="12"/>
  <c r="D40" i="12"/>
  <c r="E45" i="12"/>
  <c r="E44" i="12"/>
  <c r="C45" i="12"/>
  <c r="C44" i="12"/>
  <c r="F44" i="12" l="1"/>
  <c r="F49" i="12" s="1"/>
  <c r="F45" i="12"/>
  <c r="E49" i="12"/>
  <c r="O45" i="12"/>
  <c r="L49" i="12"/>
  <c r="C49" i="12"/>
  <c r="N44" i="12"/>
  <c r="N49" i="12" s="1"/>
  <c r="O50" i="12" s="1"/>
  <c r="N45" i="12"/>
  <c r="M44" i="12"/>
  <c r="M49" i="12" s="1"/>
  <c r="M45" i="12"/>
  <c r="D45" i="12"/>
  <c r="D44" i="12"/>
  <c r="D49" i="12" s="1"/>
  <c r="O46" i="12" l="1"/>
  <c r="N46" i="12"/>
  <c r="Y76" i="12" l="1"/>
  <c r="Z76" i="12" s="1"/>
  <c r="X76" i="12"/>
  <c r="V61" i="12" l="1"/>
  <c r="AA76" i="12"/>
  <c r="AB76" i="12" s="1"/>
  <c r="AC76" i="12" s="1"/>
  <c r="AD76" i="12" s="1"/>
  <c r="AE76" i="12" s="1"/>
  <c r="AF76" i="12" s="1"/>
  <c r="AG76" i="12" s="1"/>
  <c r="AH76" i="12" s="1"/>
  <c r="AI76" i="12" s="1"/>
  <c r="AJ76" i="12" s="1"/>
  <c r="AK76" i="12" s="1"/>
  <c r="AL76" i="12" s="1"/>
  <c r="AM76" i="12" s="1"/>
  <c r="AN76" i="12" s="1"/>
  <c r="AO76" i="12" s="1"/>
  <c r="AP76" i="12" s="1"/>
  <c r="W73" i="12"/>
  <c r="W74" i="12" l="1"/>
  <c r="W61" i="12" s="1"/>
  <c r="X73" i="12"/>
  <c r="Y73" i="12" s="1"/>
  <c r="X74" i="12" l="1"/>
  <c r="X61" i="12" s="1"/>
  <c r="Y74" i="12"/>
  <c r="Y61" i="12" s="1"/>
  <c r="Z73" i="12"/>
  <c r="W63" i="12"/>
  <c r="W69" i="12"/>
  <c r="W66" i="12"/>
  <c r="X66" i="12" l="1"/>
  <c r="X69" i="12"/>
  <c r="X63" i="12"/>
  <c r="AA73" i="12"/>
  <c r="Z74" i="12"/>
  <c r="Z61" i="12" s="1"/>
  <c r="AB73" i="12" l="1"/>
  <c r="AA74" i="12"/>
  <c r="AA61" i="12" s="1"/>
  <c r="Y69" i="12"/>
  <c r="Y66" i="12"/>
  <c r="Y63" i="12"/>
  <c r="AA63" i="12" l="1"/>
  <c r="AA66" i="12"/>
  <c r="AA69" i="12"/>
  <c r="AB74" i="12"/>
  <c r="AB61" i="12" s="1"/>
  <c r="AC73" i="12"/>
  <c r="Z66" i="12"/>
  <c r="Z63" i="12"/>
  <c r="Z69" i="12"/>
  <c r="AC74" i="12" l="1"/>
  <c r="AC61" i="12" s="1"/>
  <c r="AD73" i="12"/>
  <c r="AB63" i="12"/>
  <c r="AB69" i="12"/>
  <c r="AB66" i="12"/>
  <c r="AD74" i="12" l="1"/>
  <c r="AD61" i="12" s="1"/>
  <c r="AE73" i="12"/>
  <c r="AC63" i="12"/>
  <c r="AC66" i="12"/>
  <c r="AC69" i="12"/>
  <c r="AF73" i="12" l="1"/>
  <c r="AE74" i="12"/>
  <c r="AE61" i="12" s="1"/>
  <c r="AD63" i="12"/>
  <c r="AD69" i="12"/>
  <c r="AD66" i="12"/>
  <c r="AE69" i="12" l="1"/>
  <c r="AE63" i="12"/>
  <c r="AE66" i="12"/>
  <c r="AG73" i="12"/>
  <c r="AF74" i="12"/>
  <c r="AF61" i="12" s="1"/>
  <c r="AG62" i="12" l="1"/>
  <c r="AG63" i="12" s="1"/>
  <c r="AF69" i="12"/>
  <c r="AF66" i="12"/>
  <c r="AG67" i="12"/>
  <c r="AG69" i="12" s="1"/>
  <c r="AF63" i="12"/>
  <c r="AG64" i="12"/>
  <c r="AG66" i="12" s="1"/>
  <c r="AH73" i="12"/>
  <c r="AG74" i="12"/>
  <c r="V64" i="12" l="1"/>
  <c r="V65" i="12" s="1"/>
  <c r="AI73" i="12"/>
  <c r="AH74" i="12"/>
  <c r="V70" i="12"/>
  <c r="V71" i="12" s="1"/>
  <c r="V67" i="12"/>
  <c r="V68" i="12" s="1"/>
  <c r="AI74" i="12" l="1"/>
  <c r="AJ73" i="12"/>
  <c r="AK73" i="12" l="1"/>
  <c r="AJ74" i="12"/>
  <c r="AL73" i="12" l="1"/>
  <c r="AK74" i="12"/>
  <c r="AM73" i="12" l="1"/>
  <c r="AL74" i="12"/>
  <c r="AM74" i="12" l="1"/>
  <c r="AN73" i="12"/>
  <c r="AO73" i="12" l="1"/>
  <c r="AN74" i="12"/>
  <c r="AO74" i="12" l="1"/>
  <c r="AP73" i="12"/>
  <c r="AP74" i="1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4AE9C8A-3D61-407F-88BD-C4723E5D26FE}" keepAlive="1" name="Query - delivery" description="Connection to the 'delivery' query in the workbook." type="5" refreshedVersion="6" background="1">
    <dbPr connection="Provider=Microsoft.Mashup.OleDb.1;Data Source=$Workbook$;Location=delivery;Extended Properties=&quot;&quot;" command="SELECT * FROM [delivery]"/>
  </connection>
  <connection id="2" xr16:uid="{98EACCB0-A5F7-4B1E-8BDD-9A70B35706DB}" keepAlive="1" name="Query - delivery (2)" description="Connection to the 'delivery (2)' query in the workbook." type="5" refreshedVersion="6" background="1" saveData="1">
    <dbPr connection="Provider=Microsoft.Mashup.OleDb.1;Data Source=$Workbook$;Location=&quot;delivery (2)&quot;;Extended Properties=&quot;&quot;" command="SELECT * FROM [delivery (2)]"/>
  </connection>
  <connection id="3" xr16:uid="{BEBD501F-1838-43B6-A59E-FFB142D8FD69}" keepAlive="1" name="Query - production" description="Connection to the 'production' query in the workbook." type="5" refreshedVersion="6" background="1">
    <dbPr connection="Provider=Microsoft.Mashup.OleDb.1;Data Source=$Workbook$;Location=production;Extended Properties=&quot;&quot;" command="SELECT * FROM [production]"/>
  </connection>
  <connection id="4" xr16:uid="{D482AFF5-BB6D-423F-BC41-B962A7B3F185}" keepAlive="1" name="Query - production (2)" description="Connection to the 'production (2)' query in the workbook." type="5" refreshedVersion="6" background="1" saveData="1">
    <dbPr connection="Provider=Microsoft.Mashup.OleDb.1;Data Source=$Workbook$;Location=&quot;production (2)&quot;;Extended Properties=&quot;&quot;" command="SELECT * FROM [production (2)]"/>
  </connection>
  <connection id="5" xr16:uid="{045BCC09-1E10-4B2F-8798-123A08A9DD5E}" keepAlive="1" name="Query - regional" description="Connection to the 'regional' query in the workbook." type="5" refreshedVersion="6" background="1" saveData="1">
    <dbPr connection="Provider=Microsoft.Mashup.OleDb.1;Data Source=$Workbook$;Location=regional;Extended Properties=&quot;&quot;" command="SELECT * FROM [regional]"/>
  </connection>
</connections>
</file>

<file path=xl/sharedStrings.xml><?xml version="1.0" encoding="utf-8"?>
<sst xmlns="http://schemas.openxmlformats.org/spreadsheetml/2006/main" count="861" uniqueCount="396">
  <si>
    <t>Ticker</t>
  </si>
  <si>
    <t>Name</t>
  </si>
  <si>
    <t>Total</t>
    <phoneticPr fontId="1" type="noConversion"/>
  </si>
  <si>
    <t>-</t>
  </si>
  <si>
    <t>Low</t>
  </si>
  <si>
    <t>High</t>
  </si>
  <si>
    <t>Total</t>
  </si>
  <si>
    <t>F</t>
  </si>
  <si>
    <t>Tesla</t>
    <phoneticPr fontId="1" type="noConversion"/>
  </si>
  <si>
    <t>Total Equity</t>
  </si>
  <si>
    <t>Revenue</t>
  </si>
  <si>
    <t>Gross Profit</t>
  </si>
  <si>
    <t>Net Income</t>
  </si>
  <si>
    <t>COGS</t>
    <phoneticPr fontId="1" type="noConversion"/>
  </si>
  <si>
    <t xml:space="preserve">remark: This account contains the cost of the direct material, direct labor, and factory overhead placed into the products on the factory floor. </t>
    <phoneticPr fontId="1" type="noConversion"/>
  </si>
  <si>
    <t>Quaterly</t>
    <phoneticPr fontId="1" type="noConversion"/>
  </si>
  <si>
    <t>Yearly</t>
    <phoneticPr fontId="1" type="noConversion"/>
  </si>
  <si>
    <t>Q2</t>
  </si>
  <si>
    <t>Q1</t>
  </si>
  <si>
    <t>Q4</t>
  </si>
  <si>
    <t>Q3</t>
  </si>
  <si>
    <t>Quarter</t>
    <phoneticPr fontId="1" type="noConversion"/>
  </si>
  <si>
    <t>Year</t>
    <phoneticPr fontId="1" type="noConversion"/>
  </si>
  <si>
    <t>Unit</t>
    <phoneticPr fontId="1" type="noConversion"/>
  </si>
  <si>
    <t>Total</t>
    <phoneticPr fontId="1" type="noConversion"/>
  </si>
  <si>
    <t>Production in units</t>
    <phoneticPr fontId="1" type="noConversion"/>
  </si>
  <si>
    <t>Production</t>
    <phoneticPr fontId="1" type="noConversion"/>
  </si>
  <si>
    <t>Delivery</t>
    <phoneticPr fontId="1" type="noConversion"/>
  </si>
  <si>
    <t>Delivery in units</t>
    <phoneticPr fontId="1" type="noConversion"/>
  </si>
  <si>
    <t>Diff</t>
    <phoneticPr fontId="1" type="noConversion"/>
  </si>
  <si>
    <t>The products in a manufacturer's inventory that are completed and are waiting to be sold.</t>
  </si>
  <si>
    <t>Gross Profit(USD) in unit</t>
    <phoneticPr fontId="1" type="noConversion"/>
  </si>
  <si>
    <t>Diff</t>
    <phoneticPr fontId="1" type="noConversion"/>
  </si>
  <si>
    <t>Marginal Revenue(USD)</t>
    <phoneticPr fontId="1" type="noConversion"/>
  </si>
  <si>
    <t>Marginal Cost(USD)</t>
    <phoneticPr fontId="1" type="noConversion"/>
  </si>
  <si>
    <t>Production Fixed Cost(M)</t>
    <phoneticPr fontId="1" type="noConversion"/>
  </si>
  <si>
    <t>Production Total Cost(M)</t>
    <phoneticPr fontId="1" type="noConversion"/>
  </si>
  <si>
    <t>AVC (USD)</t>
    <phoneticPr fontId="1" type="noConversion"/>
  </si>
  <si>
    <t>ATC (USD)</t>
    <phoneticPr fontId="1" type="noConversion"/>
  </si>
  <si>
    <t>Avg. Price (USD)</t>
    <phoneticPr fontId="1" type="noConversion"/>
  </si>
  <si>
    <t>Q3</t>
    <phoneticPr fontId="1" type="noConversion"/>
  </si>
  <si>
    <t>Growth Rate</t>
    <phoneticPr fontId="1" type="noConversion"/>
  </si>
  <si>
    <t>Gross Profit Margin</t>
  </si>
  <si>
    <t>Gross Profit Margin</t>
    <phoneticPr fontId="1" type="noConversion"/>
  </si>
  <si>
    <t> It indicates how efficiently the company generates gross profit from revenue.</t>
  </si>
  <si>
    <t>NIO Limited</t>
  </si>
  <si>
    <t>NYSE:NIO</t>
  </si>
  <si>
    <t>Ford Motor Company</t>
  </si>
  <si>
    <t>NYSE:F</t>
  </si>
  <si>
    <t>General Motors Company</t>
  </si>
  <si>
    <t>NYSE:GM</t>
  </si>
  <si>
    <t>Visteon Corporation</t>
  </si>
  <si>
    <t>NASDAQGS:VC</t>
  </si>
  <si>
    <t>Toyota Motor Corporation</t>
  </si>
  <si>
    <t>OTCPK:TOYO.F</t>
  </si>
  <si>
    <t>Tesla, Inc.</t>
  </si>
  <si>
    <t>NASDAQGS:TSLA</t>
  </si>
  <si>
    <t>Honda Motor Co., Ltd.</t>
  </si>
  <si>
    <t>OTCPK:HNDA.F</t>
  </si>
  <si>
    <t>Consumer Discretionary</t>
  </si>
  <si>
    <t>SECTOR:DSCY.US</t>
  </si>
  <si>
    <t>Apple Inc.</t>
  </si>
  <si>
    <t>NASDAQGS:AAPL</t>
  </si>
  <si>
    <t>Netflix, Inc.</t>
  </si>
  <si>
    <t>NASDAQGS:NFLX</t>
  </si>
  <si>
    <t>Amazon.com, Inc.</t>
  </si>
  <si>
    <t>NASDAQGS:AMZN</t>
  </si>
  <si>
    <t>Facebook, Inc.</t>
  </si>
  <si>
    <t>NASDAQGS:FB</t>
  </si>
  <si>
    <r>
      <t>Tesla</t>
    </r>
    <r>
      <rPr>
        <sz val="10"/>
        <color theme="1"/>
        <rFont val="Calibri"/>
        <family val="1"/>
        <charset val="136"/>
        <scheme val="minor"/>
      </rPr>
      <t> </t>
    </r>
    <r>
      <rPr>
        <sz val="11"/>
        <color theme="1"/>
        <rFont val="Calibri"/>
        <family val="2"/>
        <scheme val="minor"/>
      </rPr>
      <t>Gross Profit Margin</t>
    </r>
    <r>
      <rPr>
        <sz val="10"/>
        <color theme="1"/>
        <rFont val="Calibri"/>
        <family val="1"/>
        <charset val="136"/>
        <scheme val="minor"/>
      </rPr>
      <t> </t>
    </r>
    <r>
      <rPr>
        <sz val="11"/>
        <color theme="1"/>
        <rFont val="Calibri"/>
        <family val="2"/>
        <scheme val="minor"/>
      </rPr>
      <t>Benchmarks</t>
    </r>
    <phoneticPr fontId="1" type="noConversion"/>
  </si>
  <si>
    <t>We've identified the following companies as similar to Tesla, Inc. because they operate in a related industry or sector. We also considered size, growth, and various financial metrics to narrow down the list to the ones listed below.</t>
  </si>
  <si>
    <t>固定成本主要依赖于规模效应，降低单车摊销。弹性成本主要依赖于技术进步，供应链价格降低+用料变化，电动车目前核心降本 空间来自于电池系统。</t>
  </si>
  <si>
    <t>固定成本定义：只包括SG&amp;A、R&amp;D、D&amp;A（折旧摊销基本为制造端成本）；可变成本定义：营业成本减去D&amp;A。</t>
  </si>
  <si>
    <t>根据公司披露，上海工厂的单位资本投入是Fremont的一半，这意味着同样规模的 销量，中国工厂的单车D&amp;A为美国的一半；目前公司单车D&amp;A稳定在0.6万美元/ 辆，预计国产化后可降低单车D&amp;A 2万元（3000美元）</t>
  </si>
  <si>
    <t xml:space="preserve"> 电池端目前仍拥有多种降本方式，一是本土化导入成本更有竞 争力的宁德时代、材料端进步、低版本使用价格更低的材料 （如LFP）、提高能量密度等。</t>
    <phoneticPr fontId="1" type="noConversion"/>
  </si>
  <si>
    <t>standard range plus</t>
  </si>
  <si>
    <t>long range</t>
  </si>
  <si>
    <t>performance</t>
  </si>
  <si>
    <t>Column1</t>
  </si>
  <si>
    <t>中国</t>
  </si>
  <si>
    <t>美国</t>
  </si>
  <si>
    <t>德国</t>
  </si>
  <si>
    <t>英国</t>
  </si>
  <si>
    <t>法国</t>
  </si>
  <si>
    <t>意大利</t>
  </si>
  <si>
    <t>西班牙</t>
  </si>
  <si>
    <t>荷兰</t>
  </si>
  <si>
    <t>挪威</t>
  </si>
  <si>
    <t>瑞典</t>
  </si>
  <si>
    <t>瑞士</t>
  </si>
  <si>
    <t>Model 3 price (10K)</t>
    <phoneticPr fontId="1" type="noConversion"/>
  </si>
  <si>
    <t>Japan or overseas</t>
  </si>
  <si>
    <t>Company category</t>
  </si>
  <si>
    <t>No. of companies/ No. of plants</t>
  </si>
  <si>
    <t>Year of</t>
  </si>
  <si>
    <t>establishment</t>
  </si>
  <si>
    <t>20th</t>
  </si>
  <si>
    <t>anniversary</t>
  </si>
  <si>
    <t>30th</t>
  </si>
  <si>
    <t>40th</t>
  </si>
  <si>
    <t>50th</t>
  </si>
  <si>
    <t>75th</t>
  </si>
  <si>
    <t>Japan</t>
  </si>
  <si>
    <t>Toyota</t>
  </si>
  <si>
    <t>No. of plants</t>
  </si>
  <si>
    <t>Affiliates (Toyota wholly</t>
  </si>
  <si>
    <t>-owned subsidiaries)</t>
  </si>
  <si>
    <t>No. of companies</t>
  </si>
  <si>
    <t>No. of plants &amp; sites</t>
  </si>
  <si>
    <t>Affiliates (other vehicle assembly cos.)</t>
  </si>
  <si>
    <t>Overseas</t>
  </si>
  <si>
    <t>Worldwide production (vehicles)</t>
  </si>
  <si>
    <t>Year</t>
  </si>
  <si>
    <t>Worldwide production</t>
  </si>
  <si>
    <t>Production in Japan</t>
  </si>
  <si>
    <t>Overseas production</t>
  </si>
  <si>
    <t>Passenger cars</t>
  </si>
  <si>
    <t>Trucks &amp; buses</t>
  </si>
  <si>
    <t>Market share (excluding minivehicles)</t>
  </si>
  <si>
    <t>ear</t>
  </si>
  <si>
    <t>RVs</t>
  </si>
  <si>
    <t>Total of all passenger cars &amp; RVs</t>
  </si>
  <si>
    <t>Market share (including minivehicles)</t>
  </si>
  <si>
    <t>Japan</t>
    <phoneticPr fontId="1" type="noConversion"/>
  </si>
  <si>
    <t>North America</t>
  </si>
  <si>
    <t>Latin America</t>
  </si>
  <si>
    <t>Europe</t>
  </si>
  <si>
    <t>Africa</t>
  </si>
  <si>
    <t>Asia</t>
  </si>
  <si>
    <t>China</t>
  </si>
  <si>
    <t>Middle East</t>
  </si>
  <si>
    <t>Oceania</t>
  </si>
  <si>
    <t>Oversea</t>
    <phoneticPr fontId="1" type="noConversion"/>
  </si>
  <si>
    <r>
      <rPr>
        <sz val="9"/>
        <color rgb="FF333333"/>
        <rFont val="微軟正黑體"/>
        <family val="2"/>
        <charset val="136"/>
      </rPr>
      <t>Over sea</t>
    </r>
    <r>
      <rPr>
        <sz val="9"/>
        <color rgb="FF333333"/>
        <rFont val="Meiryo"/>
        <family val="2"/>
        <charset val="128"/>
      </rPr>
      <t>Total</t>
    </r>
    <phoneticPr fontId="1" type="noConversion"/>
  </si>
  <si>
    <t>scale</t>
    <phoneticPr fontId="1" type="noConversion"/>
  </si>
  <si>
    <t>Avg</t>
    <phoneticPr fontId="1" type="noConversion"/>
  </si>
  <si>
    <r>
      <rPr>
        <sz val="9"/>
        <color rgb="FF333333"/>
        <rFont val="Meiryo"/>
        <family val="2"/>
      </rPr>
      <t xml:space="preserve">Japan Sales </t>
    </r>
    <r>
      <rPr>
        <sz val="9"/>
        <color rgb="FF333333"/>
        <rFont val="Meiryo"/>
        <family val="2"/>
        <charset val="128"/>
      </rPr>
      <t>Total</t>
    </r>
    <phoneticPr fontId="1" type="noConversion"/>
  </si>
  <si>
    <t>Tesla 2019</t>
    <phoneticPr fontId="1" type="noConversion"/>
  </si>
  <si>
    <t>WorldWideSales</t>
    <phoneticPr fontId="1" type="noConversion"/>
  </si>
  <si>
    <t>Plant</t>
    <phoneticPr fontId="1" type="noConversion"/>
  </si>
  <si>
    <t>Employees</t>
  </si>
  <si>
    <t>Employees</t>
    <phoneticPr fontId="1" type="noConversion"/>
  </si>
  <si>
    <t>Models</t>
    <phoneticPr fontId="1" type="noConversion"/>
  </si>
  <si>
    <t>VIN</t>
  </si>
  <si>
    <t>Location</t>
  </si>
  <si>
    <t>Products</t>
  </si>
  <si>
    <t>Opened</t>
  </si>
  <si>
    <t>Comments</t>
  </si>
  <si>
    <t>Lotus Cars</t>
  </si>
  <si>
    <r>
      <t>Hethel</t>
    </r>
    <r>
      <rPr>
        <u/>
        <sz val="11"/>
        <color theme="10"/>
        <rFont val="Calibri"/>
        <family val="1"/>
        <charset val="136"/>
        <scheme val="minor"/>
      </rPr>
      <t>, UK</t>
    </r>
  </si>
  <si>
    <t>Tesla Roadster (2008)</t>
  </si>
  <si>
    <t>2006‒2008</t>
  </si>
  <si>
    <t>Manufactured by Tesla in England</t>
  </si>
  <si>
    <r>
      <t>Menlo Park, California</t>
    </r>
    <r>
      <rPr>
        <u/>
        <sz val="11"/>
        <color theme="10"/>
        <rFont val="Calibri"/>
        <family val="1"/>
        <charset val="136"/>
        <scheme val="minor"/>
      </rPr>
      <t>, US</t>
    </r>
  </si>
  <si>
    <r>
      <t>Final assembly of </t>
    </r>
    <r>
      <rPr>
        <sz val="11"/>
        <color rgb="FF0B0080"/>
        <rFont val="Arial"/>
        <family val="2"/>
      </rPr>
      <t>gliders</t>
    </r>
    <r>
      <rPr>
        <sz val="11"/>
        <color rgb="FF202122"/>
        <rFont val="Arial"/>
        <family val="2"/>
      </rPr>
      <t> originally manufactured at </t>
    </r>
    <r>
      <rPr>
        <sz val="11"/>
        <color rgb="FF0B0080"/>
        <rFont val="Arial"/>
        <family val="2"/>
      </rPr>
      <t>Lotus Cars</t>
    </r>
    <r>
      <rPr>
        <sz val="11"/>
        <color rgb="FF202122"/>
        <rFont val="Arial"/>
        <family val="2"/>
      </rPr>
      <t> in Hethel, England</t>
    </r>
  </si>
  <si>
    <t>Tesla Factory</t>
  </si>
  <si>
    <r>
      <t>Fremont, California</t>
    </r>
    <r>
      <rPr>
        <u/>
        <sz val="11"/>
        <color theme="10"/>
        <rFont val="Calibri"/>
        <family val="1"/>
        <charset val="136"/>
        <scheme val="minor"/>
      </rPr>
      <t>, US</t>
    </r>
  </si>
  <si>
    <t>Tesla Model S</t>
  </si>
  <si>
    <t>Tesla Model X</t>
  </si>
  <si>
    <t>Tesla Model 3</t>
  </si>
  <si>
    <t>Tesla Model Y</t>
  </si>
  <si>
    <t>Tesla Roadster (2020)</t>
  </si>
  <si>
    <t>Tesla facilities in Tilburg</t>
  </si>
  <si>
    <r>
      <t>Tilburg</t>
    </r>
    <r>
      <rPr>
        <u/>
        <sz val="11"/>
        <color theme="10"/>
        <rFont val="Calibri"/>
        <family val="1"/>
        <charset val="136"/>
        <scheme val="minor"/>
      </rPr>
      <t>, Netherlands</t>
    </r>
  </si>
  <si>
    <t>Final assembly of major components from USA</t>
  </si>
  <si>
    <t>C</t>
  </si>
  <si>
    <t>Tesla Gigafactory 3</t>
  </si>
  <si>
    <r>
      <t>Shanghai</t>
    </r>
    <r>
      <rPr>
        <u/>
        <sz val="11"/>
        <color theme="10"/>
        <rFont val="Calibri"/>
        <family val="1"/>
        <charset val="136"/>
        <scheme val="minor"/>
      </rPr>
      <t>, China</t>
    </r>
  </si>
  <si>
    <t>Constructed in a 12 month period, among the fastest constructions of a factory of this size</t>
  </si>
  <si>
    <t>Tesla Gigafactory 4</t>
  </si>
  <si>
    <r>
      <t>Grünheide (Mark)</t>
    </r>
    <r>
      <rPr>
        <u/>
        <sz val="11"/>
        <color theme="10"/>
        <rFont val="Calibri"/>
        <family val="1"/>
        <charset val="136"/>
        <scheme val="minor"/>
      </rPr>
      <t>, Germany</t>
    </r>
  </si>
  <si>
    <r>
      <t>Tesla "Model 2"</t>
    </r>
    <r>
      <rPr>
        <u/>
        <sz val="11"/>
        <color theme="10"/>
        <rFont val="Calibri"/>
        <family val="1"/>
        <charset val="136"/>
        <scheme val="minor"/>
      </rPr>
      <t> (Future)</t>
    </r>
  </si>
  <si>
    <t>2021 (Future)</t>
  </si>
  <si>
    <t>10,000+</t>
  </si>
  <si>
    <r>
      <t>Mega rave cave under the Berlin Gigafactory, suggested by </t>
    </r>
    <r>
      <rPr>
        <sz val="11"/>
        <color rgb="FF0B0080"/>
        <rFont val="Arial"/>
        <family val="2"/>
      </rPr>
      <t>Elon Musk</t>
    </r>
    <r>
      <rPr>
        <sz val="11"/>
        <color rgb="FF202122"/>
        <rFont val="Arial"/>
        <family val="2"/>
      </rPr>
      <t> on </t>
    </r>
    <r>
      <rPr>
        <sz val="11"/>
        <color rgb="FF0B0080"/>
        <rFont val="Arial"/>
        <family val="2"/>
      </rPr>
      <t>Twitter</t>
    </r>
    <r>
      <rPr>
        <sz val="11"/>
        <color rgb="FF202122"/>
        <rFont val="Arial"/>
        <family val="2"/>
      </rPr>
      <t> and confirmed in an interview at Giga Berlin.</t>
    </r>
  </si>
  <si>
    <t>Tesla Terafactory 5</t>
  </si>
  <si>
    <r>
      <t>Austin,Texas</t>
    </r>
    <r>
      <rPr>
        <u/>
        <sz val="11"/>
        <color theme="10"/>
        <rFont val="Calibri"/>
        <family val="1"/>
        <charset val="136"/>
        <scheme val="minor"/>
      </rPr>
      <t>, US</t>
    </r>
  </si>
  <si>
    <t>Tesla Semi</t>
  </si>
  <si>
    <t>Tesla city bus</t>
  </si>
  <si>
    <t>Tesla Cybertruck</t>
  </si>
  <si>
    <t>Will include an ecological paradise for t</t>
  </si>
  <si>
    <t>Production line capacity of Giga Shanghai is aimed at 5,000 cars per week, and if achieved and sustained could result in an annual capacity of more than 250,000 vehicles</t>
  </si>
  <si>
    <t>expected to produce batteries, battery packs and seats, along with drivetrain assembly. It is also expected to be employed in the final assembly of both Model 3 and Model Y EVs</t>
    <phoneticPr fontId="1" type="noConversion"/>
  </si>
  <si>
    <t>MC growth rate Avg</t>
    <phoneticPr fontId="1" type="noConversion"/>
  </si>
  <si>
    <t>MR growth rate Avg</t>
    <phoneticPr fontId="1" type="noConversion"/>
  </si>
  <si>
    <t>Prod growth rate Av</t>
    <phoneticPr fontId="1" type="noConversion"/>
  </si>
  <si>
    <t>Cumulative production units</t>
    <phoneticPr fontId="1" type="noConversion"/>
  </si>
  <si>
    <t>https://www.benchmarkminerals.com/who-is-winning-the-global-lithium-ion-battery-arms-race/</t>
  </si>
  <si>
    <r>
      <t>Before Elon Musk announced Tesla’s </t>
    </r>
    <r>
      <rPr>
        <u/>
        <sz val="11"/>
        <color theme="10"/>
        <rFont val="Calibri"/>
        <family val="1"/>
        <charset val="136"/>
        <scheme val="minor"/>
      </rPr>
      <t>intention to build the world’s biggest lithium ion battery plant, The Gigafactory 1, lithium ion batteries were somewhat of a cottage industry geared to supplying a mobile consumer market for smartphones, laptops, and power-tools.</t>
    </r>
  </si>
  <si>
    <t>AFC (USD)</t>
    <phoneticPr fontId="1" type="noConversion"/>
  </si>
  <si>
    <t>N/A</t>
    <phoneticPr fontId="1" type="noConversion"/>
  </si>
  <si>
    <t>AVC growth rate Avg</t>
    <phoneticPr fontId="1" type="noConversion"/>
  </si>
  <si>
    <t>AFC growth rate Avg</t>
    <phoneticPr fontId="1" type="noConversion"/>
  </si>
  <si>
    <t>https://www.globalxetfs.com/can-lithium-keep-up-with-the-ev-boom/</t>
  </si>
  <si>
    <r>
      <t xml:space="preserve">Scaling battery production isn’t just about meeting ambitious EV targets, it’s also about achieving economies of scale to reduce battery costs. One of the key determinants of battery costs is the relationship between price and volume. </t>
    </r>
    <r>
      <rPr>
        <b/>
        <sz val="13"/>
        <color rgb="FFFF0000"/>
        <rFont val="Arial"/>
        <family val="2"/>
      </rPr>
      <t>Historically, for every doubling of cumulative volume, there is an 18% reduction in total battery price</t>
    </r>
    <r>
      <rPr>
        <sz val="13"/>
        <color rgb="FF606060"/>
        <rFont val="Arial"/>
        <family val="2"/>
      </rPr>
      <t>.</t>
    </r>
    <r>
      <rPr>
        <sz val="10"/>
        <color rgb="FF606060"/>
        <rFont val="Arial"/>
        <family val="2"/>
      </rPr>
      <t>5</t>
    </r>
    <r>
      <rPr>
        <sz val="13"/>
        <color rgb="FF606060"/>
        <rFont val="Arial"/>
        <family val="2"/>
      </rPr>
      <t> Based on this information, we could infer that battery prices could decline to approximately $60/kWh by 2030, from approximately $120/kWh in 2019 with this greater manufacturing capacity.</t>
    </r>
    <phoneticPr fontId="1" type="noConversion"/>
  </si>
  <si>
    <r>
      <t xml:space="preserve">Just as EVs depend on battery manufacturing capacity to meet their production targets, battery producers depend on access to raw materials like lithium to build their batteries.   The problem, however, is that lithium miners see little incentive to increase capacity right now. </t>
    </r>
    <r>
      <rPr>
        <sz val="13"/>
        <color rgb="FFFF0000"/>
        <rFont val="Arial"/>
        <family val="2"/>
      </rPr>
      <t>The current lithium market is slightly oversupplied, with mining output exceeding demand,</t>
    </r>
    <r>
      <rPr>
        <sz val="13"/>
        <color rgb="FF606060"/>
        <rFont val="Arial"/>
        <family val="2"/>
      </rPr>
      <t xml:space="preserve"> which keeps a lid on lithium prices. Should miners increase production capacity, they will only put further pressure on lithium prices in the near term. We saw this pattern from 2015 to 2018 when high lithium prices resulted in greater capacity expansion plans, which ultimately pressured prices downwards.</t>
    </r>
    <phoneticPr fontId="1" type="noConversion"/>
  </si>
  <si>
    <r>
      <t>Miners still have time to prepare to meet the massive demand, but even to double current output by 2025 – delivering less than one third of 2029’s expected demand – seems ambitious. Depending on the method of extraction, lithium extraction can require 3-5 years or more of studies, permitting, capital raising, and capex before any lithium is produced. With EVs potentially reaching purchase price parity with in as soon as 2–3 years, a lithium supply crunch could be looming.</t>
    </r>
    <r>
      <rPr>
        <sz val="10"/>
        <color rgb="FF606060"/>
        <rFont val="Arial"/>
        <family val="2"/>
      </rPr>
      <t>6</t>
    </r>
    <r>
      <rPr>
        <sz val="13"/>
        <color rgb="FF606060"/>
        <rFont val="Arial"/>
        <family val="2"/>
      </rPr>
      <t> Plans for the Terafactory behemoth make the numbers even less plausible: By itself, a Terafactory operating at full capacity would require about 800,000 mt of LCE, or 2.5 times 2019’s total lithium demand.</t>
    </r>
  </si>
  <si>
    <t>While the EV industry slowly incorporates advanced and next frontier battery technologies, consumers are expected to continue to experience enhanced features such as longer driving range of over 500 miles in a single charge with a life cycle of over a thousand charges.</t>
  </si>
  <si>
    <t> While undersupply may slow EV adoption in the near term, its effects are likely positive for lithium miners who would enjoy higher selling prices until investments in new projects begin to yield greater lithium output.</t>
  </si>
  <si>
    <t>Cost of Equity</t>
  </si>
  <si>
    <t>Notes</t>
  </si>
  <si>
    <t>Selected Beta</t>
  </si>
  <si>
    <t>See Re-levered Beta Section</t>
  </si>
  <si>
    <t>Source Link</t>
  </si>
  <si>
    <t>Adjusted Market Risk Premium</t>
  </si>
  <si>
    <t>(+) Risk-free Rate </t>
  </si>
  <si>
    <t>(+) Additional Risk Adjustments</t>
  </si>
  <si>
    <t>(USD in millions)</t>
  </si>
  <si>
    <t>Fiscal Year Ending</t>
  </si>
  <si>
    <t>FY-4</t>
  </si>
  <si>
    <t>FY-3</t>
  </si>
  <si>
    <t>FY-2</t>
  </si>
  <si>
    <t>FY-1</t>
  </si>
  <si>
    <t>FY</t>
  </si>
  <si>
    <t>Cost of Debt Benchmarks</t>
  </si>
  <si>
    <t>See "Effective Interest Rate"</t>
  </si>
  <si>
    <t>Cost of Debt</t>
  </si>
  <si>
    <t>Selected Long-term Debt</t>
  </si>
  <si>
    <t>Tax Rate</t>
  </si>
  <si>
    <t>After-tax Cost of Debt</t>
  </si>
  <si>
    <t>Effective Interest Rate</t>
  </si>
  <si>
    <t>Interest Expense</t>
  </si>
  <si>
    <t>interest_exp</t>
  </si>
  <si>
    <t>Total Debt</t>
  </si>
  <si>
    <t>total_debt</t>
  </si>
  <si>
    <t>Average Effective Interest Rate</t>
  </si>
  <si>
    <t>Select Re-levered Beta</t>
  </si>
  <si>
    <t>Comparable Companies</t>
  </si>
  <si>
    <t>Levered Beta</t>
  </si>
  <si>
    <t>Debt / Capital</t>
  </si>
  <si>
    <t>Unlevered Beta</t>
  </si>
  <si>
    <t>Amazon.com, Inc.</t>
  </si>
  <si>
    <t>NasdaqGS:TSLA</t>
  </si>
  <si>
    <t>Average</t>
  </si>
  <si>
    <t>Selected Unlevered Beta</t>
  </si>
  <si>
    <t>Debt % of Capital</t>
  </si>
  <si>
    <t>Equity % of Capital</t>
  </si>
  <si>
    <t>Re-levered Beta</t>
  </si>
  <si>
    <t>Select Debt &amp; Equity Weights</t>
  </si>
  <si>
    <t>Debt</t>
  </si>
  <si>
    <t>Market Cap</t>
  </si>
  <si>
    <t>NasdaqGS:AMZN</t>
  </si>
  <si>
    <t>Tesla, Inc.</t>
  </si>
  <si>
    <t>Weights</t>
  </si>
  <si>
    <t>Cost Estimates</t>
  </si>
  <si>
    <t>WACC Range</t>
  </si>
  <si>
    <t>Selected WACC </t>
  </si>
  <si>
    <t>AP(PPE)</t>
    <phoneticPr fontId="1" type="noConversion"/>
  </si>
  <si>
    <t>MP(PPE)</t>
    <phoneticPr fontId="1" type="noConversion"/>
  </si>
  <si>
    <t>MRP(PPE)</t>
    <phoneticPr fontId="1" type="noConversion"/>
  </si>
  <si>
    <t>DOL</t>
    <phoneticPr fontId="1" type="noConversion"/>
  </si>
  <si>
    <t>Contribution Margin(M)</t>
    <phoneticPr fontId="1" type="noConversion"/>
  </si>
  <si>
    <t>Operating Income</t>
    <phoneticPr fontId="1" type="noConversion"/>
  </si>
  <si>
    <t>DFL</t>
    <phoneticPr fontId="1" type="noConversion"/>
  </si>
  <si>
    <t>DTL</t>
    <phoneticPr fontId="1" type="noConversion"/>
  </si>
  <si>
    <t>EBT(M)</t>
    <phoneticPr fontId="1" type="noConversion"/>
  </si>
  <si>
    <t>Interest expense(M)</t>
    <phoneticPr fontId="1" type="noConversion"/>
  </si>
  <si>
    <t>Qbe to EBT</t>
    <phoneticPr fontId="1" type="noConversion"/>
  </si>
  <si>
    <t>Qbe to Operating</t>
    <phoneticPr fontId="1" type="noConversion"/>
  </si>
  <si>
    <t>Diff</t>
    <phoneticPr fontId="1" type="noConversion"/>
  </si>
  <si>
    <t xml:space="preserve">expected </t>
    <phoneticPr fontId="1" type="noConversion"/>
  </si>
  <si>
    <t>CFO</t>
    <phoneticPr fontId="1" type="noConversion"/>
  </si>
  <si>
    <t>TTM Free CF</t>
    <phoneticPr fontId="1" type="noConversion"/>
  </si>
  <si>
    <t>ROE</t>
    <phoneticPr fontId="1" type="noConversion"/>
  </si>
  <si>
    <t>Total stockholders' equity</t>
  </si>
  <si>
    <t>Equity</t>
    <phoneticPr fontId="1" type="noConversion"/>
  </si>
  <si>
    <t>FCF per unit (USD)</t>
    <phoneticPr fontId="1" type="noConversion"/>
  </si>
  <si>
    <t>Period</t>
    <phoneticPr fontId="1" type="noConversion"/>
  </si>
  <si>
    <t>AVG GP</t>
    <phoneticPr fontId="1" type="noConversion"/>
  </si>
  <si>
    <t>WACC</t>
    <phoneticPr fontId="1" type="noConversion"/>
  </si>
  <si>
    <t>Terminal Value</t>
    <phoneticPr fontId="1" type="noConversion"/>
  </si>
  <si>
    <t>Enterprise value</t>
    <phoneticPr fontId="1" type="noConversion"/>
  </si>
  <si>
    <t>stock prise</t>
    <phoneticPr fontId="1" type="noConversion"/>
  </si>
  <si>
    <t>Toyota EV/EBITDA</t>
    <phoneticPr fontId="1" type="noConversion"/>
  </si>
  <si>
    <t>Apple EV/EBITDA</t>
    <phoneticPr fontId="1" type="noConversion"/>
  </si>
  <si>
    <t>General Motor EV/EBITDA</t>
    <phoneticPr fontId="1" type="noConversion"/>
  </si>
  <si>
    <t>YEAR</t>
  </si>
  <si>
    <t>CALENDAR YEAR PAYOUT</t>
  </si>
  <si>
    <t>CALENDAR YEAR PAYOUT GROWTH</t>
  </si>
  <si>
    <t>PAY DATE</t>
  </si>
  <si>
    <t>DECLARED DATE</t>
  </si>
  <si>
    <t>EX-DIVIDEND DATE</t>
  </si>
  <si>
    <t>PAYOUT AMOUNT</t>
  </si>
  <si>
    <t>QUALIFIED DIVIDEND?</t>
  </si>
  <si>
    <t>PAYOUT TYPE</t>
  </si>
  <si>
    <t>FREQUENCY</t>
  </si>
  <si>
    <t>DAYS TAKEN FOR STOCK PRICE TO RECOVER</t>
  </si>
  <si>
    <t>Income, Qualified</t>
  </si>
  <si>
    <t>Regular</t>
  </si>
  <si>
    <t>Quarterly</t>
  </si>
  <si>
    <t>Income</t>
  </si>
  <si>
    <t>CL Dividend Growth</t>
  </si>
  <si>
    <t>1 YEAR ANNUALIZED GROWTH</t>
  </si>
  <si>
    <t>3 YEAR ANNUALIZED GROWTH</t>
  </si>
  <si>
    <t>5 YEAR ANNUALIZED GROWTH</t>
  </si>
  <si>
    <t>10 YEAR ANNUALIZED GROWTH</t>
  </si>
  <si>
    <t>20 YEAR ANNUALIZED GROWTH</t>
  </si>
  <si>
    <t>YEARS OF CONSECUTIVE DIVIDEND GROWTH</t>
  </si>
  <si>
    <t>Total Equity</t>
    <phoneticPr fontId="1" type="noConversion"/>
  </si>
  <si>
    <t>Retained Earnings is the accumulated portion of net income that is not distributed to shareholders. Because the net income was not distributed to shareholders, shareholders' equity is increased by the same amount.</t>
  </si>
  <si>
    <t>Of course, if a company loses, it is called retained losses, or accumulated losses.</t>
  </si>
  <si>
    <t>If the company loses more than it has accumulated, retained earnings is negative.</t>
  </si>
  <si>
    <t>Historically profitable companies sometimes have negative retained earnings. This is because they have cumulatively paid out more to shareholders than they reported in profits.</t>
  </si>
  <si>
    <t>For example, in 2011, Microsoft had negative retained earnings. This does not mean the company lost more money than it made over the years. It just means it paid out more money than it earned.</t>
  </si>
  <si>
    <t>Additional paid-in capital</t>
    <phoneticPr fontId="1" type="noConversion"/>
  </si>
  <si>
    <t>Book value of
Short Term debt and finance leases</t>
    <phoneticPr fontId="1" type="noConversion"/>
  </si>
  <si>
    <t>Total debt on book</t>
    <phoneticPr fontId="1" type="noConversion"/>
  </si>
  <si>
    <t>Total Invested Capital</t>
    <phoneticPr fontId="1" type="noConversion"/>
  </si>
  <si>
    <t>Cash</t>
    <phoneticPr fontId="1" type="noConversion"/>
  </si>
  <si>
    <t>Operating Income</t>
    <phoneticPr fontId="1" type="noConversion"/>
  </si>
  <si>
    <t>2020(3 Qs)</t>
    <phoneticPr fontId="1" type="noConversion"/>
  </si>
  <si>
    <t>Tax rate</t>
    <phoneticPr fontId="1" type="noConversion"/>
  </si>
  <si>
    <t>Interest Income</t>
    <phoneticPr fontId="1" type="noConversion"/>
  </si>
  <si>
    <t>NOPAT</t>
    <phoneticPr fontId="1" type="noConversion"/>
  </si>
  <si>
    <t>ROIC</t>
    <phoneticPr fontId="1" type="noConversion"/>
  </si>
  <si>
    <t>Net Income</t>
    <phoneticPr fontId="1" type="noConversion"/>
  </si>
  <si>
    <t>ROE(including RE)</t>
    <phoneticPr fontId="1" type="noConversion"/>
  </si>
  <si>
    <t>Noncontrolling interests in subsidiaries</t>
    <phoneticPr fontId="1" type="noConversion"/>
  </si>
  <si>
    <t>Total Invested Capital (all)</t>
    <phoneticPr fontId="1" type="noConversion"/>
  </si>
  <si>
    <t>ROIC(all)</t>
    <phoneticPr fontId="1" type="noConversion"/>
  </si>
  <si>
    <t>NOPAT(all)</t>
    <phoneticPr fontId="1" type="noConversion"/>
  </si>
  <si>
    <r>
      <t>Retained Earnings
(</t>
    </r>
    <r>
      <rPr>
        <b/>
        <sz val="11"/>
        <color rgb="FF3F3F3F"/>
        <rFont val="Calibri"/>
        <family val="1"/>
        <charset val="136"/>
        <scheme val="minor"/>
      </rPr>
      <t>Accumulated deficit= Retained loss)</t>
    </r>
    <phoneticPr fontId="1" type="noConversion"/>
  </si>
  <si>
    <t xml:space="preserve">Cost of Equity </t>
    <phoneticPr fontId="1" type="noConversion"/>
  </si>
  <si>
    <t>Div Growth</t>
    <phoneticPr fontId="1" type="noConversion"/>
  </si>
  <si>
    <t>Payout Ratio</t>
    <phoneticPr fontId="1" type="noConversion"/>
  </si>
  <si>
    <t>ROIC</t>
    <phoneticPr fontId="1" type="noConversion"/>
  </si>
  <si>
    <t>AVG</t>
    <phoneticPr fontId="1" type="noConversion"/>
  </si>
  <si>
    <t>ROE</t>
    <phoneticPr fontId="1" type="noConversion"/>
  </si>
  <si>
    <t>Year</t>
    <phoneticPr fontId="1" type="noConversion"/>
  </si>
  <si>
    <t>Dividend Payout Ratio</t>
  </si>
  <si>
    <r>
      <t>During the </t>
    </r>
    <r>
      <rPr>
        <b/>
        <sz val="9"/>
        <color rgb="FF333333"/>
        <rFont val="Arial"/>
        <family val="2"/>
      </rPr>
      <t>past 5 years</t>
    </r>
    <r>
      <rPr>
        <sz val="9"/>
        <color rgb="FF333333"/>
        <rFont val="Arial"/>
        <family val="2"/>
      </rPr>
      <t>, the average Dividends Per Share </t>
    </r>
    <r>
      <rPr>
        <b/>
        <sz val="9"/>
        <color rgb="FF333333"/>
        <rFont val="Arial"/>
        <family val="2"/>
      </rPr>
      <t>Growth Rate</t>
    </r>
    <r>
      <rPr>
        <sz val="9"/>
        <color rgb="FF333333"/>
        <rFont val="Arial"/>
        <family val="2"/>
      </rPr>
      <t> was </t>
    </r>
    <r>
      <rPr>
        <b/>
        <sz val="9"/>
        <color rgb="FF333333"/>
        <rFont val="Arial"/>
        <family val="2"/>
      </rPr>
      <t>3.70%</t>
    </r>
    <r>
      <rPr>
        <sz val="9"/>
        <color rgb="FF333333"/>
        <rFont val="Arial"/>
        <family val="2"/>
      </rPr>
      <t> per year. During the </t>
    </r>
    <r>
      <rPr>
        <b/>
        <sz val="9"/>
        <color rgb="FF333333"/>
        <rFont val="Arial"/>
        <family val="2"/>
      </rPr>
      <t>past 10 years</t>
    </r>
    <r>
      <rPr>
        <sz val="9"/>
        <color rgb="FF333333"/>
        <rFont val="Arial"/>
        <family val="2"/>
      </rPr>
      <t>, the average Dividends Per Share </t>
    </r>
    <r>
      <rPr>
        <b/>
        <sz val="9"/>
        <color rgb="FF333333"/>
        <rFont val="Arial"/>
        <family val="2"/>
      </rPr>
      <t>Growth Rate</t>
    </r>
    <r>
      <rPr>
        <sz val="9"/>
        <color rgb="FF333333"/>
        <rFont val="Arial"/>
        <family val="2"/>
      </rPr>
      <t> was </t>
    </r>
    <r>
      <rPr>
        <b/>
        <sz val="9"/>
        <color rgb="FF333333"/>
        <rFont val="Arial"/>
        <family val="2"/>
      </rPr>
      <t>6.60%</t>
    </r>
    <r>
      <rPr>
        <sz val="9"/>
        <color rgb="FF333333"/>
        <rFont val="Arial"/>
        <family val="2"/>
      </rPr>
      <t> per year.</t>
    </r>
  </si>
  <si>
    <t>Equity-to-Asset</t>
  </si>
  <si>
    <t>Financial Leverage</t>
    <phoneticPr fontId="1" type="noConversion"/>
  </si>
  <si>
    <t>TTM DPS</t>
    <phoneticPr fontId="1" type="noConversion"/>
  </si>
  <si>
    <t>Forward DPS</t>
    <phoneticPr fontId="1" type="noConversion"/>
  </si>
  <si>
    <t>Price</t>
    <phoneticPr fontId="1" type="noConversion"/>
  </si>
  <si>
    <t>Div Yield</t>
    <phoneticPr fontId="1" type="noConversion"/>
  </si>
  <si>
    <t>Forward Div yield</t>
    <phoneticPr fontId="1" type="noConversion"/>
  </si>
  <si>
    <t>20-Y forward Div</t>
    <phoneticPr fontId="1" type="noConversion"/>
  </si>
  <si>
    <t>20-Y forward Div Yield</t>
    <phoneticPr fontId="1" type="noConversion"/>
  </si>
  <si>
    <t>sustainable</t>
    <phoneticPr fontId="1" type="noConversion"/>
  </si>
  <si>
    <t>Days Inventory</t>
  </si>
  <si>
    <t>Days Payable</t>
  </si>
  <si>
    <t>Days Sales Outstanding</t>
  </si>
  <si>
    <t>Net Operating Cycle</t>
    <phoneticPr fontId="1" type="noConversion"/>
  </si>
  <si>
    <t>measures how fast a company can convert cash on hand into even more cash on hand. This metric looks at the amount of time needed to sell inventory, the amount of time needed to collect receivables and the length of time the company is afforded to pay its bills without incurring penalties.</t>
  </si>
  <si>
    <t>Industry</t>
    <phoneticPr fontId="1" type="noConversion"/>
  </si>
  <si>
    <t>In general, low or decreasing quick ratios generally suggest that a company is over-leveraged, struggling to maintain or grow sales, paying bills too quickly or collecting receivables too slowly. </t>
  </si>
  <si>
    <t> On the other hand, a high or increasing quick ratio generally indicates that a company is experiencing solid top-line growth, quickly converting receivables into cash, and easily able to cover its financial obligations. Such companies often have faster inventory turnover and cash conversion cycles.</t>
  </si>
  <si>
    <t>Q4</t>
    <phoneticPr fontId="1" type="noConversion"/>
  </si>
  <si>
    <r>
      <t xml:space="preserve">Net PPE(M)
(Operating </t>
    </r>
    <r>
      <rPr>
        <b/>
        <sz val="11"/>
        <color theme="1"/>
        <rFont val="Calibri"/>
        <family val="1"/>
        <charset val="136"/>
        <scheme val="minor"/>
      </rPr>
      <t>lease vehicle</t>
    </r>
    <r>
      <rPr>
        <sz val="11"/>
        <color theme="1"/>
        <rFont val="Calibri"/>
        <family val="2"/>
        <scheme val="minor"/>
      </rPr>
      <t xml:space="preserve">s, net:
</t>
    </r>
    <r>
      <rPr>
        <b/>
        <sz val="11"/>
        <color theme="1"/>
        <rFont val="Calibri"/>
        <family val="1"/>
        <charset val="136"/>
        <scheme val="minor"/>
      </rPr>
      <t>Solar energy systems</t>
    </r>
    <r>
      <rPr>
        <sz val="11"/>
        <color theme="1"/>
        <rFont val="Calibri"/>
        <family val="2"/>
        <scheme val="minor"/>
      </rPr>
      <t xml:space="preserve">, net:
Property, plant and equipment, net:
</t>
    </r>
    <r>
      <rPr>
        <b/>
        <sz val="11"/>
        <color theme="1"/>
        <rFont val="Calibri"/>
        <family val="1"/>
        <charset val="136"/>
        <scheme val="minor"/>
      </rPr>
      <t>Operating lease</t>
    </r>
    <r>
      <rPr>
        <sz val="11"/>
        <color theme="1"/>
        <rFont val="Calibri"/>
        <family val="2"/>
        <scheme val="minor"/>
      </rPr>
      <t xml:space="preserve"> right-of-use assets)
https://www.gurufocus.com/term/Net+PPE/NAS:TSLA/Property,-Plant-and-Equipment/Tesla</t>
    </r>
  </si>
  <si>
    <t>Capitial Expenditure</t>
  </si>
  <si>
    <t>te</t>
  </si>
  <si>
    <t>Depreciated</t>
  </si>
  <si>
    <t>Finished Goods</t>
  </si>
  <si>
    <t>Raw Materials &amp; Components</t>
  </si>
  <si>
    <t>Total Inv</t>
  </si>
  <si>
    <t>Production Variable Cost(M)</t>
  </si>
  <si>
    <t>Operating Cycle</t>
  </si>
  <si>
    <t>Quick Ratio</t>
  </si>
  <si>
    <t>Tax Rate</t>
  </si>
  <si>
    <t>Free CF</t>
  </si>
  <si>
    <t>No. of Common shares(M)
(As of January 25, 2023, there were 3,164,102,701 shares of the registrant’s common stock outstanding.)</t>
  </si>
  <si>
    <t>src:  https://finbox.com/NASDAQGS:TSLA/models/wacc</t>
  </si>
  <si>
    <t>(x) Country Market Risk Premium</t>
  </si>
  <si>
    <t>Size &amp; Country Default Risk</t>
  </si>
  <si>
    <t>Debt Adj Factor</t>
  </si>
  <si>
    <t>Rivian Automotive, Inc.</t>
  </si>
  <si>
    <t>NasdaqGS:RIVN</t>
  </si>
  <si>
    <t>1,601 </t>
  </si>
  <si>
    <t>11,357 </t>
  </si>
  <si>
    <t>169,938 </t>
  </si>
  <si>
    <t>1,097,196 </t>
  </si>
  <si>
    <t>Apple Inc.</t>
  </si>
  <si>
    <t>NasdaqGS:AAPL</t>
  </si>
  <si>
    <t>111,110 </t>
  </si>
  <si>
    <t>2,610,938 </t>
  </si>
  <si>
    <t>Nikola Corporation</t>
  </si>
  <si>
    <t>NasdaqGS:NKLA</t>
  </si>
  <si>
    <t>383 </t>
  </si>
  <si>
    <t>583 </t>
  </si>
  <si>
    <t>Virgin Galactic Holdings, Inc.</t>
  </si>
  <si>
    <t>NYSE:SPCE</t>
  </si>
  <si>
    <t>476 </t>
  </si>
  <si>
    <t>984 </t>
  </si>
  <si>
    <t>2,676 </t>
  </si>
  <si>
    <t>523,190 </t>
  </si>
  <si>
    <t>3 Year Avg Effective Interest Exp</t>
  </si>
  <si>
    <t>Marginal Tax Rate</t>
  </si>
  <si>
    <t>Adjusted Unlevered Beta</t>
  </si>
  <si>
    <t>alculate a Weighted Average Range</t>
  </si>
  <si>
    <t>Book value of
Long Term debt and finance leases(2022)</t>
  </si>
  <si>
    <t xml:space="preserve">cash equivalents
 are short-term investments, marketable securities, commercial paper, and money market funds. </t>
  </si>
  <si>
    <t>work in progress</t>
  </si>
  <si>
    <t>Noncontrolling interests in subsidiaries (Minority Interest ?)</t>
  </si>
  <si>
    <t>YoY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</si>
</sst>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5" formatCode="&quot;US$&quot;#,##0.00_);[Red]\(&quot;US$&quot;#,##0.00\)"/>
    <numFmt numFmtId="166" formatCode="0.00_ "/>
    <numFmt numFmtId="170" formatCode="&quot;HK$&quot;#,##0.00"/>
    <numFmt numFmtId="171" formatCode="0.00_);\(0.00\)"/>
    <numFmt numFmtId="172" formatCode="#,##0_ "/>
    <numFmt numFmtId="173" formatCode="0_);[Red]\(0\)"/>
    <numFmt numFmtId="174" formatCode="0_ "/>
    <numFmt numFmtId="175" formatCode="0.00000_ "/>
    <numFmt numFmtId="176" formatCode="#,##0.00_ "/>
    <numFmt numFmtId="177" formatCode="0.00_);[Red]\(0.00\)"/>
    <numFmt numFmtId="178" formatCode="0.00000000%"/>
  </numFmts>
  <fonts count="69">
    <font>
      <sz val="11"/>
      <color theme="1"/>
      <name val="Calibri"/>
      <family val="2"/>
      <scheme val="minor"/>
    </font>
    <font>
      <sz val="9"/>
      <name val="Calibri"/>
      <family val="3"/>
      <charset val="136"/>
      <scheme val="minor"/>
    </font>
    <font>
      <sz val="11"/>
      <color rgb="FF9C0006"/>
      <name val="Calibri"/>
      <family val="2"/>
      <charset val="136"/>
      <scheme val="minor"/>
    </font>
    <font>
      <sz val="11"/>
      <color theme="1"/>
      <name val="Calibri"/>
      <family val="2"/>
      <charset val="136"/>
      <scheme val="minor"/>
    </font>
    <font>
      <sz val="11"/>
      <color rgb="FF9C5700"/>
      <name val="Calibri"/>
      <family val="2"/>
      <charset val="136"/>
      <scheme val="minor"/>
    </font>
    <font>
      <b/>
      <sz val="11"/>
      <color rgb="FFFA7D00"/>
      <name val="Calibri"/>
      <family val="2"/>
      <charset val="136"/>
      <scheme val="minor"/>
    </font>
    <font>
      <sz val="11"/>
      <color theme="1"/>
      <name val="Calibri"/>
      <family val="2"/>
      <scheme val="minor"/>
    </font>
    <font>
      <b/>
      <sz val="11"/>
      <color rgb="FF3F3F3F"/>
      <name val="Calibri"/>
      <family val="2"/>
      <charset val="136"/>
      <scheme val="minor"/>
    </font>
    <font>
      <sz val="9"/>
      <color rgb="FF333333"/>
      <name val="Arial"/>
      <family val="2"/>
    </font>
    <font>
      <sz val="9"/>
      <color theme="1"/>
      <name val="Arial"/>
      <family val="2"/>
    </font>
    <font>
      <b/>
      <sz val="11"/>
      <color rgb="FF393C41"/>
      <name val="Var(--tds-font-combined--bold)"/>
      <family val="2"/>
    </font>
    <font>
      <sz val="14"/>
      <color rgb="FF212121"/>
      <name val="Arial"/>
      <family val="2"/>
    </font>
    <font>
      <sz val="10"/>
      <color theme="1"/>
      <name val="Calibri"/>
      <family val="1"/>
      <charset val="136"/>
      <scheme val="minor"/>
    </font>
    <font>
      <sz val="9"/>
      <color rgb="FF181818"/>
      <name val="Arial"/>
      <family val="2"/>
    </font>
    <font>
      <sz val="9"/>
      <color rgb="FF181818"/>
      <name val="Arial"/>
      <family val="2"/>
    </font>
    <font>
      <sz val="10"/>
      <color rgb="FF000000"/>
      <name val="微?雅黑 Light"/>
      <family val="3"/>
      <charset val="136"/>
    </font>
    <font>
      <sz val="9"/>
      <color rgb="FF333333"/>
      <name val="Meiryo"/>
      <family val="2"/>
      <charset val="128"/>
    </font>
    <font>
      <b/>
      <sz val="9"/>
      <color rgb="FF333333"/>
      <name val="Meiryo"/>
      <family val="2"/>
      <charset val="128"/>
    </font>
    <font>
      <sz val="9"/>
      <color rgb="FF333333"/>
      <name val="微軟正黑體"/>
      <family val="2"/>
      <charset val="136"/>
    </font>
    <font>
      <sz val="9"/>
      <color rgb="FF333333"/>
      <name val="Meiryo"/>
      <family val="2"/>
      <charset val="136"/>
    </font>
    <font>
      <sz val="9"/>
      <color rgb="FF333333"/>
      <name val="Meiryo"/>
      <family val="2"/>
    </font>
    <font>
      <b/>
      <sz val="11"/>
      <color rgb="FF202122"/>
      <name val="Arial"/>
      <family val="2"/>
    </font>
    <font>
      <sz val="11"/>
      <color rgb="FF202122"/>
      <name val="Arial"/>
      <family val="2"/>
    </font>
    <font>
      <sz val="10"/>
      <color rgb="FF000000"/>
      <name val="Courier New"/>
      <family val="3"/>
    </font>
    <font>
      <sz val="11"/>
      <color rgb="FF0B0080"/>
      <name val="Arial"/>
      <family val="2"/>
    </font>
    <font>
      <u/>
      <sz val="11"/>
      <color theme="10"/>
      <name val="Calibri"/>
      <family val="2"/>
      <scheme val="minor"/>
    </font>
    <font>
      <u/>
      <sz val="11"/>
      <color theme="10"/>
      <name val="Calibri"/>
      <family val="1"/>
      <charset val="136"/>
      <scheme val="minor"/>
    </font>
    <font>
      <sz val="12"/>
      <color rgb="FF0A0A0A"/>
      <name val="Merriweather"/>
      <family val="2"/>
    </font>
    <font>
      <sz val="13"/>
      <color rgb="FF606060"/>
      <name val="Arial"/>
      <family val="2"/>
    </font>
    <font>
      <sz val="10"/>
      <color rgb="FF606060"/>
      <name val="Arial"/>
      <family val="2"/>
    </font>
    <font>
      <sz val="13"/>
      <color rgb="FFFF0000"/>
      <name val="Arial"/>
      <family val="2"/>
    </font>
    <font>
      <b/>
      <sz val="13"/>
      <color rgb="FFFF0000"/>
      <name val="Arial"/>
      <family val="2"/>
    </font>
    <font>
      <b/>
      <sz val="13"/>
      <color rgb="FF0070C0"/>
      <name val="Arial"/>
      <family val="2"/>
    </font>
    <font>
      <i/>
      <u/>
      <sz val="10"/>
      <color rgb="FF4C4C35"/>
      <name val="Trebuchet MS"/>
      <family val="2"/>
    </font>
    <font>
      <sz val="10"/>
      <color rgb="FF4C4C35"/>
      <name val="Trebuchet MS"/>
      <family val="2"/>
    </font>
    <font>
      <i/>
      <sz val="10"/>
      <color rgb="FF4C4C35"/>
      <name val="Trebuchet MS"/>
      <family val="2"/>
    </font>
    <font>
      <i/>
      <sz val="10"/>
      <color rgb="FF000000"/>
      <name val="Trebuchet MS"/>
      <family val="2"/>
    </font>
    <font>
      <sz val="10"/>
      <color rgb="FF2689FB"/>
      <name val="Trebuchet MS"/>
      <family val="2"/>
    </font>
    <font>
      <sz val="11"/>
      <color rgb="FF181818"/>
      <name val="Inherit"/>
      <family val="2"/>
    </font>
    <font>
      <b/>
      <sz val="10"/>
      <color rgb="FF434343"/>
      <name val="Trebuchet MS"/>
      <family val="2"/>
    </font>
    <font>
      <b/>
      <sz val="10"/>
      <color rgb="FF4C4C35"/>
      <name val="Trebuchet MS"/>
      <family val="2"/>
    </font>
    <font>
      <i/>
      <sz val="9"/>
      <color rgb="FF4C4C35"/>
      <name val="Trebuchet MS"/>
      <family val="2"/>
    </font>
    <font>
      <b/>
      <i/>
      <sz val="10"/>
      <color rgb="FF4C4C35"/>
      <name val="Trebuchet MS"/>
      <family val="2"/>
    </font>
    <font>
      <b/>
      <sz val="10"/>
      <color rgb="FF2689FB"/>
      <name val="Trebuchet MS"/>
      <family val="2"/>
    </font>
    <font>
      <b/>
      <sz val="11"/>
      <color theme="1"/>
      <name val="Inherit"/>
      <family val="2"/>
    </font>
    <font>
      <sz val="10"/>
      <color theme="1"/>
      <name val="Trebuchet MS"/>
      <family val="2"/>
    </font>
    <font>
      <b/>
      <sz val="11"/>
      <color rgb="FF2689FB"/>
      <name val="Trebuchet MS"/>
      <family val="2"/>
    </font>
    <font>
      <sz val="11"/>
      <color rgb="FF181818"/>
      <name val="Trebuchet MS"/>
      <family val="2"/>
    </font>
    <font>
      <sz val="10"/>
      <color rgb="FFFFFFFF"/>
      <name val="Trebuchet MS"/>
      <family val="2"/>
    </font>
    <font>
      <sz val="10"/>
      <color rgb="FF434343"/>
      <name val="Trebuchet MS"/>
      <family val="2"/>
    </font>
    <font>
      <i/>
      <u/>
      <sz val="10"/>
      <color rgb="FF434343"/>
      <name val="Trebuchet MS"/>
      <family val="2"/>
    </font>
    <font>
      <sz val="13"/>
      <color rgb="FF000000"/>
      <name val="GothamSSm-Book"/>
      <family val="2"/>
    </font>
    <font>
      <sz val="11"/>
      <color theme="1"/>
      <name val="Times New Roman"/>
      <family val="1"/>
    </font>
    <font>
      <b/>
      <sz val="11"/>
      <color theme="1"/>
      <name val="Calibri"/>
      <family val="1"/>
      <charset val="136"/>
      <scheme val="minor"/>
    </font>
    <font>
      <sz val="11"/>
      <color rgb="FFFFFFFF"/>
      <name val="Arial"/>
      <family val="2"/>
    </font>
    <font>
      <sz val="11"/>
      <color rgb="FF212529"/>
      <name val="Arial"/>
      <family val="2"/>
    </font>
    <font>
      <sz val="18"/>
      <color rgb="FF000000"/>
      <name val="Arial"/>
      <family val="2"/>
    </font>
    <font>
      <sz val="11"/>
      <color rgb="FFFFFFFF"/>
      <name val="Calibri"/>
      <family val="1"/>
      <charset val="136"/>
      <scheme val="minor"/>
    </font>
    <font>
      <sz val="9"/>
      <color rgb="FF000000"/>
      <name val="Times New Roman"/>
      <family val="1"/>
    </font>
    <font>
      <b/>
      <sz val="11"/>
      <color rgb="FF3F3F3F"/>
      <name val="Calibri"/>
      <family val="1"/>
      <charset val="136"/>
      <scheme val="minor"/>
    </font>
    <font>
      <b/>
      <sz val="9"/>
      <color rgb="FF333333"/>
      <name val="Arial"/>
      <family val="2"/>
    </font>
    <font>
      <b/>
      <sz val="11"/>
      <color theme="0"/>
      <name val="Calibri"/>
      <family val="2"/>
      <charset val="136"/>
      <scheme val="minor"/>
    </font>
    <font>
      <sz val="16"/>
      <color rgb="FF333333"/>
      <name val="Arial"/>
      <family val="2"/>
    </font>
    <font>
      <sz val="18"/>
      <color rgb="FF333333"/>
      <name val="Arial"/>
      <family val="2"/>
    </font>
    <font>
      <b/>
      <sz val="11"/>
      <color theme="1"/>
      <name val="Calibri"/>
      <family val="2"/>
      <scheme val="minor"/>
    </font>
    <font>
      <sz val="11"/>
      <color theme="1"/>
      <name val="Trebuchet MS"/>
      <family val="2"/>
    </font>
    <font>
      <sz val="9"/>
      <color rgb="FF000000"/>
      <name val="Arial"/>
      <family val="2"/>
    </font>
    <font>
      <sz val="11"/>
      <color theme="1"/>
      <name val="Segoe UI"/>
      <family val="2"/>
    </font>
    <font>
      <sz val="11"/>
      <color rgb="FF393C41"/>
      <name val="Segoe UI"/>
      <family val="2"/>
    </font>
  </fonts>
  <fills count="18">
    <fill>
      <patternFill patternType="none"/>
    </fill>
    <fill>
      <patternFill patternType="gray125"/>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rgb="FFFFFFFF"/>
        <bgColor indexed="64"/>
      </patternFill>
    </fill>
    <fill>
      <patternFill patternType="solid">
        <fgColor rgb="FFF2F2F2"/>
        <bgColor indexed="64"/>
      </patternFill>
    </fill>
    <fill>
      <patternFill patternType="solid">
        <fgColor rgb="FFDEDEDE"/>
        <bgColor indexed="64"/>
      </patternFill>
    </fill>
    <fill>
      <patternFill patternType="solid">
        <fgColor rgb="FFF8F9FA"/>
        <bgColor indexed="64"/>
      </patternFill>
    </fill>
    <fill>
      <patternFill patternType="solid">
        <fgColor rgb="FFEAECF0"/>
        <bgColor indexed="64"/>
      </patternFill>
    </fill>
    <fill>
      <patternFill patternType="solid">
        <fgColor rgb="FFFFFFCC"/>
        <bgColor indexed="64"/>
      </patternFill>
    </fill>
    <fill>
      <patternFill patternType="solid">
        <fgColor rgb="FFF8F8F8"/>
        <bgColor indexed="64"/>
      </patternFill>
    </fill>
    <fill>
      <patternFill patternType="solid">
        <fgColor theme="5" tint="0.79998168889431442"/>
        <bgColor indexed="65"/>
      </patternFill>
    </fill>
    <fill>
      <patternFill patternType="solid">
        <fgColor rgb="FF363F4B"/>
        <bgColor indexed="64"/>
      </patternFill>
    </fill>
    <fill>
      <patternFill patternType="solid">
        <fgColor rgb="FFF4F5F7"/>
        <bgColor indexed="64"/>
      </patternFill>
    </fill>
    <fill>
      <patternFill patternType="solid">
        <fgColor rgb="FFA5A5A5"/>
      </patternFill>
    </fill>
    <fill>
      <patternFill patternType="solid">
        <fgColor rgb="FFEEEEEE"/>
        <bgColor indexed="64"/>
      </patternFill>
    </fill>
  </fills>
  <borders count="56">
    <border>
      <left/>
      <right/>
      <top/>
      <bottom/>
      <diagonal/>
    </border>
    <border>
      <left/>
      <right/>
      <top/>
      <bottom style="medium">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rgb="FFCCCCCC"/>
      </bottom>
      <diagonal/>
    </border>
    <border>
      <left style="medium">
        <color rgb="FFCFCFCF"/>
      </left>
      <right style="medium">
        <color rgb="FFCFCFCF"/>
      </right>
      <top style="medium">
        <color rgb="FFCFCFCF"/>
      </top>
      <bottom style="medium">
        <color rgb="FFCFCFCF"/>
      </bottom>
      <diagonal/>
    </border>
    <border>
      <left style="medium">
        <color rgb="FFCFCFCF"/>
      </left>
      <right style="medium">
        <color rgb="FFCFCFCF"/>
      </right>
      <top style="medium">
        <color rgb="FFCFCFCF"/>
      </top>
      <bottom/>
      <diagonal/>
    </border>
    <border>
      <left style="medium">
        <color rgb="FFCFCFCF"/>
      </left>
      <right style="medium">
        <color rgb="FFCFCFCF"/>
      </right>
      <top/>
      <bottom/>
      <diagonal/>
    </border>
    <border>
      <left style="medium">
        <color rgb="FFCFCFCF"/>
      </left>
      <right style="medium">
        <color rgb="FFCFCFCF"/>
      </right>
      <top/>
      <bottom style="medium">
        <color rgb="FFCFCFCF"/>
      </bottom>
      <diagonal/>
    </border>
    <border>
      <left style="medium">
        <color rgb="FFCFCFCF"/>
      </left>
      <right/>
      <top style="medium">
        <color rgb="FFCFCFCF"/>
      </top>
      <bottom/>
      <diagonal/>
    </border>
    <border>
      <left/>
      <right style="medium">
        <color rgb="FFCFCFCF"/>
      </right>
      <top style="medium">
        <color rgb="FFCFCFCF"/>
      </top>
      <bottom/>
      <diagonal/>
    </border>
    <border>
      <left style="medium">
        <color rgb="FFCFCFCF"/>
      </left>
      <right/>
      <top/>
      <bottom style="medium">
        <color rgb="FFCFCFCF"/>
      </bottom>
      <diagonal/>
    </border>
    <border>
      <left/>
      <right style="medium">
        <color rgb="FFCFCFCF"/>
      </right>
      <top/>
      <bottom style="medium">
        <color rgb="FFCFCFCF"/>
      </bottom>
      <diagonal/>
    </border>
    <border>
      <left style="medium">
        <color rgb="FFCFCFCF"/>
      </left>
      <right/>
      <top style="medium">
        <color rgb="FFCFCFCF"/>
      </top>
      <bottom style="medium">
        <color rgb="FFCFCFCF"/>
      </bottom>
      <diagonal/>
    </border>
    <border>
      <left/>
      <right/>
      <top style="medium">
        <color rgb="FFCFCFCF"/>
      </top>
      <bottom style="medium">
        <color rgb="FFCFCFCF"/>
      </bottom>
      <diagonal/>
    </border>
    <border>
      <left/>
      <right style="medium">
        <color rgb="FFCFCFCF"/>
      </right>
      <top style="medium">
        <color rgb="FFCFCFCF"/>
      </top>
      <bottom style="medium">
        <color rgb="FFCFCFCF"/>
      </bottom>
      <diagonal/>
    </border>
    <border>
      <left/>
      <right/>
      <top/>
      <bottom style="medium">
        <color rgb="FFCFCFCF"/>
      </bottom>
      <diagonal/>
    </border>
    <border>
      <left style="medium">
        <color rgb="FFCFCFCF"/>
      </left>
      <right/>
      <top/>
      <bottom/>
      <diagonal/>
    </border>
    <border>
      <left style="medium">
        <color rgb="FFA2A9B1"/>
      </left>
      <right style="medium">
        <color rgb="FFA2A9B1"/>
      </right>
      <top style="medium">
        <color rgb="FFA2A9B1"/>
      </top>
      <bottom style="medium">
        <color rgb="FFA2A9B1"/>
      </bottom>
      <diagonal/>
    </border>
    <border>
      <left style="medium">
        <color rgb="FFA2A9B1"/>
      </left>
      <right style="medium">
        <color rgb="FFA2A9B1"/>
      </right>
      <top style="medium">
        <color rgb="FFA2A9B1"/>
      </top>
      <bottom/>
      <diagonal/>
    </border>
    <border>
      <left style="medium">
        <color rgb="FFA2A9B1"/>
      </left>
      <right style="medium">
        <color rgb="FFA2A9B1"/>
      </right>
      <top/>
      <bottom/>
      <diagonal/>
    </border>
    <border>
      <left style="medium">
        <color rgb="FFA2A9B1"/>
      </left>
      <right style="medium">
        <color rgb="FFA2A9B1"/>
      </right>
      <top/>
      <bottom style="medium">
        <color rgb="FFA2A9B1"/>
      </bottom>
      <diagonal/>
    </border>
    <border>
      <left/>
      <right/>
      <top/>
      <bottom style="medium">
        <color rgb="FFBFBFBF"/>
      </bottom>
      <diagonal/>
    </border>
    <border>
      <left style="medium">
        <color rgb="FFFFF2CC"/>
      </left>
      <right/>
      <top style="medium">
        <color rgb="FFFFF2CC"/>
      </top>
      <bottom style="medium">
        <color rgb="FFFFF2CC"/>
      </bottom>
      <diagonal/>
    </border>
    <border>
      <left/>
      <right/>
      <top style="medium">
        <color rgb="FFFFF2CC"/>
      </top>
      <bottom style="medium">
        <color rgb="FFFFF2CC"/>
      </bottom>
      <diagonal/>
    </border>
    <border>
      <left/>
      <right style="medium">
        <color rgb="FFFFF2CC"/>
      </right>
      <top style="medium">
        <color rgb="FFFFF2CC"/>
      </top>
      <bottom style="medium">
        <color rgb="FFFFF2CC"/>
      </bottom>
      <diagonal/>
    </border>
    <border>
      <left/>
      <right/>
      <top style="medium">
        <color rgb="FFBFBFBF"/>
      </top>
      <bottom/>
      <diagonal/>
    </border>
    <border>
      <left/>
      <right/>
      <top/>
      <bottom style="medium">
        <color rgb="FFEFEFEF"/>
      </bottom>
      <diagonal/>
    </border>
    <border>
      <left style="medium">
        <color rgb="FFFFF2CC"/>
      </left>
      <right style="medium">
        <color rgb="FFFFF2CC"/>
      </right>
      <top style="medium">
        <color rgb="FFFFF2CC"/>
      </top>
      <bottom style="medium">
        <color rgb="FFBFBFBF"/>
      </bottom>
      <diagonal/>
    </border>
    <border>
      <left style="medium">
        <color rgb="FFFFF2CC"/>
      </left>
      <right style="medium">
        <color rgb="FFFFF2CC"/>
      </right>
      <top/>
      <bottom/>
      <diagonal/>
    </border>
    <border>
      <left style="medium">
        <color rgb="FFFFF2CC"/>
      </left>
      <right style="medium">
        <color rgb="FFFFF2CC"/>
      </right>
      <top style="medium">
        <color rgb="FFFFF2CC"/>
      </top>
      <bottom style="medium">
        <color rgb="FFFFF2CC"/>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top/>
      <bottom/>
      <diagonal/>
    </border>
    <border>
      <left/>
      <right style="medium">
        <color rgb="FFBFBFBF"/>
      </right>
      <top/>
      <bottom/>
      <diagonal/>
    </border>
    <border>
      <left style="medium">
        <color rgb="FFFBD4B4"/>
      </left>
      <right/>
      <top style="medium">
        <color rgb="FFFBD4B4"/>
      </top>
      <bottom style="medium">
        <color rgb="FFFBD4B4"/>
      </bottom>
      <diagonal/>
    </border>
    <border>
      <left/>
      <right style="medium">
        <color rgb="FFFBD4B4"/>
      </right>
      <top style="medium">
        <color rgb="FFFBD4B4"/>
      </top>
      <bottom style="medium">
        <color rgb="FFFBD4B4"/>
      </bottom>
      <diagonal/>
    </border>
    <border>
      <left/>
      <right/>
      <top/>
      <bottom style="medium">
        <color rgb="FF434343"/>
      </bottom>
      <diagonal/>
    </border>
    <border>
      <left style="medium">
        <color rgb="FFEEEEEE"/>
      </left>
      <right style="medium">
        <color rgb="FFEEEEEE"/>
      </right>
      <top/>
      <bottom/>
      <diagonal/>
    </border>
    <border>
      <left/>
      <right style="thick">
        <color rgb="FFEEEEEE"/>
      </right>
      <top/>
      <bottom/>
      <diagonal/>
    </border>
    <border>
      <left style="thin">
        <color rgb="FF3F3F3F"/>
      </left>
      <right style="thin">
        <color rgb="FF3F3F3F"/>
      </right>
      <top style="thin">
        <color rgb="FF3F3F3F"/>
      </top>
      <bottom/>
      <diagonal/>
    </border>
    <border>
      <left style="thin">
        <color rgb="FF3F3F3F"/>
      </left>
      <right style="thin">
        <color rgb="FF3F3F3F"/>
      </right>
      <top/>
      <bottom/>
      <diagonal/>
    </border>
    <border>
      <left style="thin">
        <color rgb="FF3F3F3F"/>
      </left>
      <right style="thin">
        <color rgb="FF3F3F3F"/>
      </right>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000000"/>
      </left>
      <right style="thin">
        <color rgb="FF000000"/>
      </right>
      <top style="thin">
        <color rgb="FF000000"/>
      </top>
      <bottom style="thin">
        <color rgb="FF000000"/>
      </bottom>
      <diagonal/>
    </border>
    <border>
      <left style="medium">
        <color indexed="64"/>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s>
  <cellStyleXfs count="10">
    <xf numFmtId="0" fontId="0" fillId="0" borderId="0"/>
    <xf numFmtId="0" fontId="2" fillId="2" borderId="0" applyNumberFormat="0" applyBorder="0" applyAlignment="0" applyProtection="0">
      <alignment vertical="center"/>
    </xf>
    <xf numFmtId="0" fontId="3" fillId="0" borderId="0">
      <alignment vertical="center"/>
    </xf>
    <xf numFmtId="0" fontId="4" fillId="3" borderId="0" applyNumberFormat="0" applyBorder="0" applyAlignment="0" applyProtection="0">
      <alignment vertical="center"/>
    </xf>
    <xf numFmtId="0" fontId="5" fillId="4" borderId="2" applyNumberFormat="0" applyAlignment="0" applyProtection="0">
      <alignment vertical="center"/>
    </xf>
    <xf numFmtId="0" fontId="7" fillId="4" borderId="10" applyNumberFormat="0" applyAlignment="0" applyProtection="0">
      <alignment vertical="center"/>
    </xf>
    <xf numFmtId="0" fontId="6" fillId="5" borderId="11" applyNumberFormat="0" applyFont="0" applyAlignment="0" applyProtection="0">
      <alignment vertical="center"/>
    </xf>
    <xf numFmtId="0" fontId="25" fillId="0" borderId="0" applyNumberFormat="0" applyFill="0" applyBorder="0" applyAlignment="0" applyProtection="0"/>
    <xf numFmtId="0" fontId="3" fillId="13" borderId="0" applyNumberFormat="0" applyBorder="0" applyAlignment="0" applyProtection="0">
      <alignment vertical="center"/>
    </xf>
    <xf numFmtId="0" fontId="61" fillId="16" borderId="52" applyNumberFormat="0" applyAlignment="0" applyProtection="0">
      <alignment vertical="center"/>
    </xf>
  </cellStyleXfs>
  <cellXfs count="280">
    <xf numFmtId="0" fontId="0" fillId="0" borderId="0" xfId="0"/>
    <xf numFmtId="10" fontId="0" fillId="0" borderId="0" xfId="0" applyNumberFormat="1"/>
    <xf numFmtId="166" fontId="0" fillId="0" borderId="0" xfId="0" applyNumberFormat="1"/>
    <xf numFmtId="0" fontId="4" fillId="3" borderId="0" xfId="3" applyAlignment="1"/>
    <xf numFmtId="0" fontId="5" fillId="4" borderId="2" xfId="4" applyAlignment="1"/>
    <xf numFmtId="0" fontId="0" fillId="0" borderId="3" xfId="0" applyBorder="1"/>
    <xf numFmtId="10" fontId="0" fillId="0" borderId="6" xfId="0" applyNumberFormat="1" applyBorder="1"/>
    <xf numFmtId="0" fontId="0" fillId="0" borderId="6" xfId="0" applyBorder="1"/>
    <xf numFmtId="0" fontId="0" fillId="0" borderId="8" xfId="0" applyBorder="1"/>
    <xf numFmtId="0" fontId="0" fillId="0" borderId="7" xfId="0" applyBorder="1"/>
    <xf numFmtId="170" fontId="0" fillId="0" borderId="0" xfId="0" applyNumberFormat="1"/>
    <xf numFmtId="0" fontId="0" fillId="5" borderId="11" xfId="6" applyFont="1" applyAlignment="1"/>
    <xf numFmtId="0" fontId="7" fillId="4" borderId="10" xfId="5" applyAlignment="1"/>
    <xf numFmtId="17" fontId="9" fillId="6" borderId="12" xfId="0" applyNumberFormat="1" applyFont="1" applyFill="1" applyBorder="1" applyAlignment="1">
      <alignment horizontal="right" vertical="center"/>
    </xf>
    <xf numFmtId="4" fontId="9" fillId="6" borderId="12" xfId="0" applyNumberFormat="1" applyFont="1" applyFill="1" applyBorder="1" applyAlignment="1">
      <alignment horizontal="right" vertical="center"/>
    </xf>
    <xf numFmtId="0" fontId="9" fillId="6" borderId="12" xfId="0" applyFont="1" applyFill="1" applyBorder="1" applyAlignment="1">
      <alignment horizontal="right" vertical="center"/>
    </xf>
    <xf numFmtId="4" fontId="0" fillId="0" borderId="0" xfId="0" applyNumberFormat="1"/>
    <xf numFmtId="0" fontId="8" fillId="0" borderId="0" xfId="0" applyFont="1"/>
    <xf numFmtId="4" fontId="9" fillId="6" borderId="0" xfId="0" applyNumberFormat="1" applyFont="1" applyFill="1" applyAlignment="1">
      <alignment horizontal="right" vertical="center"/>
    </xf>
    <xf numFmtId="171" fontId="9" fillId="6" borderId="12" xfId="0" applyNumberFormat="1" applyFont="1" applyFill="1" applyBorder="1" applyAlignment="1">
      <alignment horizontal="right" vertical="center"/>
    </xf>
    <xf numFmtId="4" fontId="7" fillId="4" borderId="10" xfId="5" applyNumberFormat="1" applyAlignment="1">
      <alignment horizontal="right" vertical="center"/>
    </xf>
    <xf numFmtId="4" fontId="4" fillId="3" borderId="12" xfId="3" applyNumberFormat="1" applyBorder="1" applyAlignment="1">
      <alignment horizontal="right" vertical="center"/>
    </xf>
    <xf numFmtId="4" fontId="4" fillId="3" borderId="0" xfId="3" applyNumberFormat="1" applyAlignment="1"/>
    <xf numFmtId="17" fontId="0" fillId="0" borderId="0" xfId="0" applyNumberFormat="1"/>
    <xf numFmtId="3" fontId="0" fillId="0" borderId="0" xfId="0" applyNumberFormat="1"/>
    <xf numFmtId="3" fontId="10" fillId="0" borderId="0" xfId="0" applyNumberFormat="1" applyFont="1"/>
    <xf numFmtId="0" fontId="11" fillId="0" borderId="0" xfId="0" applyFont="1"/>
    <xf numFmtId="0" fontId="13" fillId="6" borderId="0" xfId="0" applyFont="1" applyFill="1" applyAlignment="1">
      <alignment horizontal="left" vertical="top"/>
    </xf>
    <xf numFmtId="0" fontId="13" fillId="6" borderId="0" xfId="0" applyFont="1" applyFill="1" applyAlignment="1">
      <alignment horizontal="left" vertical="top" wrapText="1"/>
    </xf>
    <xf numFmtId="0" fontId="13" fillId="6" borderId="0" xfId="0" applyFont="1" applyFill="1" applyAlignment="1">
      <alignment horizontal="right" vertical="top" wrapText="1"/>
    </xf>
    <xf numFmtId="0" fontId="14" fillId="0" borderId="0" xfId="0" applyFont="1"/>
    <xf numFmtId="10" fontId="4" fillId="3" borderId="0" xfId="3" applyNumberFormat="1" applyAlignment="1"/>
    <xf numFmtId="0" fontId="9" fillId="5" borderId="11" xfId="6" applyFont="1" applyAlignment="1">
      <alignment horizontal="right" vertical="center"/>
    </xf>
    <xf numFmtId="4" fontId="9" fillId="5" borderId="11" xfId="6" applyNumberFormat="1" applyFont="1" applyAlignment="1">
      <alignment horizontal="right" vertical="center"/>
    </xf>
    <xf numFmtId="4" fontId="8" fillId="5" borderId="11" xfId="6" applyNumberFormat="1" applyFont="1" applyAlignment="1"/>
    <xf numFmtId="10" fontId="9" fillId="5" borderId="11" xfId="6" applyNumberFormat="1" applyFont="1" applyAlignment="1">
      <alignment horizontal="right" vertical="center"/>
    </xf>
    <xf numFmtId="0" fontId="15" fillId="0" borderId="0" xfId="0" applyFont="1"/>
    <xf numFmtId="0" fontId="16" fillId="8" borderId="14" xfId="0" applyFont="1" applyFill="1" applyBorder="1" applyAlignment="1">
      <alignment horizontal="left" vertical="center" wrapText="1"/>
    </xf>
    <xf numFmtId="0" fontId="16" fillId="8" borderId="16" xfId="0" applyFont="1" applyFill="1" applyBorder="1" applyAlignment="1">
      <alignment horizontal="left" vertical="center" wrapText="1"/>
    </xf>
    <xf numFmtId="0" fontId="16" fillId="8" borderId="13" xfId="0" applyFont="1" applyFill="1" applyBorder="1" applyAlignment="1">
      <alignment horizontal="left" vertical="center" wrapText="1"/>
    </xf>
    <xf numFmtId="0" fontId="16" fillId="7" borderId="14" xfId="0" applyFont="1" applyFill="1" applyBorder="1" applyAlignment="1">
      <alignment horizontal="right" vertical="center" wrapText="1"/>
    </xf>
    <xf numFmtId="0" fontId="16" fillId="7" borderId="13" xfId="0" applyFont="1" applyFill="1" applyBorder="1" applyAlignment="1">
      <alignment horizontal="right" vertical="center" wrapText="1"/>
    </xf>
    <xf numFmtId="0" fontId="16" fillId="7" borderId="16" xfId="0" applyFont="1" applyFill="1" applyBorder="1" applyAlignment="1">
      <alignment horizontal="right" vertical="center" wrapText="1"/>
    </xf>
    <xf numFmtId="3" fontId="16" fillId="7" borderId="13" xfId="0" applyNumberFormat="1" applyFont="1" applyFill="1" applyBorder="1" applyAlignment="1">
      <alignment horizontal="right" vertical="center" wrapText="1"/>
    </xf>
    <xf numFmtId="0" fontId="17" fillId="8" borderId="13" xfId="0" applyFont="1" applyFill="1" applyBorder="1" applyAlignment="1">
      <alignment horizontal="left" vertical="center" wrapText="1"/>
    </xf>
    <xf numFmtId="0" fontId="16" fillId="8" borderId="13" xfId="0" applyFont="1" applyFill="1" applyBorder="1" applyAlignment="1">
      <alignment horizontal="center" vertical="center" wrapText="1"/>
    </xf>
    <xf numFmtId="0" fontId="16" fillId="7" borderId="13" xfId="0" applyFont="1" applyFill="1" applyBorder="1" applyAlignment="1">
      <alignment horizontal="center" vertical="center" wrapText="1"/>
    </xf>
    <xf numFmtId="0" fontId="19" fillId="8" borderId="13" xfId="0" applyFont="1" applyFill="1" applyBorder="1" applyAlignment="1">
      <alignment horizontal="center" vertical="center" wrapText="1"/>
    </xf>
    <xf numFmtId="0" fontId="16" fillId="7" borderId="24" xfId="0" applyFont="1" applyFill="1" applyBorder="1" applyAlignment="1">
      <alignment horizontal="right" vertical="center" wrapText="1"/>
    </xf>
    <xf numFmtId="0" fontId="18" fillId="7" borderId="19" xfId="0" applyFont="1" applyFill="1" applyBorder="1" applyAlignment="1">
      <alignment horizontal="right" vertical="center" wrapText="1"/>
    </xf>
    <xf numFmtId="0" fontId="18" fillId="7" borderId="23" xfId="0" applyFont="1" applyFill="1" applyBorder="1" applyAlignment="1">
      <alignment horizontal="right" vertical="center" wrapText="1"/>
    </xf>
    <xf numFmtId="0" fontId="16" fillId="7" borderId="0" xfId="0" applyFont="1" applyFill="1" applyAlignment="1">
      <alignment horizontal="right" vertical="center" wrapText="1"/>
    </xf>
    <xf numFmtId="3" fontId="16" fillId="7" borderId="0" xfId="0" applyNumberFormat="1" applyFont="1" applyFill="1" applyAlignment="1">
      <alignment horizontal="right" vertical="center" wrapText="1"/>
    </xf>
    <xf numFmtId="0" fontId="18" fillId="7" borderId="0" xfId="0" applyFont="1" applyFill="1" applyAlignment="1">
      <alignment horizontal="right" vertical="center" wrapText="1"/>
    </xf>
    <xf numFmtId="0" fontId="20" fillId="8" borderId="13" xfId="0" applyFont="1" applyFill="1" applyBorder="1" applyAlignment="1">
      <alignment horizontal="center" vertical="center" wrapText="1"/>
    </xf>
    <xf numFmtId="3" fontId="4" fillId="3" borderId="13" xfId="3" applyNumberFormat="1" applyBorder="1" applyAlignment="1">
      <alignment horizontal="right" vertical="center" wrapText="1"/>
    </xf>
    <xf numFmtId="172" fontId="2" fillId="2" borderId="0" xfId="1" applyNumberFormat="1" applyAlignment="1"/>
    <xf numFmtId="0" fontId="18" fillId="8" borderId="25" xfId="0" applyFont="1" applyFill="1" applyBorder="1" applyAlignment="1">
      <alignment horizontal="center" vertical="center" wrapText="1"/>
    </xf>
    <xf numFmtId="0" fontId="21" fillId="10" borderId="26" xfId="0" applyFont="1" applyFill="1" applyBorder="1" applyAlignment="1">
      <alignment horizontal="center" vertical="center" wrapText="1"/>
    </xf>
    <xf numFmtId="0" fontId="23" fillId="9" borderId="26" xfId="0" applyFont="1" applyFill="1" applyBorder="1" applyAlignment="1">
      <alignment vertical="center" wrapText="1"/>
    </xf>
    <xf numFmtId="0" fontId="25" fillId="9" borderId="26" xfId="7" applyFill="1" applyBorder="1" applyAlignment="1">
      <alignment vertical="center" wrapText="1"/>
    </xf>
    <xf numFmtId="0" fontId="22" fillId="9" borderId="26" xfId="0" applyFont="1" applyFill="1" applyBorder="1" applyAlignment="1">
      <alignment vertical="center" wrapText="1"/>
    </xf>
    <xf numFmtId="3" fontId="22" fillId="9" borderId="26" xfId="0" applyNumberFormat="1" applyFont="1" applyFill="1" applyBorder="1" applyAlignment="1">
      <alignment vertical="center" wrapText="1"/>
    </xf>
    <xf numFmtId="0" fontId="25" fillId="9" borderId="27" xfId="7" applyFill="1" applyBorder="1" applyAlignment="1">
      <alignment vertical="center" wrapText="1"/>
    </xf>
    <xf numFmtId="0" fontId="25" fillId="9" borderId="28" xfId="7" applyFill="1" applyBorder="1" applyAlignment="1">
      <alignment vertical="center" wrapText="1"/>
    </xf>
    <xf numFmtId="0" fontId="25" fillId="9" borderId="29" xfId="7" applyFill="1" applyBorder="1" applyAlignment="1">
      <alignment vertical="center" wrapText="1"/>
    </xf>
    <xf numFmtId="38" fontId="0" fillId="0" borderId="0" xfId="0" applyNumberFormat="1"/>
    <xf numFmtId="173" fontId="0" fillId="0" borderId="0" xfId="0" applyNumberFormat="1"/>
    <xf numFmtId="0" fontId="27" fillId="0" borderId="0" xfId="0" applyFont="1" applyAlignment="1">
      <alignment wrapText="1"/>
    </xf>
    <xf numFmtId="172" fontId="0" fillId="0" borderId="0" xfId="0" applyNumberFormat="1"/>
    <xf numFmtId="0" fontId="25" fillId="0" borderId="0" xfId="7"/>
    <xf numFmtId="10" fontId="7" fillId="4" borderId="10" xfId="5" applyNumberFormat="1" applyAlignment="1">
      <alignment horizontal="right" vertical="center"/>
    </xf>
    <xf numFmtId="0" fontId="33" fillId="0" borderId="0" xfId="0" applyFont="1" applyAlignment="1">
      <alignment vertical="center" wrapText="1"/>
    </xf>
    <xf numFmtId="0" fontId="34" fillId="0" borderId="30" xfId="0" applyFont="1" applyBorder="1" applyAlignment="1">
      <alignment horizontal="right" vertical="center" wrapText="1"/>
    </xf>
    <xf numFmtId="0" fontId="38" fillId="0" borderId="0" xfId="0" applyFont="1" applyAlignment="1">
      <alignment vertical="center" wrapText="1"/>
    </xf>
    <xf numFmtId="0" fontId="35" fillId="0" borderId="30" xfId="0" applyFont="1" applyBorder="1" applyAlignment="1">
      <alignment vertical="center" wrapText="1"/>
    </xf>
    <xf numFmtId="0" fontId="36" fillId="0" borderId="30" xfId="0" applyFont="1" applyBorder="1" applyAlignment="1">
      <alignment horizontal="right" vertical="center" wrapText="1"/>
    </xf>
    <xf numFmtId="0" fontId="34" fillId="0" borderId="0" xfId="0" applyFont="1" applyAlignment="1">
      <alignment vertical="center" wrapText="1"/>
    </xf>
    <xf numFmtId="0" fontId="37" fillId="0" borderId="0" xfId="0" applyFont="1" applyAlignment="1">
      <alignment horizontal="right" vertical="center" wrapText="1"/>
    </xf>
    <xf numFmtId="10" fontId="37" fillId="0" borderId="30" xfId="0" applyNumberFormat="1" applyFont="1" applyBorder="1" applyAlignment="1">
      <alignment horizontal="right" vertical="center" wrapText="1"/>
    </xf>
    <xf numFmtId="10" fontId="34" fillId="0" borderId="0" xfId="0" applyNumberFormat="1" applyFont="1" applyAlignment="1">
      <alignment horizontal="right" vertical="center" wrapText="1"/>
    </xf>
    <xf numFmtId="10" fontId="37" fillId="0" borderId="0" xfId="0" applyNumberFormat="1" applyFont="1" applyAlignment="1">
      <alignment horizontal="right" vertical="center" wrapText="1"/>
    </xf>
    <xf numFmtId="0" fontId="39" fillId="11" borderId="31" xfId="0" applyFont="1" applyFill="1" applyBorder="1" applyAlignment="1">
      <alignment vertical="center" wrapText="1"/>
    </xf>
    <xf numFmtId="10" fontId="40" fillId="11" borderId="32" xfId="0" applyNumberFormat="1" applyFont="1" applyFill="1" applyBorder="1" applyAlignment="1">
      <alignment horizontal="right" vertical="center" wrapText="1"/>
    </xf>
    <xf numFmtId="10" fontId="40" fillId="11" borderId="33" xfId="0" applyNumberFormat="1" applyFont="1" applyFill="1" applyBorder="1" applyAlignment="1">
      <alignment horizontal="right" vertical="center" wrapText="1"/>
    </xf>
    <xf numFmtId="0" fontId="41" fillId="0" borderId="0" xfId="0" applyFont="1" applyAlignment="1">
      <alignment vertical="center" wrapText="1"/>
    </xf>
    <xf numFmtId="0" fontId="34" fillId="0" borderId="0" xfId="0" applyFont="1" applyAlignment="1">
      <alignment horizontal="center" vertical="center" wrapText="1"/>
    </xf>
    <xf numFmtId="0" fontId="34" fillId="12" borderId="0" xfId="0" applyFont="1" applyFill="1" applyAlignment="1">
      <alignment horizontal="center" vertical="center" wrapText="1"/>
    </xf>
    <xf numFmtId="0" fontId="40" fillId="12" borderId="0" xfId="0" applyFont="1" applyFill="1" applyAlignment="1">
      <alignment vertical="center" wrapText="1"/>
    </xf>
    <xf numFmtId="0" fontId="40" fillId="0" borderId="0" xfId="0" applyFont="1" applyAlignment="1">
      <alignment vertical="center" wrapText="1"/>
    </xf>
    <xf numFmtId="0" fontId="34" fillId="12" borderId="0" xfId="0" applyFont="1" applyFill="1" applyAlignment="1">
      <alignment horizontal="right" vertical="center" wrapText="1"/>
    </xf>
    <xf numFmtId="0" fontId="34" fillId="0" borderId="0" xfId="0" applyFont="1" applyAlignment="1">
      <alignment horizontal="right" vertical="center" wrapText="1"/>
    </xf>
    <xf numFmtId="3" fontId="34" fillId="12" borderId="0" xfId="0" applyNumberFormat="1" applyFont="1" applyFill="1" applyAlignment="1">
      <alignment horizontal="right" vertical="center" wrapText="1"/>
    </xf>
    <xf numFmtId="3" fontId="34" fillId="0" borderId="0" xfId="0" applyNumberFormat="1" applyFont="1" applyAlignment="1">
      <alignment horizontal="right" vertical="center" wrapText="1"/>
    </xf>
    <xf numFmtId="0" fontId="35" fillId="12" borderId="0" xfId="0" applyFont="1" applyFill="1" applyAlignment="1">
      <alignment horizontal="right" vertical="center" wrapText="1"/>
    </xf>
    <xf numFmtId="0" fontId="35" fillId="0" borderId="0" xfId="0" applyFont="1" applyAlignment="1">
      <alignment horizontal="left" vertical="center" wrapText="1"/>
    </xf>
    <xf numFmtId="10" fontId="35" fillId="12" borderId="0" xfId="0" applyNumberFormat="1" applyFont="1" applyFill="1" applyAlignment="1">
      <alignment horizontal="right" vertical="center" wrapText="1"/>
    </xf>
    <xf numFmtId="10" fontId="35" fillId="0" borderId="0" xfId="0" applyNumberFormat="1" applyFont="1" applyAlignment="1">
      <alignment horizontal="right" vertical="center" wrapText="1"/>
    </xf>
    <xf numFmtId="0" fontId="42" fillId="0" borderId="0" xfId="0" applyFont="1" applyAlignment="1">
      <alignment horizontal="left" vertical="center" wrapText="1"/>
    </xf>
    <xf numFmtId="10" fontId="42" fillId="12" borderId="0" xfId="0" applyNumberFormat="1" applyFont="1" applyFill="1" applyAlignment="1">
      <alignment horizontal="right" vertical="center" wrapText="1"/>
    </xf>
    <xf numFmtId="0" fontId="43" fillId="11" borderId="32" xfId="0" applyFont="1" applyFill="1" applyBorder="1" applyAlignment="1">
      <alignment vertical="center" wrapText="1"/>
    </xf>
    <xf numFmtId="10" fontId="43" fillId="11" borderId="33" xfId="0" applyNumberFormat="1" applyFont="1" applyFill="1" applyBorder="1" applyAlignment="1">
      <alignment horizontal="right" vertical="center" wrapText="1"/>
    </xf>
    <xf numFmtId="10" fontId="43" fillId="0" borderId="0" xfId="0" applyNumberFormat="1" applyFont="1" applyAlignment="1">
      <alignment horizontal="right" vertical="center" wrapText="1"/>
    </xf>
    <xf numFmtId="10" fontId="34" fillId="0" borderId="30" xfId="0" applyNumberFormat="1" applyFont="1" applyBorder="1" applyAlignment="1">
      <alignment horizontal="right" vertical="center" wrapText="1"/>
    </xf>
    <xf numFmtId="0" fontId="44" fillId="0" borderId="0" xfId="0" applyFont="1" applyAlignment="1">
      <alignment horizontal="center" vertical="center" wrapText="1"/>
    </xf>
    <xf numFmtId="0" fontId="43" fillId="12" borderId="0" xfId="0" applyFont="1" applyFill="1" applyAlignment="1">
      <alignment vertical="center" wrapText="1"/>
    </xf>
    <xf numFmtId="0" fontId="45" fillId="12" borderId="0" xfId="0" applyFont="1" applyFill="1" applyAlignment="1">
      <alignment vertical="center" wrapText="1"/>
    </xf>
    <xf numFmtId="17" fontId="40" fillId="12" borderId="30" xfId="0" applyNumberFormat="1" applyFont="1" applyFill="1" applyBorder="1" applyAlignment="1">
      <alignment horizontal="center" vertical="center" wrapText="1"/>
    </xf>
    <xf numFmtId="17" fontId="40" fillId="0" borderId="30" xfId="0" applyNumberFormat="1" applyFont="1" applyBorder="1" applyAlignment="1">
      <alignment horizontal="center" vertical="center" wrapText="1"/>
    </xf>
    <xf numFmtId="0" fontId="34" fillId="12" borderId="0" xfId="0" applyFont="1" applyFill="1" applyAlignment="1">
      <alignment vertical="center" wrapText="1"/>
    </xf>
    <xf numFmtId="0" fontId="35" fillId="12" borderId="0" xfId="0" applyFont="1" applyFill="1" applyAlignment="1">
      <alignment vertical="center" wrapText="1"/>
    </xf>
    <xf numFmtId="0" fontId="40" fillId="11" borderId="31" xfId="0" applyFont="1" applyFill="1" applyBorder="1" applyAlignment="1">
      <alignment horizontal="left" vertical="center" wrapText="1"/>
    </xf>
    <xf numFmtId="0" fontId="46" fillId="12" borderId="0" xfId="0" applyFont="1" applyFill="1" applyAlignment="1">
      <alignment vertical="center" wrapText="1"/>
    </xf>
    <xf numFmtId="0" fontId="47" fillId="12" borderId="0" xfId="0" applyFont="1" applyFill="1" applyAlignment="1">
      <alignment vertical="center" wrapText="1"/>
    </xf>
    <xf numFmtId="0" fontId="34" fillId="0" borderId="30" xfId="0" applyFont="1" applyBorder="1" applyAlignment="1">
      <alignment vertical="center" wrapText="1"/>
    </xf>
    <xf numFmtId="0" fontId="34" fillId="0" borderId="30" xfId="0" applyFont="1" applyBorder="1" applyAlignment="1">
      <alignment horizontal="center" vertical="center" wrapText="1"/>
    </xf>
    <xf numFmtId="0" fontId="34" fillId="12" borderId="30" xfId="0" applyFont="1" applyFill="1" applyBorder="1" applyAlignment="1">
      <alignment horizontal="center" vertical="center" wrapText="1"/>
    </xf>
    <xf numFmtId="0" fontId="34" fillId="11" borderId="36" xfId="0" applyFont="1" applyFill="1" applyBorder="1" applyAlignment="1">
      <alignment horizontal="center" vertical="center" wrapText="1"/>
    </xf>
    <xf numFmtId="0" fontId="34" fillId="0" borderId="0" xfId="0" applyFont="1" applyAlignment="1">
      <alignment horizontal="left" vertical="center" wrapText="1"/>
    </xf>
    <xf numFmtId="10" fontId="34" fillId="12" borderId="0" xfId="0" applyNumberFormat="1" applyFont="1" applyFill="1" applyAlignment="1">
      <alignment horizontal="right" vertical="center" wrapText="1"/>
    </xf>
    <xf numFmtId="0" fontId="34" fillId="11" borderId="37" xfId="0" applyFont="1" applyFill="1" applyBorder="1" applyAlignment="1">
      <alignment horizontal="right" vertical="center" wrapText="1"/>
    </xf>
    <xf numFmtId="0" fontId="40" fillId="11" borderId="32" xfId="0" applyFont="1" applyFill="1" applyBorder="1" applyAlignment="1">
      <alignment horizontal="right" vertical="center" wrapText="1"/>
    </xf>
    <xf numFmtId="0" fontId="40" fillId="11" borderId="38" xfId="0" applyFont="1" applyFill="1" applyBorder="1" applyAlignment="1">
      <alignment horizontal="right" vertical="center" wrapText="1"/>
    </xf>
    <xf numFmtId="0" fontId="40" fillId="0" borderId="0" xfId="0" applyFont="1" applyAlignment="1">
      <alignment horizontal="right" vertical="center" wrapText="1"/>
    </xf>
    <xf numFmtId="10" fontId="40" fillId="0" borderId="0" xfId="0" applyNumberFormat="1" applyFont="1" applyAlignment="1">
      <alignment horizontal="right" vertical="center" wrapText="1"/>
    </xf>
    <xf numFmtId="0" fontId="43" fillId="0" borderId="0" xfId="0" applyFont="1" applyAlignment="1">
      <alignment horizontal="right" vertical="center" wrapText="1"/>
    </xf>
    <xf numFmtId="0" fontId="39" fillId="11" borderId="32" xfId="0" applyFont="1" applyFill="1" applyBorder="1" applyAlignment="1">
      <alignment horizontal="right" vertical="center" wrapText="1"/>
    </xf>
    <xf numFmtId="0" fontId="39" fillId="11" borderId="33" xfId="0" applyFont="1" applyFill="1" applyBorder="1" applyAlignment="1">
      <alignment horizontal="right" vertical="center" wrapText="1"/>
    </xf>
    <xf numFmtId="0" fontId="35" fillId="0" borderId="0" xfId="0" applyFont="1" applyAlignment="1">
      <alignment horizontal="right" vertical="center" wrapText="1"/>
    </xf>
    <xf numFmtId="0" fontId="35" fillId="0" borderId="39" xfId="0" applyFont="1" applyBorder="1" applyAlignment="1">
      <alignment horizontal="center" vertical="center" wrapText="1"/>
    </xf>
    <xf numFmtId="0" fontId="35" fillId="0" borderId="41" xfId="0" applyFont="1" applyBorder="1" applyAlignment="1">
      <alignment horizontal="center" vertical="center" wrapText="1"/>
    </xf>
    <xf numFmtId="0" fontId="48" fillId="0" borderId="0" xfId="0" applyFont="1" applyAlignment="1">
      <alignment vertical="center" wrapText="1"/>
    </xf>
    <xf numFmtId="0" fontId="34" fillId="0" borderId="42" xfId="0" applyFont="1" applyBorder="1" applyAlignment="1">
      <alignment horizontal="center" vertical="center" wrapText="1"/>
    </xf>
    <xf numFmtId="10" fontId="35" fillId="0" borderId="43" xfId="0" applyNumberFormat="1" applyFont="1" applyBorder="1" applyAlignment="1">
      <alignment horizontal="center" vertical="center" wrapText="1"/>
    </xf>
    <xf numFmtId="0" fontId="48" fillId="0" borderId="0" xfId="0" applyFont="1" applyAlignment="1">
      <alignment horizontal="right" vertical="center" wrapText="1"/>
    </xf>
    <xf numFmtId="0" fontId="34" fillId="0" borderId="42" xfId="0" applyFont="1" applyBorder="1" applyAlignment="1">
      <alignment vertical="center" wrapText="1"/>
    </xf>
    <xf numFmtId="0" fontId="34" fillId="0" borderId="43" xfId="0" applyFont="1" applyBorder="1" applyAlignment="1">
      <alignment vertical="center" wrapText="1"/>
    </xf>
    <xf numFmtId="0" fontId="40" fillId="11" borderId="44" xfId="0" applyFont="1" applyFill="1" applyBorder="1" applyAlignment="1">
      <alignment vertical="center" wrapText="1"/>
    </xf>
    <xf numFmtId="10" fontId="40" fillId="11" borderId="45" xfId="0" applyNumberFormat="1" applyFont="1" applyFill="1" applyBorder="1" applyAlignment="1">
      <alignment horizontal="right" vertical="center" wrapText="1"/>
    </xf>
    <xf numFmtId="10" fontId="34" fillId="11" borderId="37" xfId="0" applyNumberFormat="1" applyFont="1" applyFill="1" applyBorder="1" applyAlignment="1">
      <alignment horizontal="right" vertical="center" wrapText="1"/>
    </xf>
    <xf numFmtId="0" fontId="40" fillId="11" borderId="32" xfId="0" applyFont="1" applyFill="1" applyBorder="1" applyAlignment="1">
      <alignment horizontal="left" vertical="center" wrapText="1"/>
    </xf>
    <xf numFmtId="10" fontId="40" fillId="11" borderId="38" xfId="0" applyNumberFormat="1" applyFont="1" applyFill="1" applyBorder="1" applyAlignment="1">
      <alignment horizontal="right" vertical="center" wrapText="1"/>
    </xf>
    <xf numFmtId="0" fontId="49" fillId="0" borderId="0" xfId="0" applyFont="1" applyAlignment="1">
      <alignment vertical="center" wrapText="1"/>
    </xf>
    <xf numFmtId="10" fontId="49" fillId="0" borderId="0" xfId="0" applyNumberFormat="1" applyFont="1" applyAlignment="1">
      <alignment horizontal="right" vertical="center" wrapText="1"/>
    </xf>
    <xf numFmtId="0" fontId="50" fillId="0" borderId="0" xfId="0" applyFont="1" applyAlignment="1">
      <alignment vertical="center" wrapText="1"/>
    </xf>
    <xf numFmtId="0" fontId="49" fillId="0" borderId="30" xfId="0" applyFont="1" applyBorder="1" applyAlignment="1">
      <alignment horizontal="right" vertical="center" wrapText="1"/>
    </xf>
    <xf numFmtId="0" fontId="39" fillId="0" borderId="0" xfId="0" applyFont="1" applyAlignment="1">
      <alignment vertical="center" wrapText="1"/>
    </xf>
    <xf numFmtId="10" fontId="39" fillId="0" borderId="46" xfId="0" applyNumberFormat="1" applyFont="1" applyBorder="1" applyAlignment="1">
      <alignment horizontal="right" vertical="center" wrapText="1"/>
    </xf>
    <xf numFmtId="4" fontId="4" fillId="3" borderId="0" xfId="3" applyNumberFormat="1" applyBorder="1" applyAlignment="1">
      <alignment horizontal="right" vertical="center"/>
    </xf>
    <xf numFmtId="0" fontId="3" fillId="13" borderId="0" xfId="8" applyAlignment="1"/>
    <xf numFmtId="4" fontId="3" fillId="13" borderId="0" xfId="8" applyNumberFormat="1" applyBorder="1" applyAlignment="1">
      <alignment horizontal="right" vertical="center"/>
    </xf>
    <xf numFmtId="4" fontId="3" fillId="13" borderId="0" xfId="8" applyNumberFormat="1" applyAlignment="1"/>
    <xf numFmtId="10" fontId="4" fillId="3" borderId="0" xfId="3" applyNumberFormat="1" applyBorder="1" applyAlignment="1">
      <alignment horizontal="right" vertical="center"/>
    </xf>
    <xf numFmtId="0" fontId="9" fillId="6" borderId="0" xfId="0" applyFont="1" applyFill="1" applyAlignment="1">
      <alignment horizontal="right" vertical="center"/>
    </xf>
    <xf numFmtId="0" fontId="51" fillId="0" borderId="0" xfId="0" applyFont="1"/>
    <xf numFmtId="0" fontId="51" fillId="0" borderId="0" xfId="0" applyFont="1" applyAlignment="1">
      <alignment vertical="center" wrapText="1"/>
    </xf>
    <xf numFmtId="3" fontId="51" fillId="0" borderId="0" xfId="0" applyNumberFormat="1" applyFont="1" applyAlignment="1">
      <alignment vertical="center" wrapText="1"/>
    </xf>
    <xf numFmtId="10" fontId="51" fillId="0" borderId="0" xfId="0" applyNumberFormat="1" applyFont="1" applyAlignment="1">
      <alignment vertical="center" wrapText="1"/>
    </xf>
    <xf numFmtId="0" fontId="52" fillId="6" borderId="0" xfId="0" applyFont="1" applyFill="1"/>
    <xf numFmtId="0" fontId="0" fillId="0" borderId="0" xfId="0" applyAlignment="1">
      <alignment wrapText="1"/>
    </xf>
    <xf numFmtId="174" fontId="0" fillId="0" borderId="0" xfId="0" applyNumberFormat="1"/>
    <xf numFmtId="0" fontId="54" fillId="14" borderId="0" xfId="0" applyFont="1" applyFill="1" applyAlignment="1">
      <alignment horizontal="left" vertical="top" wrapText="1"/>
    </xf>
    <xf numFmtId="0" fontId="0" fillId="6" borderId="0" xfId="0" applyFill="1" applyAlignment="1">
      <alignment vertical="center" wrapText="1"/>
    </xf>
    <xf numFmtId="0" fontId="55" fillId="6" borderId="0" xfId="0" applyFont="1" applyFill="1" applyAlignment="1">
      <alignment vertical="center" wrapText="1"/>
    </xf>
    <xf numFmtId="14" fontId="55" fillId="6" borderId="0" xfId="0" applyNumberFormat="1" applyFont="1" applyFill="1" applyAlignment="1">
      <alignment vertical="center" wrapText="1"/>
    </xf>
    <xf numFmtId="165" fontId="55" fillId="6" borderId="0" xfId="0" applyNumberFormat="1" applyFont="1" applyFill="1" applyAlignment="1">
      <alignment vertical="center" wrapText="1"/>
    </xf>
    <xf numFmtId="0" fontId="55" fillId="6" borderId="48" xfId="0" applyFont="1" applyFill="1" applyBorder="1" applyAlignment="1">
      <alignment vertical="center" wrapText="1"/>
    </xf>
    <xf numFmtId="0" fontId="55" fillId="15" borderId="0" xfId="0" applyFont="1" applyFill="1" applyAlignment="1">
      <alignment vertical="center" wrapText="1"/>
    </xf>
    <xf numFmtId="165" fontId="55" fillId="15" borderId="0" xfId="0" applyNumberFormat="1" applyFont="1" applyFill="1" applyAlignment="1">
      <alignment vertical="center" wrapText="1"/>
    </xf>
    <xf numFmtId="14" fontId="55" fillId="15" borderId="0" xfId="0" applyNumberFormat="1" applyFont="1" applyFill="1" applyAlignment="1">
      <alignment vertical="center" wrapText="1"/>
    </xf>
    <xf numFmtId="0" fontId="55" fillId="15" borderId="48" xfId="0" applyFont="1" applyFill="1" applyBorder="1" applyAlignment="1">
      <alignment vertical="center" wrapText="1"/>
    </xf>
    <xf numFmtId="10" fontId="0" fillId="6" borderId="0" xfId="0" applyNumberFormat="1" applyFill="1" applyAlignment="1">
      <alignment vertical="center" wrapText="1"/>
    </xf>
    <xf numFmtId="0" fontId="57" fillId="14" borderId="0" xfId="0" applyFont="1" applyFill="1" applyAlignment="1">
      <alignment horizontal="center" vertical="center" wrapText="1"/>
    </xf>
    <xf numFmtId="0" fontId="58" fillId="0" borderId="0" xfId="0" applyFont="1"/>
    <xf numFmtId="0" fontId="8" fillId="0" borderId="0" xfId="0" applyFont="1" applyAlignment="1">
      <alignment horizontal="left" vertical="center"/>
    </xf>
    <xf numFmtId="176" fontId="0" fillId="0" borderId="0" xfId="0" applyNumberFormat="1"/>
    <xf numFmtId="9" fontId="0" fillId="0" borderId="0" xfId="0" applyNumberFormat="1" applyAlignment="1">
      <alignment wrapText="1"/>
    </xf>
    <xf numFmtId="10" fontId="5" fillId="4" borderId="2" xfId="4" applyNumberFormat="1" applyAlignment="1"/>
    <xf numFmtId="166" fontId="0" fillId="0" borderId="0" xfId="0" applyNumberFormat="1" applyAlignment="1">
      <alignment horizontal="center" vertical="center" wrapText="1"/>
    </xf>
    <xf numFmtId="178" fontId="0" fillId="0" borderId="0" xfId="0" applyNumberFormat="1"/>
    <xf numFmtId="0" fontId="8" fillId="0" borderId="0" xfId="0" applyFont="1" applyAlignment="1">
      <alignment wrapText="1"/>
    </xf>
    <xf numFmtId="17" fontId="8" fillId="0" borderId="0" xfId="0" applyNumberFormat="1" applyFont="1"/>
    <xf numFmtId="165" fontId="0" fillId="0" borderId="0" xfId="0" applyNumberFormat="1"/>
    <xf numFmtId="0" fontId="7" fillId="4" borderId="10" xfId="5" applyAlignment="1">
      <alignment vertical="center" wrapText="1"/>
    </xf>
    <xf numFmtId="165" fontId="7" fillId="4" borderId="10" xfId="5" applyNumberFormat="1" applyAlignment="1"/>
    <xf numFmtId="0" fontId="62" fillId="0" borderId="0" xfId="0" applyFont="1"/>
    <xf numFmtId="0" fontId="5" fillId="4" borderId="2" xfId="4" applyAlignment="1">
      <alignment horizontal="right" vertical="center"/>
    </xf>
    <xf numFmtId="10" fontId="5" fillId="4" borderId="2" xfId="4" applyNumberFormat="1" applyAlignment="1">
      <alignment horizontal="right" vertical="center"/>
    </xf>
    <xf numFmtId="0" fontId="61" fillId="16" borderId="52" xfId="9" applyAlignment="1"/>
    <xf numFmtId="17" fontId="61" fillId="16" borderId="52" xfId="9" applyNumberFormat="1" applyAlignment="1">
      <alignment horizontal="right" vertical="center"/>
    </xf>
    <xf numFmtId="173" fontId="61" fillId="16" borderId="52" xfId="9" applyNumberFormat="1" applyAlignment="1"/>
    <xf numFmtId="4" fontId="61" fillId="16" borderId="52" xfId="9" applyNumberFormat="1" applyAlignment="1"/>
    <xf numFmtId="4" fontId="61" fillId="16" borderId="52" xfId="9" applyNumberFormat="1" applyAlignment="1">
      <alignment horizontal="right" vertical="center"/>
    </xf>
    <xf numFmtId="10" fontId="61" fillId="16" borderId="52" xfId="9" applyNumberFormat="1" applyAlignment="1"/>
    <xf numFmtId="0" fontId="63" fillId="0" borderId="0" xfId="0" applyFont="1" applyAlignment="1">
      <alignment vertical="center"/>
    </xf>
    <xf numFmtId="0" fontId="61" fillId="16" borderId="52" xfId="9" applyAlignment="1">
      <alignment horizontal="right" vertical="center"/>
    </xf>
    <xf numFmtId="171" fontId="9" fillId="6" borderId="0" xfId="0" applyNumberFormat="1" applyFont="1" applyFill="1" applyAlignment="1">
      <alignment horizontal="right" vertical="center"/>
    </xf>
    <xf numFmtId="0" fontId="22" fillId="9" borderId="27" xfId="0" applyFont="1" applyFill="1" applyBorder="1" applyAlignment="1">
      <alignment vertical="center" wrapText="1"/>
    </xf>
    <xf numFmtId="0" fontId="22" fillId="9" borderId="29" xfId="0" applyFont="1" applyFill="1" applyBorder="1" applyAlignment="1">
      <alignment vertical="center" wrapText="1"/>
    </xf>
    <xf numFmtId="0" fontId="22" fillId="9" borderId="28" xfId="0" applyFont="1" applyFill="1" applyBorder="1" applyAlignment="1">
      <alignment vertical="center" wrapText="1"/>
    </xf>
    <xf numFmtId="3" fontId="22" fillId="9" borderId="27" xfId="0" applyNumberFormat="1" applyFont="1" applyFill="1" applyBorder="1" applyAlignment="1">
      <alignment vertical="center" wrapText="1"/>
    </xf>
    <xf numFmtId="3" fontId="22" fillId="9" borderId="28" xfId="0" applyNumberFormat="1" applyFont="1" applyFill="1" applyBorder="1" applyAlignment="1">
      <alignment vertical="center" wrapText="1"/>
    </xf>
    <xf numFmtId="3" fontId="22" fillId="9" borderId="29" xfId="0" applyNumberFormat="1" applyFont="1" applyFill="1" applyBorder="1" applyAlignment="1">
      <alignment vertical="center" wrapText="1"/>
    </xf>
    <xf numFmtId="17" fontId="9" fillId="6" borderId="0" xfId="0" applyNumberFormat="1" applyFont="1" applyFill="1" applyAlignment="1">
      <alignment horizontal="right" vertical="center"/>
    </xf>
    <xf numFmtId="0" fontId="35" fillId="0" borderId="0" xfId="0" applyFont="1" applyAlignment="1">
      <alignment vertical="center" wrapText="1"/>
    </xf>
    <xf numFmtId="4" fontId="0" fillId="0" borderId="53" xfId="0" applyNumberFormat="1" applyBorder="1" applyAlignment="1">
      <alignment vertical="center" wrapText="1"/>
    </xf>
    <xf numFmtId="3" fontId="64" fillId="0" borderId="0" xfId="0" applyNumberFormat="1" applyFont="1" applyAlignment="1">
      <alignment horizontal="right" vertical="center" wrapText="1"/>
    </xf>
    <xf numFmtId="0" fontId="64" fillId="0" borderId="0" xfId="0" applyFont="1" applyAlignment="1">
      <alignment horizontal="right" vertical="center" wrapText="1"/>
    </xf>
    <xf numFmtId="3" fontId="64" fillId="0" borderId="0" xfId="0" applyNumberFormat="1" applyFont="1"/>
    <xf numFmtId="0" fontId="0" fillId="0" borderId="53" xfId="0" applyBorder="1" applyAlignment="1">
      <alignment vertical="center" wrapText="1"/>
    </xf>
    <xf numFmtId="0" fontId="0" fillId="0" borderId="0" xfId="0" applyAlignment="1">
      <alignment vertical="center" wrapText="1"/>
    </xf>
    <xf numFmtId="0" fontId="65" fillId="12" borderId="0" xfId="0" applyFont="1" applyFill="1" applyAlignment="1">
      <alignment vertical="center" wrapText="1"/>
    </xf>
    <xf numFmtId="10" fontId="0" fillId="0" borderId="3" xfId="0" applyNumberFormat="1" applyBorder="1" applyAlignment="1">
      <alignment wrapText="1"/>
    </xf>
    <xf numFmtId="166" fontId="0" fillId="0" borderId="9" xfId="0" applyNumberFormat="1" applyBorder="1"/>
    <xf numFmtId="10" fontId="0" fillId="0" borderId="9" xfId="0" applyNumberFormat="1" applyBorder="1" applyAlignment="1">
      <alignment wrapText="1"/>
    </xf>
    <xf numFmtId="166" fontId="0" fillId="0" borderId="4" xfId="0" applyNumberFormat="1" applyBorder="1"/>
    <xf numFmtId="166" fontId="0" fillId="0" borderId="1" xfId="0" applyNumberFormat="1" applyBorder="1"/>
    <xf numFmtId="177" fontId="0" fillId="0" borderId="1" xfId="0" applyNumberFormat="1" applyBorder="1"/>
    <xf numFmtId="166" fontId="0" fillId="0" borderId="8" xfId="0" applyNumberFormat="1" applyBorder="1"/>
    <xf numFmtId="10" fontId="0" fillId="0" borderId="4" xfId="0" applyNumberFormat="1" applyBorder="1"/>
    <xf numFmtId="9" fontId="0" fillId="0" borderId="5" xfId="0" applyNumberFormat="1" applyBorder="1"/>
    <xf numFmtId="0" fontId="0" fillId="5" borderId="54" xfId="6" applyFont="1" applyBorder="1" applyAlignment="1"/>
    <xf numFmtId="175" fontId="0" fillId="0" borderId="6" xfId="0" applyNumberFormat="1" applyBorder="1"/>
    <xf numFmtId="0" fontId="0" fillId="5" borderId="55" xfId="6" applyFont="1" applyBorder="1" applyAlignment="1"/>
    <xf numFmtId="4" fontId="8" fillId="6" borderId="12" xfId="0" applyNumberFormat="1" applyFont="1" applyFill="1" applyBorder="1" applyAlignment="1">
      <alignment horizontal="right" vertical="center"/>
    </xf>
    <xf numFmtId="4" fontId="66" fillId="17" borderId="12" xfId="0" applyNumberFormat="1" applyFont="1" applyFill="1" applyBorder="1" applyAlignment="1">
      <alignment horizontal="right" vertical="center"/>
    </xf>
    <xf numFmtId="0" fontId="66" fillId="17" borderId="12" xfId="0" applyFont="1" applyFill="1" applyBorder="1" applyAlignment="1">
      <alignment horizontal="right" vertical="center"/>
    </xf>
    <xf numFmtId="3" fontId="67" fillId="0" borderId="0" xfId="0" applyNumberFormat="1" applyFont="1"/>
    <xf numFmtId="3" fontId="68" fillId="0" borderId="0" xfId="0" applyNumberFormat="1" applyFont="1" applyAlignment="1">
      <alignment horizontal="right" vertical="center" wrapText="1"/>
    </xf>
    <xf numFmtId="0" fontId="7" fillId="4" borderId="49" xfId="5" applyBorder="1" applyAlignment="1"/>
    <xf numFmtId="0" fontId="7" fillId="4" borderId="50" xfId="5" applyBorder="1" applyAlignment="1"/>
    <xf numFmtId="0" fontId="7" fillId="4" borderId="51" xfId="5" applyBorder="1" applyAlignment="1"/>
    <xf numFmtId="0" fontId="7" fillId="4" borderId="10" xfId="5" applyAlignment="1"/>
    <xf numFmtId="0" fontId="22" fillId="9" borderId="27" xfId="0" applyFont="1" applyFill="1" applyBorder="1" applyAlignment="1">
      <alignment vertical="center" wrapText="1"/>
    </xf>
    <xf numFmtId="0" fontId="22" fillId="9" borderId="28" xfId="0" applyFont="1" applyFill="1" applyBorder="1" applyAlignment="1">
      <alignment vertical="center" wrapText="1"/>
    </xf>
    <xf numFmtId="0" fontId="22" fillId="9" borderId="29" xfId="0" applyFont="1" applyFill="1" applyBorder="1" applyAlignment="1">
      <alignment vertical="center" wrapText="1"/>
    </xf>
    <xf numFmtId="0" fontId="25" fillId="9" borderId="27" xfId="7" applyFill="1" applyBorder="1" applyAlignment="1">
      <alignment vertical="center" wrapText="1"/>
    </xf>
    <xf numFmtId="0" fontId="25" fillId="9" borderId="28" xfId="7" applyFill="1" applyBorder="1" applyAlignment="1">
      <alignment vertical="center" wrapText="1"/>
    </xf>
    <xf numFmtId="0" fontId="25" fillId="9" borderId="29" xfId="7" applyFill="1" applyBorder="1" applyAlignment="1">
      <alignment vertical="center" wrapText="1"/>
    </xf>
    <xf numFmtId="0" fontId="23" fillId="9" borderId="27" xfId="0" applyFont="1" applyFill="1" applyBorder="1" applyAlignment="1">
      <alignment vertical="center" wrapText="1"/>
    </xf>
    <xf numFmtId="0" fontId="23" fillId="9" borderId="29" xfId="0" applyFont="1" applyFill="1" applyBorder="1" applyAlignment="1">
      <alignment vertical="center" wrapText="1"/>
    </xf>
    <xf numFmtId="3" fontId="22" fillId="9" borderId="27" xfId="0" applyNumberFormat="1" applyFont="1" applyFill="1" applyBorder="1" applyAlignment="1">
      <alignment vertical="center" wrapText="1"/>
    </xf>
    <xf numFmtId="3" fontId="22" fillId="9" borderId="29" xfId="0" applyNumberFormat="1" applyFont="1" applyFill="1" applyBorder="1" applyAlignment="1">
      <alignment vertical="center" wrapText="1"/>
    </xf>
    <xf numFmtId="0" fontId="0" fillId="0" borderId="0" xfId="0" applyAlignment="1">
      <alignment horizontal="center"/>
    </xf>
    <xf numFmtId="0" fontId="0" fillId="6" borderId="0" xfId="0" applyFill="1" applyAlignment="1">
      <alignment horizontal="center" vertical="center"/>
    </xf>
    <xf numFmtId="0" fontId="0" fillId="0" borderId="0" xfId="0"/>
    <xf numFmtId="0" fontId="23" fillId="9" borderId="28" xfId="0" applyFont="1" applyFill="1" applyBorder="1" applyAlignment="1">
      <alignment vertical="center" wrapText="1"/>
    </xf>
    <xf numFmtId="3" fontId="22" fillId="9" borderId="28" xfId="0" applyNumberFormat="1" applyFont="1" applyFill="1" applyBorder="1" applyAlignment="1">
      <alignment vertical="center" wrapText="1"/>
    </xf>
    <xf numFmtId="0" fontId="7" fillId="5" borderId="11" xfId="6" applyFont="1" applyAlignment="1">
      <alignment horizontal="center" vertical="center"/>
    </xf>
    <xf numFmtId="0" fontId="55" fillId="6" borderId="47" xfId="0" applyFont="1" applyFill="1" applyBorder="1" applyAlignment="1">
      <alignment vertical="center" wrapText="1"/>
    </xf>
    <xf numFmtId="0" fontId="55" fillId="15" borderId="47" xfId="0" applyFont="1" applyFill="1" applyBorder="1" applyAlignment="1">
      <alignment vertical="center" wrapText="1"/>
    </xf>
    <xf numFmtId="165" fontId="55" fillId="15" borderId="47" xfId="0" applyNumberFormat="1" applyFont="1" applyFill="1" applyBorder="1" applyAlignment="1">
      <alignment vertical="center" wrapText="1"/>
    </xf>
    <xf numFmtId="10" fontId="55" fillId="15" borderId="47" xfId="0" applyNumberFormat="1" applyFont="1" applyFill="1" applyBorder="1" applyAlignment="1">
      <alignment vertical="center" wrapText="1"/>
    </xf>
    <xf numFmtId="165" fontId="55" fillId="6" borderId="47" xfId="0" applyNumberFormat="1" applyFont="1" applyFill="1" applyBorder="1" applyAlignment="1">
      <alignment vertical="center" wrapText="1"/>
    </xf>
    <xf numFmtId="10" fontId="55" fillId="6" borderId="47" xfId="0" applyNumberFormat="1" applyFont="1" applyFill="1" applyBorder="1" applyAlignment="1">
      <alignment vertical="center" wrapText="1"/>
    </xf>
    <xf numFmtId="0" fontId="56" fillId="0" borderId="0" xfId="0" applyFont="1" applyAlignment="1">
      <alignment horizontal="center" vertical="center" wrapText="1"/>
    </xf>
    <xf numFmtId="0" fontId="34" fillId="0" borderId="0" xfId="0" applyFont="1" applyAlignment="1">
      <alignment horizontal="center" vertical="center" wrapText="1"/>
    </xf>
    <xf numFmtId="0" fontId="40" fillId="0" borderId="35" xfId="0" applyFont="1" applyBorder="1" applyAlignment="1">
      <alignment horizontal="center" vertical="center" wrapText="1"/>
    </xf>
    <xf numFmtId="0" fontId="35" fillId="0" borderId="34" xfId="0" applyFont="1" applyBorder="1" applyAlignment="1">
      <alignment vertical="center" wrapText="1"/>
    </xf>
    <xf numFmtId="0" fontId="25" fillId="0" borderId="0" xfId="7" applyAlignment="1">
      <alignment vertical="center" wrapText="1"/>
    </xf>
    <xf numFmtId="0" fontId="35" fillId="0" borderId="0" xfId="0" applyFont="1" applyAlignment="1">
      <alignment horizontal="left" vertical="center" wrapText="1"/>
    </xf>
    <xf numFmtId="0" fontId="34" fillId="0" borderId="35" xfId="0" applyFont="1" applyBorder="1" applyAlignment="1">
      <alignment horizontal="center" vertical="center" wrapText="1"/>
    </xf>
    <xf numFmtId="0" fontId="35" fillId="0" borderId="40" xfId="0" applyFont="1" applyBorder="1" applyAlignment="1">
      <alignment horizontal="center" vertical="center" wrapText="1"/>
    </xf>
    <xf numFmtId="0" fontId="34" fillId="0" borderId="34" xfId="0" applyFont="1" applyBorder="1" applyAlignment="1">
      <alignment horizontal="center" vertical="center" wrapText="1"/>
    </xf>
    <xf numFmtId="0" fontId="32" fillId="0" borderId="0" xfId="0" applyFont="1" applyAlignment="1">
      <alignment horizontal="center" wrapText="1"/>
    </xf>
    <xf numFmtId="0" fontId="28" fillId="0" borderId="0" xfId="0" applyFont="1" applyAlignment="1">
      <alignment horizontal="center" vertical="top" wrapText="1"/>
    </xf>
    <xf numFmtId="0" fontId="28" fillId="0" borderId="0" xfId="0" applyFont="1" applyAlignment="1">
      <alignment horizontal="center" vertical="center" wrapText="1"/>
    </xf>
    <xf numFmtId="0" fontId="16" fillId="7" borderId="21" xfId="0" applyFont="1" applyFill="1" applyBorder="1" applyAlignment="1">
      <alignment horizontal="right" vertical="center" wrapText="1"/>
    </xf>
    <xf numFmtId="0" fontId="16" fillId="7" borderId="22" xfId="0" applyFont="1" applyFill="1" applyBorder="1" applyAlignment="1">
      <alignment horizontal="right" vertical="center" wrapText="1"/>
    </xf>
    <xf numFmtId="0" fontId="16" fillId="7" borderId="23" xfId="0" applyFont="1" applyFill="1" applyBorder="1" applyAlignment="1">
      <alignment horizontal="right" vertical="center" wrapText="1"/>
    </xf>
    <xf numFmtId="0" fontId="16" fillId="8" borderId="14" xfId="0" applyFont="1" applyFill="1" applyBorder="1" applyAlignment="1">
      <alignment horizontal="left" vertical="center" wrapText="1"/>
    </xf>
    <xf numFmtId="0" fontId="16" fillId="8" borderId="15" xfId="0" applyFont="1" applyFill="1" applyBorder="1" applyAlignment="1">
      <alignment horizontal="left" vertical="center" wrapText="1"/>
    </xf>
    <xf numFmtId="0" fontId="16" fillId="8" borderId="16" xfId="0" applyFont="1" applyFill="1" applyBorder="1" applyAlignment="1">
      <alignment horizontal="left" vertical="center" wrapText="1"/>
    </xf>
    <xf numFmtId="0" fontId="16" fillId="7" borderId="14" xfId="0" applyFont="1" applyFill="1" applyBorder="1" applyAlignment="1">
      <alignment horizontal="right" vertical="center" wrapText="1"/>
    </xf>
    <xf numFmtId="0" fontId="16" fillId="7" borderId="15" xfId="0" applyFont="1" applyFill="1" applyBorder="1" applyAlignment="1">
      <alignment horizontal="right" vertical="center" wrapText="1"/>
    </xf>
    <xf numFmtId="0" fontId="16" fillId="7" borderId="16" xfId="0" applyFont="1" applyFill="1" applyBorder="1" applyAlignment="1">
      <alignment horizontal="right" vertical="center" wrapText="1"/>
    </xf>
    <xf numFmtId="0" fontId="16" fillId="7" borderId="17" xfId="0" applyFont="1" applyFill="1" applyBorder="1" applyAlignment="1">
      <alignment horizontal="right" vertical="center" wrapText="1"/>
    </xf>
    <xf numFmtId="0" fontId="16" fillId="7" borderId="18" xfId="0" applyFont="1" applyFill="1" applyBorder="1" applyAlignment="1">
      <alignment horizontal="right" vertical="center" wrapText="1"/>
    </xf>
    <xf numFmtId="0" fontId="16" fillId="7" borderId="19" xfId="0" applyFont="1" applyFill="1" applyBorder="1" applyAlignment="1">
      <alignment horizontal="right" vertical="center" wrapText="1"/>
    </xf>
    <xf numFmtId="0" fontId="16" fillId="7" borderId="20" xfId="0" applyFont="1" applyFill="1" applyBorder="1" applyAlignment="1">
      <alignment horizontal="right" vertical="center" wrapText="1"/>
    </xf>
  </cellXfs>
  <cellStyles count="10">
    <cellStyle name="20% - Accent2" xfId="8" builtinId="34"/>
    <cellStyle name="Bad" xfId="1" builtinId="27"/>
    <cellStyle name="Calculation" xfId="4" builtinId="22"/>
    <cellStyle name="Check Cell" xfId="9" builtinId="23"/>
    <cellStyle name="Hyperlink" xfId="7" builtinId="8"/>
    <cellStyle name="Neutral" xfId="3" builtinId="28"/>
    <cellStyle name="Normal" xfId="0" builtinId="0"/>
    <cellStyle name="Normal 2" xfId="2" xr:uid="{4D285268-EBD2-45A3-BB69-C59CC5D0A60C}"/>
    <cellStyle name="Note" xfId="6" builtinId="10"/>
    <cellStyle name="Output" xfId="5" builtinId="21"/>
  </cellStyles>
  <dxfs count="4">
    <dxf>
      <numFmt numFmtId="0" formatCode="General"/>
    </dxf>
    <dxf>
      <numFmt numFmtId="3" formatCode="#,##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1"/>
          <c:order val="0"/>
          <c:tx>
            <c:strRef>
              <c:f>Valuation!$A$6</c:f>
              <c:strCache>
                <c:ptCount val="1"/>
                <c:pt idx="0">
                  <c:v>Net PPE(M)
(Operating lease vehicles, net:
Solar energy systems, net:
Property, plant and equipment, net:
Operating lease right-of-use assets)
https://www.gurufocus.com/term/Net+PPE/NAS:TSLA/Property,-Plant-and-Equipment/Tesla</c:v>
                </c:pt>
              </c:strCache>
            </c:strRef>
          </c:tx>
          <c:spPr>
            <a:ln w="22225" cap="rnd">
              <a:solidFill>
                <a:schemeClr val="accent2"/>
              </a:solidFill>
            </a:ln>
            <a:effectLst>
              <a:glow rad="139700">
                <a:schemeClr val="accent2">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Valuation!$B$2:$I$2</c:f>
              <c:numCache>
                <c:formatCode>mmm\-yy</c:formatCode>
                <c:ptCount val="8"/>
                <c:pt idx="0">
                  <c:v>42339</c:v>
                </c:pt>
                <c:pt idx="1">
                  <c:v>42705</c:v>
                </c:pt>
                <c:pt idx="2">
                  <c:v>43070</c:v>
                </c:pt>
                <c:pt idx="3">
                  <c:v>43435</c:v>
                </c:pt>
                <c:pt idx="4">
                  <c:v>43800</c:v>
                </c:pt>
                <c:pt idx="5">
                  <c:v>44166</c:v>
                </c:pt>
                <c:pt idx="6">
                  <c:v>44531</c:v>
                </c:pt>
                <c:pt idx="7">
                  <c:v>44896</c:v>
                </c:pt>
              </c:numCache>
            </c:numRef>
          </c:cat>
          <c:val>
            <c:numRef>
              <c:f>Valuation!$C$6:$I$6</c:f>
              <c:numCache>
                <c:formatCode>#,##0.00</c:formatCode>
                <c:ptCount val="7"/>
                <c:pt idx="0">
                  <c:v>15036.92</c:v>
                </c:pt>
                <c:pt idx="1">
                  <c:v>20491.62</c:v>
                </c:pt>
                <c:pt idx="2">
                  <c:v>19691</c:v>
                </c:pt>
                <c:pt idx="3">
                  <c:v>20199</c:v>
                </c:pt>
                <c:pt idx="4">
                  <c:v>23375</c:v>
                </c:pt>
                <c:pt idx="5">
                  <c:v>31176</c:v>
                </c:pt>
                <c:pt idx="6">
                  <c:v>36635</c:v>
                </c:pt>
              </c:numCache>
            </c:numRef>
          </c:val>
          <c:smooth val="0"/>
          <c:extLst>
            <c:ext xmlns:c16="http://schemas.microsoft.com/office/drawing/2014/chart" uri="{C3380CC4-5D6E-409C-BE32-E72D297353CC}">
              <c16:uniqueId val="{00000001-C97C-4BCB-8974-795215A08196}"/>
            </c:ext>
          </c:extLst>
        </c:ser>
        <c:dLbls>
          <c:dLblPos val="t"/>
          <c:showLegendKey val="0"/>
          <c:showVal val="1"/>
          <c:showCatName val="0"/>
          <c:showSerName val="0"/>
          <c:showPercent val="0"/>
          <c:showBubbleSize val="0"/>
        </c:dLbls>
        <c:smooth val="0"/>
        <c:axId val="672063096"/>
        <c:axId val="672063424"/>
      </c:lineChart>
      <c:dateAx>
        <c:axId val="6720630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ltLang="zh-TW"/>
                  <a:t>Production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mmm\-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2063424"/>
        <c:crosses val="autoZero"/>
        <c:auto val="1"/>
        <c:lblOffset val="100"/>
        <c:baseTimeUnit val="years"/>
      </c:dateAx>
      <c:valAx>
        <c:axId val="6720634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20630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Valuation!$A$41</c:f>
              <c:strCache>
                <c:ptCount val="1"/>
                <c:pt idx="0">
                  <c:v>Operating Income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Valuation!$B$28:$I$28</c:f>
              <c:numCache>
                <c:formatCode>#,##0.00</c:formatCode>
                <c:ptCount val="8"/>
                <c:pt idx="0">
                  <c:v>4046.03</c:v>
                </c:pt>
                <c:pt idx="1">
                  <c:v>7000.13</c:v>
                </c:pt>
                <c:pt idx="2">
                  <c:v>11759</c:v>
                </c:pt>
                <c:pt idx="3">
                  <c:v>21461</c:v>
                </c:pt>
                <c:pt idx="4">
                  <c:v>24578</c:v>
                </c:pt>
                <c:pt idx="5">
                  <c:v>31536</c:v>
                </c:pt>
                <c:pt idx="6">
                  <c:v>53823</c:v>
                </c:pt>
                <c:pt idx="7">
                  <c:v>81462</c:v>
                </c:pt>
              </c:numCache>
            </c:numRef>
          </c:xVal>
          <c:yVal>
            <c:numRef>
              <c:f>Valuation!$B$41:$I$41</c:f>
              <c:numCache>
                <c:formatCode>#,##0.00</c:formatCode>
                <c:ptCount val="8"/>
                <c:pt idx="0">
                  <c:v>500.92000000000058</c:v>
                </c:pt>
                <c:pt idx="1">
                  <c:v>680.54031910583569</c:v>
                </c:pt>
                <c:pt idx="2">
                  <c:v>401.75514862363639</c:v>
                </c:pt>
                <c:pt idx="3">
                  <c:v>2252.9903634149223</c:v>
                </c:pt>
                <c:pt idx="4">
                  <c:v>2033.6056766789707</c:v>
                </c:pt>
                <c:pt idx="5">
                  <c:v>4501.9371126678989</c:v>
                </c:pt>
                <c:pt idx="6">
                  <c:v>16659.863300738805</c:v>
                </c:pt>
                <c:pt idx="7">
                  <c:v>24959.016787978489</c:v>
                </c:pt>
              </c:numCache>
            </c:numRef>
          </c:yVal>
          <c:smooth val="0"/>
          <c:extLst>
            <c:ext xmlns:c16="http://schemas.microsoft.com/office/drawing/2014/chart" uri="{C3380CC4-5D6E-409C-BE32-E72D297353CC}">
              <c16:uniqueId val="{00000000-7510-4AB6-8D54-1CBBB0F9F799}"/>
            </c:ext>
          </c:extLst>
        </c:ser>
        <c:dLbls>
          <c:dLblPos val="t"/>
          <c:showLegendKey val="0"/>
          <c:showVal val="1"/>
          <c:showCatName val="0"/>
          <c:showSerName val="0"/>
          <c:showPercent val="0"/>
          <c:showBubbleSize val="0"/>
        </c:dLbls>
        <c:axId val="1153093808"/>
        <c:axId val="1153094136"/>
      </c:scatterChart>
      <c:valAx>
        <c:axId val="115309380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094136"/>
        <c:crosses val="autoZero"/>
        <c:crossBetween val="midCat"/>
      </c:valAx>
      <c:valAx>
        <c:axId val="11530941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0938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Valuation!$A$44</c:f>
              <c:strCache>
                <c:ptCount val="1"/>
                <c:pt idx="0">
                  <c:v>DFL</c:v>
                </c:pt>
              </c:strCache>
            </c:strRef>
          </c:tx>
          <c:spPr>
            <a:ln w="25400" cap="rnd">
              <a:no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Valuation!$B$41:$I$41</c:f>
              <c:numCache>
                <c:formatCode>#,##0.00</c:formatCode>
                <c:ptCount val="8"/>
                <c:pt idx="0">
                  <c:v>500.92000000000058</c:v>
                </c:pt>
                <c:pt idx="1">
                  <c:v>680.54031910583569</c:v>
                </c:pt>
                <c:pt idx="2">
                  <c:v>401.75514862363639</c:v>
                </c:pt>
                <c:pt idx="3">
                  <c:v>2252.9903634149223</c:v>
                </c:pt>
                <c:pt idx="4">
                  <c:v>2033.6056766789707</c:v>
                </c:pt>
                <c:pt idx="5">
                  <c:v>4501.9371126678989</c:v>
                </c:pt>
                <c:pt idx="6">
                  <c:v>16659.863300738805</c:v>
                </c:pt>
                <c:pt idx="7">
                  <c:v>24959.016787978489</c:v>
                </c:pt>
              </c:numCache>
            </c:numRef>
          </c:xVal>
          <c:yVal>
            <c:numRef>
              <c:f>Valuation!$B$44:$I$44</c:f>
              <c:numCache>
                <c:formatCode>#,##0.00</c:formatCode>
                <c:ptCount val="8"/>
                <c:pt idx="0">
                  <c:v>1.3110686523411934</c:v>
                </c:pt>
                <c:pt idx="1">
                  <c:v>1.4126997868206042</c:v>
                </c:pt>
                <c:pt idx="2">
                  <c:v>-5.8019497571017027</c:v>
                </c:pt>
                <c:pt idx="3">
                  <c:v>1.4169836593072382</c:v>
                </c:pt>
                <c:pt idx="4">
                  <c:v>1.5079320158927827</c:v>
                </c:pt>
                <c:pt idx="5">
                  <c:v>1.1992574669074307</c:v>
                </c:pt>
                <c:pt idx="6">
                  <c:v>1.0227762977164387</c:v>
                </c:pt>
                <c:pt idx="7">
                  <c:v>1.0077115580805285</c:v>
                </c:pt>
              </c:numCache>
            </c:numRef>
          </c:yVal>
          <c:smooth val="0"/>
          <c:extLst>
            <c:ext xmlns:c16="http://schemas.microsoft.com/office/drawing/2014/chart" uri="{C3380CC4-5D6E-409C-BE32-E72D297353CC}">
              <c16:uniqueId val="{00000000-9F53-4A20-B79E-334D34A08563}"/>
            </c:ext>
          </c:extLst>
        </c:ser>
        <c:dLbls>
          <c:dLblPos val="t"/>
          <c:showLegendKey val="0"/>
          <c:showVal val="1"/>
          <c:showCatName val="0"/>
          <c:showSerName val="0"/>
          <c:showPercent val="0"/>
          <c:showBubbleSize val="0"/>
        </c:dLbls>
        <c:axId val="1153093808"/>
        <c:axId val="1153094136"/>
      </c:scatterChart>
      <c:valAx>
        <c:axId val="1153093808"/>
        <c:scaling>
          <c:orientation val="minMax"/>
        </c:scaling>
        <c:delete val="0"/>
        <c:axPos val="b"/>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094136"/>
        <c:crosses val="autoZero"/>
        <c:crossBetween val="midCat"/>
      </c:valAx>
      <c:valAx>
        <c:axId val="11530941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0938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Valuation!$A$45</c:f>
              <c:strCache>
                <c:ptCount val="1"/>
                <c:pt idx="0">
                  <c:v>EBT(M)</c:v>
                </c:pt>
              </c:strCache>
            </c:strRef>
          </c:tx>
          <c:spPr>
            <a:ln w="25400" cap="rnd">
              <a:no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xVal>
            <c:numRef>
              <c:f>Valuation!$B$41:$I$41</c:f>
              <c:numCache>
                <c:formatCode>#,##0.00</c:formatCode>
                <c:ptCount val="8"/>
                <c:pt idx="0">
                  <c:v>500.92000000000058</c:v>
                </c:pt>
                <c:pt idx="1">
                  <c:v>680.54031910583569</c:v>
                </c:pt>
                <c:pt idx="2">
                  <c:v>401.75514862363639</c:v>
                </c:pt>
                <c:pt idx="3">
                  <c:v>2252.9903634149223</c:v>
                </c:pt>
                <c:pt idx="4">
                  <c:v>2033.6056766789707</c:v>
                </c:pt>
                <c:pt idx="5">
                  <c:v>4501.9371126678989</c:v>
                </c:pt>
                <c:pt idx="6">
                  <c:v>16659.863300738805</c:v>
                </c:pt>
                <c:pt idx="7">
                  <c:v>24959.016787978489</c:v>
                </c:pt>
              </c:numCache>
            </c:numRef>
          </c:xVal>
          <c:yVal>
            <c:numRef>
              <c:f>Valuation!$B$45:$I$45</c:f>
              <c:numCache>
                <c:formatCode>#,##0.00</c:formatCode>
                <c:ptCount val="8"/>
                <c:pt idx="0">
                  <c:v>382.07000000000062</c:v>
                </c:pt>
                <c:pt idx="1">
                  <c:v>481.73031910583569</c:v>
                </c:pt>
                <c:pt idx="2">
                  <c:v>-69.244851376363613</c:v>
                </c:pt>
                <c:pt idx="3">
                  <c:v>1589.9903634149223</c:v>
                </c:pt>
                <c:pt idx="4">
                  <c:v>1348.6056766789707</c:v>
                </c:pt>
                <c:pt idx="5">
                  <c:v>3753.9371126678989</c:v>
                </c:pt>
                <c:pt idx="6">
                  <c:v>16288.863300738805</c:v>
                </c:pt>
                <c:pt idx="7">
                  <c:v>24768.016787978489</c:v>
                </c:pt>
              </c:numCache>
            </c:numRef>
          </c:yVal>
          <c:smooth val="0"/>
          <c:extLst>
            <c:ext xmlns:c16="http://schemas.microsoft.com/office/drawing/2014/chart" uri="{C3380CC4-5D6E-409C-BE32-E72D297353CC}">
              <c16:uniqueId val="{00000000-3C03-4EE3-A685-D4071229B1F8}"/>
            </c:ext>
          </c:extLst>
        </c:ser>
        <c:dLbls>
          <c:dLblPos val="t"/>
          <c:showLegendKey val="0"/>
          <c:showVal val="1"/>
          <c:showCatName val="0"/>
          <c:showSerName val="0"/>
          <c:showPercent val="0"/>
          <c:showBubbleSize val="0"/>
        </c:dLbls>
        <c:axId val="1153093808"/>
        <c:axId val="1153094136"/>
      </c:scatterChart>
      <c:valAx>
        <c:axId val="1153093808"/>
        <c:scaling>
          <c:orientation val="minMax"/>
        </c:scaling>
        <c:delete val="0"/>
        <c:axPos val="b"/>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094136"/>
        <c:crosses val="autoZero"/>
        <c:crossBetween val="midCat"/>
      </c:valAx>
      <c:valAx>
        <c:axId val="11530941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0938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Valuation!$A$49</c:f>
              <c:strCache>
                <c:ptCount val="1"/>
                <c:pt idx="0">
                  <c:v>DTL</c:v>
                </c:pt>
              </c:strCache>
            </c:strRef>
          </c:tx>
          <c:spPr>
            <a:ln w="25400" cap="rnd">
              <a:no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Valuation!$B$74:$G$74</c:f>
              <c:numCache>
                <c:formatCode>#,##0_ </c:formatCode>
                <c:ptCount val="6"/>
                <c:pt idx="0">
                  <c:v>50000</c:v>
                </c:pt>
                <c:pt idx="1">
                  <c:v>75890</c:v>
                </c:pt>
                <c:pt idx="2">
                  <c:v>103020</c:v>
                </c:pt>
                <c:pt idx="3">
                  <c:v>244920</c:v>
                </c:pt>
                <c:pt idx="4">
                  <c:v>367200</c:v>
                </c:pt>
                <c:pt idx="5">
                  <c:v>499550</c:v>
                </c:pt>
              </c:numCache>
            </c:numRef>
          </c:xVal>
          <c:yVal>
            <c:numRef>
              <c:f>Valuation!$B$49:$G$49</c:f>
              <c:numCache>
                <c:formatCode>#,##0.00</c:formatCode>
                <c:ptCount val="6"/>
                <c:pt idx="0">
                  <c:v>2.4171225168162875</c:v>
                </c:pt>
                <c:pt idx="1">
                  <c:v>3.3787375520124665</c:v>
                </c:pt>
                <c:pt idx="2">
                  <c:v>-29.428255070516535</c:v>
                </c:pt>
                <c:pt idx="3">
                  <c:v>2.6125883898397571</c:v>
                </c:pt>
                <c:pt idx="4">
                  <c:v>3.105137216233008</c:v>
                </c:pt>
                <c:pt idx="5">
                  <c:v>1.8178080526815672</c:v>
                </c:pt>
              </c:numCache>
            </c:numRef>
          </c:yVal>
          <c:smooth val="0"/>
          <c:extLst>
            <c:ext xmlns:c16="http://schemas.microsoft.com/office/drawing/2014/chart" uri="{C3380CC4-5D6E-409C-BE32-E72D297353CC}">
              <c16:uniqueId val="{00000000-0933-44D9-B2AF-835F4B8CC8BE}"/>
            </c:ext>
          </c:extLst>
        </c:ser>
        <c:dLbls>
          <c:dLblPos val="t"/>
          <c:showLegendKey val="0"/>
          <c:showVal val="1"/>
          <c:showCatName val="0"/>
          <c:showSerName val="0"/>
          <c:showPercent val="0"/>
          <c:showBubbleSize val="0"/>
        </c:dLbls>
        <c:axId val="1153093808"/>
        <c:axId val="1153094136"/>
      </c:scatterChart>
      <c:valAx>
        <c:axId val="1153093808"/>
        <c:scaling>
          <c:orientation val="minMax"/>
        </c:scaling>
        <c:delete val="0"/>
        <c:axPos val="b"/>
        <c:numFmt formatCode="#,##0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094136"/>
        <c:crosses val="autoZero"/>
        <c:crossBetween val="midCat"/>
      </c:valAx>
      <c:valAx>
        <c:axId val="11530941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0938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tLang="zh-TW"/>
              <a:t>Scale of Production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'Toyota - production'!$A$13</c:f>
              <c:strCache>
                <c:ptCount val="1"/>
                <c:pt idx="0">
                  <c:v>Avg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'Toyota - production'!$D$3:$I$3</c:f>
              <c:numCache>
                <c:formatCode>General</c:formatCode>
                <c:ptCount val="6"/>
                <c:pt idx="0">
                  <c:v>1937</c:v>
                </c:pt>
                <c:pt idx="1">
                  <c:v>1957</c:v>
                </c:pt>
                <c:pt idx="2">
                  <c:v>1967</c:v>
                </c:pt>
                <c:pt idx="3">
                  <c:v>1977</c:v>
                </c:pt>
                <c:pt idx="4">
                  <c:v>1987</c:v>
                </c:pt>
                <c:pt idx="5">
                  <c:v>2012</c:v>
                </c:pt>
              </c:numCache>
            </c:numRef>
          </c:cat>
          <c:val>
            <c:numRef>
              <c:f>'Toyota - production'!$D$13:$I$13</c:f>
              <c:numCache>
                <c:formatCode>#,##0</c:formatCode>
                <c:ptCount val="6"/>
                <c:pt idx="0">
                  <c:v>4013</c:v>
                </c:pt>
                <c:pt idx="1">
                  <c:v>7229.727272727273</c:v>
                </c:pt>
                <c:pt idx="2">
                  <c:v>23114.722222222223</c:v>
                </c:pt>
                <c:pt idx="3">
                  <c:v>45345.966666666667</c:v>
                </c:pt>
                <c:pt idx="4">
                  <c:v>60802.206349206346</c:v>
                </c:pt>
                <c:pt idx="5">
                  <c:v>46816.304054054053</c:v>
                </c:pt>
              </c:numCache>
            </c:numRef>
          </c:val>
          <c:smooth val="0"/>
          <c:extLst>
            <c:ext xmlns:c16="http://schemas.microsoft.com/office/drawing/2014/chart" uri="{C3380CC4-5D6E-409C-BE32-E72D297353CC}">
              <c16:uniqueId val="{00000008-196C-4236-AFDE-6B5B0C2F1E3C}"/>
            </c:ext>
          </c:extLst>
        </c:ser>
        <c:ser>
          <c:idx val="1"/>
          <c:order val="1"/>
          <c:tx>
            <c:strRef>
              <c:f>'Toyota - production'!$A$11</c:f>
              <c:strCache>
                <c:ptCount val="1"/>
                <c:pt idx="0">
                  <c:v>scale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'Toyota - production'!$D$3:$I$3</c:f>
              <c:numCache>
                <c:formatCode>General</c:formatCode>
                <c:ptCount val="6"/>
                <c:pt idx="0">
                  <c:v>1937</c:v>
                </c:pt>
                <c:pt idx="1">
                  <c:v>1957</c:v>
                </c:pt>
                <c:pt idx="2">
                  <c:v>1967</c:v>
                </c:pt>
                <c:pt idx="3">
                  <c:v>1977</c:v>
                </c:pt>
                <c:pt idx="4">
                  <c:v>1987</c:v>
                </c:pt>
                <c:pt idx="5">
                  <c:v>2012</c:v>
                </c:pt>
              </c:numCache>
            </c:numRef>
          </c:cat>
          <c:val>
            <c:numRef>
              <c:f>'Toyota - production'!$D$11:$I$11</c:f>
              <c:numCache>
                <c:formatCode>General</c:formatCode>
                <c:ptCount val="6"/>
                <c:pt idx="0">
                  <c:v>1</c:v>
                </c:pt>
                <c:pt idx="1">
                  <c:v>11</c:v>
                </c:pt>
                <c:pt idx="2">
                  <c:v>36</c:v>
                </c:pt>
                <c:pt idx="3">
                  <c:v>60</c:v>
                </c:pt>
                <c:pt idx="4">
                  <c:v>63</c:v>
                </c:pt>
                <c:pt idx="5">
                  <c:v>148</c:v>
                </c:pt>
              </c:numCache>
            </c:numRef>
          </c:val>
          <c:smooth val="0"/>
          <c:extLst>
            <c:ext xmlns:c16="http://schemas.microsoft.com/office/drawing/2014/chart" uri="{C3380CC4-5D6E-409C-BE32-E72D297353CC}">
              <c16:uniqueId val="{00000009-196C-4236-AFDE-6B5B0C2F1E3C}"/>
            </c:ext>
          </c:extLst>
        </c:ser>
        <c:dLbls>
          <c:dLblPos val="t"/>
          <c:showLegendKey val="0"/>
          <c:showVal val="1"/>
          <c:showCatName val="0"/>
          <c:showSerName val="0"/>
          <c:showPercent val="0"/>
          <c:showBubbleSize val="0"/>
        </c:dLbls>
        <c:smooth val="0"/>
        <c:axId val="1165552352"/>
        <c:axId val="1165552680"/>
      </c:lineChart>
      <c:catAx>
        <c:axId val="11655523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5552680"/>
        <c:crosses val="autoZero"/>
        <c:auto val="1"/>
        <c:lblAlgn val="ctr"/>
        <c:lblOffset val="100"/>
        <c:noMultiLvlLbl val="0"/>
      </c:catAx>
      <c:valAx>
        <c:axId val="116555268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5552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'Toyota - production'!$A$12:$C$12</c:f>
              <c:strCache>
                <c:ptCount val="3"/>
                <c:pt idx="0">
                  <c:v>Worldwide production (vehicles)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'Toyota - production'!$D$3:$I$3</c:f>
              <c:numCache>
                <c:formatCode>General</c:formatCode>
                <c:ptCount val="6"/>
                <c:pt idx="0">
                  <c:v>1937</c:v>
                </c:pt>
                <c:pt idx="1">
                  <c:v>1957</c:v>
                </c:pt>
                <c:pt idx="2">
                  <c:v>1967</c:v>
                </c:pt>
                <c:pt idx="3">
                  <c:v>1977</c:v>
                </c:pt>
                <c:pt idx="4">
                  <c:v>1987</c:v>
                </c:pt>
                <c:pt idx="5">
                  <c:v>2012</c:v>
                </c:pt>
              </c:numCache>
            </c:numRef>
          </c:cat>
          <c:val>
            <c:numRef>
              <c:f>'Toyota - production'!$D$12:$I$12</c:f>
              <c:numCache>
                <c:formatCode>#,##0</c:formatCode>
                <c:ptCount val="6"/>
                <c:pt idx="0">
                  <c:v>4013</c:v>
                </c:pt>
                <c:pt idx="1">
                  <c:v>79527</c:v>
                </c:pt>
                <c:pt idx="2">
                  <c:v>832130</c:v>
                </c:pt>
                <c:pt idx="3">
                  <c:v>2720758</c:v>
                </c:pt>
                <c:pt idx="4">
                  <c:v>3830539</c:v>
                </c:pt>
                <c:pt idx="5">
                  <c:v>6928813</c:v>
                </c:pt>
              </c:numCache>
            </c:numRef>
          </c:val>
          <c:extLst>
            <c:ext xmlns:c16="http://schemas.microsoft.com/office/drawing/2014/chart" uri="{C3380CC4-5D6E-409C-BE32-E72D297353CC}">
              <c16:uniqueId val="{00000000-A949-427D-A2D4-CF5995227B8B}"/>
            </c:ext>
          </c:extLst>
        </c:ser>
        <c:dLbls>
          <c:showLegendKey val="0"/>
          <c:showVal val="0"/>
          <c:showCatName val="0"/>
          <c:showSerName val="0"/>
          <c:showPercent val="0"/>
          <c:showBubbleSize val="0"/>
        </c:dLbls>
        <c:gapWidth val="100"/>
        <c:overlap val="-24"/>
        <c:axId val="511510384"/>
        <c:axId val="511508416"/>
      </c:barChart>
      <c:catAx>
        <c:axId val="5115103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1508416"/>
        <c:crosses val="autoZero"/>
        <c:auto val="1"/>
        <c:lblAlgn val="ctr"/>
        <c:lblOffset val="100"/>
        <c:noMultiLvlLbl val="0"/>
      </c:catAx>
      <c:valAx>
        <c:axId val="511508416"/>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1510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9263858492533271"/>
          <c:y val="2.67111806271729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'Toyota - production'!$J$31</c:f>
              <c:strCache>
                <c:ptCount val="1"/>
                <c:pt idx="0">
                  <c:v>WorldWideSales</c:v>
                </c:pt>
              </c:strCache>
            </c:strRef>
          </c:tx>
          <c:spPr>
            <a:solidFill>
              <a:schemeClr val="accent1"/>
            </a:solidFill>
            <a:ln>
              <a:noFill/>
            </a:ln>
            <a:effectLst/>
          </c:spPr>
          <c:invertIfNegative val="0"/>
          <c:cat>
            <c:numRef>
              <c:f>'Toyota - production'!$A$32:$A$93</c:f>
              <c:numCache>
                <c:formatCode>General</c:formatCode>
                <c:ptCount val="62"/>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numCache>
            </c:numRef>
          </c:cat>
          <c:val>
            <c:numRef>
              <c:f>'Toyota - production'!$J$32:$J$93</c:f>
              <c:numCache>
                <c:formatCode>#,##0</c:formatCode>
                <c:ptCount val="62"/>
                <c:pt idx="0">
                  <c:v>9228</c:v>
                </c:pt>
                <c:pt idx="1">
                  <c:v>10126</c:v>
                </c:pt>
                <c:pt idx="2">
                  <c:v>14364</c:v>
                </c:pt>
                <c:pt idx="3">
                  <c:v>14883</c:v>
                </c:pt>
                <c:pt idx="4">
                  <c:v>20768</c:v>
                </c:pt>
                <c:pt idx="5">
                  <c:v>22240</c:v>
                </c:pt>
                <c:pt idx="6">
                  <c:v>43551</c:v>
                </c:pt>
                <c:pt idx="7">
                  <c:v>71408</c:v>
                </c:pt>
                <c:pt idx="8">
                  <c:v>75240</c:v>
                </c:pt>
                <c:pt idx="9">
                  <c:v>90144</c:v>
                </c:pt>
                <c:pt idx="10">
                  <c:v>127444</c:v>
                </c:pt>
                <c:pt idx="11">
                  <c:v>176243</c:v>
                </c:pt>
                <c:pt idx="12">
                  <c:v>207551</c:v>
                </c:pt>
                <c:pt idx="13">
                  <c:v>287233</c:v>
                </c:pt>
                <c:pt idx="14">
                  <c:v>369200</c:v>
                </c:pt>
                <c:pt idx="15">
                  <c:v>409850</c:v>
                </c:pt>
                <c:pt idx="16">
                  <c:v>482991</c:v>
                </c:pt>
                <c:pt idx="17">
                  <c:v>654741</c:v>
                </c:pt>
                <c:pt idx="18">
                  <c:v>807212</c:v>
                </c:pt>
                <c:pt idx="19">
                  <c:v>1040944</c:v>
                </c:pt>
                <c:pt idx="20">
                  <c:v>1110448</c:v>
                </c:pt>
                <c:pt idx="21">
                  <c:v>1169450</c:v>
                </c:pt>
                <c:pt idx="22">
                  <c:v>1366627</c:v>
                </c:pt>
                <c:pt idx="23">
                  <c:v>1564701</c:v>
                </c:pt>
                <c:pt idx="24">
                  <c:v>1266412</c:v>
                </c:pt>
                <c:pt idx="25">
                  <c:v>1442519</c:v>
                </c:pt>
                <c:pt idx="26">
                  <c:v>1305857</c:v>
                </c:pt>
                <c:pt idx="27">
                  <c:v>1303299</c:v>
                </c:pt>
                <c:pt idx="28">
                  <c:v>1513024</c:v>
                </c:pt>
                <c:pt idx="29">
                  <c:v>1611267</c:v>
                </c:pt>
                <c:pt idx="30">
                  <c:v>1494470</c:v>
                </c:pt>
                <c:pt idx="31">
                  <c:v>1492804</c:v>
                </c:pt>
                <c:pt idx="32">
                  <c:v>1523786</c:v>
                </c:pt>
                <c:pt idx="33">
                  <c:v>1598638</c:v>
                </c:pt>
                <c:pt idx="34">
                  <c:v>1624009</c:v>
                </c:pt>
                <c:pt idx="35">
                  <c:v>1683494</c:v>
                </c:pt>
                <c:pt idx="36">
                  <c:v>1753984</c:v>
                </c:pt>
                <c:pt idx="37">
                  <c:v>1875711</c:v>
                </c:pt>
                <c:pt idx="38">
                  <c:v>2120273</c:v>
                </c:pt>
                <c:pt idx="39">
                  <c:v>2308863</c:v>
                </c:pt>
                <c:pt idx="40">
                  <c:v>2504291</c:v>
                </c:pt>
                <c:pt idx="41">
                  <c:v>2355356</c:v>
                </c:pt>
                <c:pt idx="42">
                  <c:v>2231117</c:v>
                </c:pt>
                <c:pt idx="43">
                  <c:v>2065687</c:v>
                </c:pt>
                <c:pt idx="44">
                  <c:v>2040570</c:v>
                </c:pt>
                <c:pt idx="45">
                  <c:v>2060125</c:v>
                </c:pt>
                <c:pt idx="46">
                  <c:v>2137897.7999999998</c:v>
                </c:pt>
                <c:pt idx="47">
                  <c:v>2008786.6</c:v>
                </c:pt>
                <c:pt idx="48">
                  <c:v>1713967</c:v>
                </c:pt>
                <c:pt idx="49">
                  <c:v>1667458.1</c:v>
                </c:pt>
                <c:pt idx="50">
                  <c:v>1775043.6</c:v>
                </c:pt>
                <c:pt idx="51">
                  <c:v>1718698.7</c:v>
                </c:pt>
                <c:pt idx="52">
                  <c:v>1684317.3</c:v>
                </c:pt>
                <c:pt idx="53">
                  <c:v>1720262.5</c:v>
                </c:pt>
                <c:pt idx="54">
                  <c:v>1764572.8</c:v>
                </c:pt>
                <c:pt idx="55">
                  <c:v>1719759.1</c:v>
                </c:pt>
                <c:pt idx="56">
                  <c:v>1698482.3</c:v>
                </c:pt>
                <c:pt idx="57">
                  <c:v>1594176.9</c:v>
                </c:pt>
                <c:pt idx="58">
                  <c:v>1476569.1</c:v>
                </c:pt>
                <c:pt idx="59">
                  <c:v>1381113</c:v>
                </c:pt>
                <c:pt idx="60">
                  <c:v>1572118.6</c:v>
                </c:pt>
                <c:pt idx="61">
                  <c:v>1206871.8999999999</c:v>
                </c:pt>
              </c:numCache>
            </c:numRef>
          </c:val>
          <c:extLst>
            <c:ext xmlns:c16="http://schemas.microsoft.com/office/drawing/2014/chart" uri="{C3380CC4-5D6E-409C-BE32-E72D297353CC}">
              <c16:uniqueId val="{00000000-30CA-46AF-9EF5-CB3486849566}"/>
            </c:ext>
          </c:extLst>
        </c:ser>
        <c:dLbls>
          <c:showLegendKey val="0"/>
          <c:showVal val="0"/>
          <c:showCatName val="0"/>
          <c:showSerName val="0"/>
          <c:showPercent val="0"/>
          <c:showBubbleSize val="0"/>
        </c:dLbls>
        <c:gapWidth val="219"/>
        <c:overlap val="-27"/>
        <c:axId val="1176203248"/>
        <c:axId val="1176203576"/>
      </c:barChart>
      <c:catAx>
        <c:axId val="117620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203576"/>
        <c:crosses val="autoZero"/>
        <c:auto val="1"/>
        <c:lblAlgn val="ctr"/>
        <c:lblOffset val="100"/>
        <c:noMultiLvlLbl val="0"/>
      </c:catAx>
      <c:valAx>
        <c:axId val="11762035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20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ltLang="zh-TW"/>
              <a:t>Demand</a:t>
            </a:r>
            <a:r>
              <a:rPr lang="en-US" altLang="zh-TW" baseline="0"/>
              <a:t> Curve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Valuation!$A$38</c:f>
              <c:strCache>
                <c:ptCount val="1"/>
                <c:pt idx="0">
                  <c:v>Avg. Price (USD)</c:v>
                </c:pt>
              </c:strCache>
            </c:strRef>
          </c:tx>
          <c:spPr>
            <a:ln w="22225" cap="rnd">
              <a:solidFill>
                <a:schemeClr val="accent1"/>
              </a:solidFill>
            </a:ln>
            <a:effectLst>
              <a:glow rad="139700">
                <a:schemeClr val="accent1">
                  <a:satMod val="175000"/>
                  <a:alpha val="14000"/>
                </a:schemeClr>
              </a:glow>
            </a:effectLst>
          </c:spPr>
          <c:marker>
            <c:symbol val="none"/>
          </c:marker>
          <c:cat>
            <c:numRef>
              <c:f>Valuation!$C$74:$I$74</c:f>
              <c:numCache>
                <c:formatCode>#,##0_ </c:formatCode>
                <c:ptCount val="7"/>
                <c:pt idx="0">
                  <c:v>75890</c:v>
                </c:pt>
                <c:pt idx="1">
                  <c:v>103020</c:v>
                </c:pt>
                <c:pt idx="2">
                  <c:v>244920</c:v>
                </c:pt>
                <c:pt idx="3">
                  <c:v>367200</c:v>
                </c:pt>
                <c:pt idx="4">
                  <c:v>499550</c:v>
                </c:pt>
                <c:pt idx="5">
                  <c:v>936172</c:v>
                </c:pt>
                <c:pt idx="6">
                  <c:v>1313851</c:v>
                </c:pt>
              </c:numCache>
            </c:numRef>
          </c:cat>
          <c:val>
            <c:numRef>
              <c:f>Valuation!$C$38:$I$38</c:f>
              <c:numCache>
                <c:formatCode>#,##0.00</c:formatCode>
                <c:ptCount val="7"/>
                <c:pt idx="0">
                  <c:v>92240.479641586513</c:v>
                </c:pt>
                <c:pt idx="1">
                  <c:v>114142.88487672298</c:v>
                </c:pt>
                <c:pt idx="2">
                  <c:v>87624.530458925365</c:v>
                </c:pt>
                <c:pt idx="3">
                  <c:v>66933.55119825709</c:v>
                </c:pt>
                <c:pt idx="4">
                  <c:v>63128.815934340899</c:v>
                </c:pt>
                <c:pt idx="5">
                  <c:v>57492.640241323177</c:v>
                </c:pt>
                <c:pt idx="6">
                  <c:v>62002.464510815917</c:v>
                </c:pt>
              </c:numCache>
            </c:numRef>
          </c:val>
          <c:smooth val="0"/>
          <c:extLst>
            <c:ext xmlns:c16="http://schemas.microsoft.com/office/drawing/2014/chart" uri="{C3380CC4-5D6E-409C-BE32-E72D297353CC}">
              <c16:uniqueId val="{00000000-82AA-40F0-BBC9-0BFAA9BAA8BC}"/>
            </c:ext>
          </c:extLst>
        </c:ser>
        <c:ser>
          <c:idx val="1"/>
          <c:order val="1"/>
          <c:tx>
            <c:strRef>
              <c:f>Valuation!$A$26</c:f>
              <c:strCache>
                <c:ptCount val="1"/>
                <c:pt idx="0">
                  <c:v>Marginal Cost(USD)</c:v>
                </c:pt>
              </c:strCache>
            </c:strRef>
          </c:tx>
          <c:spPr>
            <a:ln w="22225" cap="rnd">
              <a:solidFill>
                <a:schemeClr val="accent2"/>
              </a:solidFill>
            </a:ln>
            <a:effectLst>
              <a:glow rad="139700">
                <a:schemeClr val="accent2">
                  <a:satMod val="175000"/>
                  <a:alpha val="14000"/>
                </a:schemeClr>
              </a:glow>
            </a:effectLst>
          </c:spPr>
          <c:marker>
            <c:symbol val="none"/>
          </c:marker>
          <c:cat>
            <c:numRef>
              <c:f>Valuation!$C$74:$I$74</c:f>
              <c:numCache>
                <c:formatCode>#,##0_ </c:formatCode>
                <c:ptCount val="7"/>
                <c:pt idx="0">
                  <c:v>75890</c:v>
                </c:pt>
                <c:pt idx="1">
                  <c:v>103020</c:v>
                </c:pt>
                <c:pt idx="2">
                  <c:v>244920</c:v>
                </c:pt>
                <c:pt idx="3">
                  <c:v>367200</c:v>
                </c:pt>
                <c:pt idx="4">
                  <c:v>499550</c:v>
                </c:pt>
                <c:pt idx="5">
                  <c:v>936172</c:v>
                </c:pt>
                <c:pt idx="6">
                  <c:v>1313851</c:v>
                </c:pt>
              </c:numCache>
            </c:numRef>
          </c:cat>
          <c:val>
            <c:numRef>
              <c:f>Valuation!$C$26:$I$26</c:f>
              <c:numCache>
                <c:formatCode>#,##0.00</c:formatCode>
                <c:ptCount val="7"/>
                <c:pt idx="0">
                  <c:v>98552.266965391216</c:v>
                </c:pt>
                <c:pt idx="1">
                  <c:v>250276.52733118966</c:v>
                </c:pt>
                <c:pt idx="2">
                  <c:v>56793.091991687455</c:v>
                </c:pt>
                <c:pt idx="3">
                  <c:v>23032.215540747962</c:v>
                </c:pt>
                <c:pt idx="4">
                  <c:v>35305.601129779236</c:v>
                </c:pt>
                <c:pt idx="5">
                  <c:v>22294.590964736086</c:v>
                </c:pt>
                <c:pt idx="6">
                  <c:v>50417.92941080036</c:v>
                </c:pt>
              </c:numCache>
            </c:numRef>
          </c:val>
          <c:smooth val="0"/>
          <c:extLst>
            <c:ext xmlns:c16="http://schemas.microsoft.com/office/drawing/2014/chart" uri="{C3380CC4-5D6E-409C-BE32-E72D297353CC}">
              <c16:uniqueId val="{00000000-2CC4-4A37-B76E-DE19CE89F560}"/>
            </c:ext>
          </c:extLst>
        </c:ser>
        <c:ser>
          <c:idx val="2"/>
          <c:order val="2"/>
          <c:tx>
            <c:strRef>
              <c:f>Valuation!$A$29</c:f>
              <c:strCache>
                <c:ptCount val="1"/>
                <c:pt idx="0">
                  <c:v>Marginal Revenue(USD)</c:v>
                </c:pt>
              </c:strCache>
            </c:strRef>
          </c:tx>
          <c:spPr>
            <a:ln w="22225" cap="rnd">
              <a:solidFill>
                <a:schemeClr val="accent3"/>
              </a:solidFill>
            </a:ln>
            <a:effectLst>
              <a:glow rad="139700">
                <a:schemeClr val="accent3">
                  <a:satMod val="175000"/>
                  <a:alpha val="14000"/>
                </a:schemeClr>
              </a:glow>
            </a:effectLst>
          </c:spPr>
          <c:marker>
            <c:symbol val="none"/>
          </c:marker>
          <c:cat>
            <c:numRef>
              <c:f>Valuation!$C$74:$I$74</c:f>
              <c:numCache>
                <c:formatCode>#,##0_ </c:formatCode>
                <c:ptCount val="7"/>
                <c:pt idx="0">
                  <c:v>75890</c:v>
                </c:pt>
                <c:pt idx="1">
                  <c:v>103020</c:v>
                </c:pt>
                <c:pt idx="2">
                  <c:v>244920</c:v>
                </c:pt>
                <c:pt idx="3">
                  <c:v>367200</c:v>
                </c:pt>
                <c:pt idx="4">
                  <c:v>499550</c:v>
                </c:pt>
                <c:pt idx="5">
                  <c:v>936172</c:v>
                </c:pt>
                <c:pt idx="6">
                  <c:v>1313851</c:v>
                </c:pt>
              </c:numCache>
            </c:numRef>
          </c:cat>
          <c:val>
            <c:numRef>
              <c:f>Valuation!$C$29:$I$29</c:f>
              <c:numCache>
                <c:formatCode>#,##0.00</c:formatCode>
                <c:ptCount val="7"/>
                <c:pt idx="0">
                  <c:v>114101.96987253765</c:v>
                </c:pt>
                <c:pt idx="1">
                  <c:v>175409.8783634353</c:v>
                </c:pt>
                <c:pt idx="2">
                  <c:v>68372.093023255802</c:v>
                </c:pt>
                <c:pt idx="3">
                  <c:v>25490.677134445534</c:v>
                </c:pt>
                <c:pt idx="4">
                  <c:v>52572.723838307516</c:v>
                </c:pt>
                <c:pt idx="5">
                  <c:v>51044.152607976692</c:v>
                </c:pt>
                <c:pt idx="6">
                  <c:v>73181.193553255551</c:v>
                </c:pt>
              </c:numCache>
            </c:numRef>
          </c:val>
          <c:smooth val="0"/>
          <c:extLst>
            <c:ext xmlns:c16="http://schemas.microsoft.com/office/drawing/2014/chart" uri="{C3380CC4-5D6E-409C-BE32-E72D297353CC}">
              <c16:uniqueId val="{00000000-7887-4F47-B09D-80590DAE58BA}"/>
            </c:ext>
          </c:extLst>
        </c:ser>
        <c:dLbls>
          <c:showLegendKey val="0"/>
          <c:showVal val="0"/>
          <c:showCatName val="0"/>
          <c:showSerName val="0"/>
          <c:showPercent val="0"/>
          <c:showBubbleSize val="0"/>
        </c:dLbls>
        <c:smooth val="0"/>
        <c:axId val="631720240"/>
        <c:axId val="631718600"/>
      </c:lineChart>
      <c:catAx>
        <c:axId val="6317202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ltLang="zh-TW"/>
                  <a:t>Qty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31718600"/>
        <c:crosses val="autoZero"/>
        <c:auto val="1"/>
        <c:lblAlgn val="ctr"/>
        <c:lblOffset val="100"/>
        <c:noMultiLvlLbl val="0"/>
      </c:catAx>
      <c:valAx>
        <c:axId val="6317186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ltLang="zh-TW"/>
                  <a:t>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3172024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Valuation!$A$18</c:f>
              <c:strCache>
                <c:ptCount val="1"/>
                <c:pt idx="0">
                  <c:v>Production Variable Cost(M)</c:v>
                </c:pt>
              </c:strCache>
            </c:strRef>
          </c:tx>
          <c:spPr>
            <a:ln w="22225" cap="rnd">
              <a:solidFill>
                <a:schemeClr val="accent1"/>
              </a:solidFill>
            </a:ln>
            <a:effectLst>
              <a:glow rad="139700">
                <a:schemeClr val="accent1">
                  <a:satMod val="175000"/>
                  <a:alpha val="14000"/>
                </a:schemeClr>
              </a:glow>
            </a:effectLst>
          </c:spPr>
          <c:marker>
            <c:symbol val="none"/>
          </c:marker>
          <c:cat>
            <c:numRef>
              <c:f>Valuation!$C$73:$I$73</c:f>
              <c:numCache>
                <c:formatCode>#,##0_ </c:formatCode>
                <c:ptCount val="7"/>
                <c:pt idx="0">
                  <c:v>83922</c:v>
                </c:pt>
                <c:pt idx="1">
                  <c:v>101027</c:v>
                </c:pt>
                <c:pt idx="2">
                  <c:v>254530</c:v>
                </c:pt>
                <c:pt idx="3">
                  <c:v>365284</c:v>
                </c:pt>
                <c:pt idx="4">
                  <c:v>509737</c:v>
                </c:pt>
                <c:pt idx="5">
                  <c:v>930422</c:v>
                </c:pt>
                <c:pt idx="6">
                  <c:v>1369611</c:v>
                </c:pt>
              </c:numCache>
            </c:numRef>
          </c:cat>
          <c:val>
            <c:numRef>
              <c:f>Valuation!$C$18:$I$18</c:f>
              <c:numCache>
                <c:formatCode>#,##0.00</c:formatCode>
                <c:ptCount val="7"/>
                <c:pt idx="0">
                  <c:v>5941.1</c:v>
                </c:pt>
                <c:pt idx="1">
                  <c:v>9533.18</c:v>
                </c:pt>
                <c:pt idx="2">
                  <c:v>17986.09</c:v>
                </c:pt>
                <c:pt idx="3">
                  <c:v>20284</c:v>
                </c:pt>
                <c:pt idx="4">
                  <c:v>25216</c:v>
                </c:pt>
                <c:pt idx="5">
                  <c:v>39828</c:v>
                </c:pt>
                <c:pt idx="6">
                  <c:v>62807</c:v>
                </c:pt>
              </c:numCache>
            </c:numRef>
          </c:val>
          <c:smooth val="0"/>
          <c:extLst>
            <c:ext xmlns:c16="http://schemas.microsoft.com/office/drawing/2014/chart" uri="{C3380CC4-5D6E-409C-BE32-E72D297353CC}">
              <c16:uniqueId val="{00000001-488A-4019-876D-CEF6F041EAA8}"/>
            </c:ext>
          </c:extLst>
        </c:ser>
        <c:ser>
          <c:idx val="1"/>
          <c:order val="1"/>
          <c:tx>
            <c:strRef>
              <c:f>Valuation!$A$21</c:f>
              <c:strCache>
                <c:ptCount val="1"/>
                <c:pt idx="0">
                  <c:v>Production Fixed Cost(M)</c:v>
                </c:pt>
              </c:strCache>
            </c:strRef>
          </c:tx>
          <c:spPr>
            <a:ln w="22225" cap="rnd">
              <a:solidFill>
                <a:schemeClr val="accent2"/>
              </a:solidFill>
            </a:ln>
            <a:effectLst>
              <a:glow rad="139700">
                <a:schemeClr val="accent2">
                  <a:satMod val="175000"/>
                  <a:alpha val="14000"/>
                </a:schemeClr>
              </a:glow>
            </a:effectLst>
          </c:spPr>
          <c:marker>
            <c:symbol val="none"/>
          </c:marker>
          <c:cat>
            <c:numRef>
              <c:f>Valuation!$C$73:$I$73</c:f>
              <c:numCache>
                <c:formatCode>#,##0_ </c:formatCode>
                <c:ptCount val="7"/>
                <c:pt idx="0">
                  <c:v>83922</c:v>
                </c:pt>
                <c:pt idx="1">
                  <c:v>101027</c:v>
                </c:pt>
                <c:pt idx="2">
                  <c:v>254530</c:v>
                </c:pt>
                <c:pt idx="3">
                  <c:v>365284</c:v>
                </c:pt>
                <c:pt idx="4">
                  <c:v>509737</c:v>
                </c:pt>
                <c:pt idx="5">
                  <c:v>930422</c:v>
                </c:pt>
                <c:pt idx="6">
                  <c:v>1369611</c:v>
                </c:pt>
              </c:numCache>
            </c:numRef>
          </c:cat>
          <c:val>
            <c:numRef>
              <c:f>Valuation!$C$21:$I$21</c:f>
              <c:numCache>
                <c:formatCode>#,##0.00</c:formatCode>
                <c:ptCount val="7"/>
                <c:pt idx="0">
                  <c:v>947.1</c:v>
                </c:pt>
                <c:pt idx="1">
                  <c:v>1636</c:v>
                </c:pt>
                <c:pt idx="2">
                  <c:v>1901</c:v>
                </c:pt>
                <c:pt idx="3">
                  <c:v>2154</c:v>
                </c:pt>
                <c:pt idx="4">
                  <c:v>2322</c:v>
                </c:pt>
                <c:pt idx="5">
                  <c:v>-2911</c:v>
                </c:pt>
                <c:pt idx="6">
                  <c:v>-3747</c:v>
                </c:pt>
              </c:numCache>
            </c:numRef>
          </c:val>
          <c:smooth val="0"/>
          <c:extLst>
            <c:ext xmlns:c16="http://schemas.microsoft.com/office/drawing/2014/chart" uri="{C3380CC4-5D6E-409C-BE32-E72D297353CC}">
              <c16:uniqueId val="{00000005-488A-4019-876D-CEF6F041EAA8}"/>
            </c:ext>
          </c:extLst>
        </c:ser>
        <c:ser>
          <c:idx val="2"/>
          <c:order val="2"/>
          <c:tx>
            <c:strRef>
              <c:f>Valuation!$A$24</c:f>
              <c:strCache>
                <c:ptCount val="1"/>
                <c:pt idx="0">
                  <c:v>Production Total Cost(M)</c:v>
                </c:pt>
              </c:strCache>
            </c:strRef>
          </c:tx>
          <c:spPr>
            <a:ln w="22225" cap="rnd">
              <a:solidFill>
                <a:schemeClr val="accent3"/>
              </a:solidFill>
            </a:ln>
            <a:effectLst>
              <a:glow rad="139700">
                <a:schemeClr val="accent3">
                  <a:satMod val="175000"/>
                  <a:alpha val="14000"/>
                </a:schemeClr>
              </a:glow>
            </a:effectLst>
          </c:spPr>
          <c:marker>
            <c:symbol val="none"/>
          </c:marker>
          <c:cat>
            <c:numRef>
              <c:f>Valuation!$C$73:$I$73</c:f>
              <c:numCache>
                <c:formatCode>#,##0_ </c:formatCode>
                <c:ptCount val="7"/>
                <c:pt idx="0">
                  <c:v>83922</c:v>
                </c:pt>
                <c:pt idx="1">
                  <c:v>101027</c:v>
                </c:pt>
                <c:pt idx="2">
                  <c:v>254530</c:v>
                </c:pt>
                <c:pt idx="3">
                  <c:v>365284</c:v>
                </c:pt>
                <c:pt idx="4">
                  <c:v>509737</c:v>
                </c:pt>
                <c:pt idx="5">
                  <c:v>930422</c:v>
                </c:pt>
                <c:pt idx="6">
                  <c:v>1369611</c:v>
                </c:pt>
              </c:numCache>
            </c:numRef>
          </c:cat>
          <c:val>
            <c:numRef>
              <c:f>Valuation!$C$24:$I$24</c:f>
              <c:numCache>
                <c:formatCode>#,##0.00</c:formatCode>
                <c:ptCount val="7"/>
                <c:pt idx="0">
                  <c:v>6888.2000000000007</c:v>
                </c:pt>
                <c:pt idx="1">
                  <c:v>11169.18</c:v>
                </c:pt>
                <c:pt idx="2">
                  <c:v>19887.09</c:v>
                </c:pt>
                <c:pt idx="3">
                  <c:v>22438</c:v>
                </c:pt>
                <c:pt idx="4">
                  <c:v>27538</c:v>
                </c:pt>
                <c:pt idx="5">
                  <c:v>36917</c:v>
                </c:pt>
                <c:pt idx="6">
                  <c:v>59060</c:v>
                </c:pt>
              </c:numCache>
            </c:numRef>
          </c:val>
          <c:smooth val="0"/>
          <c:extLst>
            <c:ext xmlns:c16="http://schemas.microsoft.com/office/drawing/2014/chart" uri="{C3380CC4-5D6E-409C-BE32-E72D297353CC}">
              <c16:uniqueId val="{00000006-488A-4019-876D-CEF6F041EAA8}"/>
            </c:ext>
          </c:extLst>
        </c:ser>
        <c:dLbls>
          <c:showLegendKey val="0"/>
          <c:showVal val="0"/>
          <c:showCatName val="0"/>
          <c:showSerName val="0"/>
          <c:showPercent val="0"/>
          <c:showBubbleSize val="0"/>
        </c:dLbls>
        <c:smooth val="0"/>
        <c:axId val="1016465752"/>
        <c:axId val="1016466080"/>
      </c:lineChart>
      <c:catAx>
        <c:axId val="10164657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ltLang="zh-TW"/>
                  <a:t>QTY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6466080"/>
        <c:crosses val="autoZero"/>
        <c:auto val="1"/>
        <c:lblAlgn val="ctr"/>
        <c:lblOffset val="100"/>
        <c:noMultiLvlLbl val="0"/>
      </c:catAx>
      <c:valAx>
        <c:axId val="10164660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ltLang="zh-TW"/>
                  <a:t>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6465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Valuation!$A$19</c:f>
              <c:strCache>
                <c:ptCount val="1"/>
                <c:pt idx="0">
                  <c:v>AVC (USD)</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Valuation!$C$73:$I$73</c:f>
              <c:numCache>
                <c:formatCode>#,##0_ </c:formatCode>
                <c:ptCount val="7"/>
                <c:pt idx="0">
                  <c:v>83922</c:v>
                </c:pt>
                <c:pt idx="1">
                  <c:v>101027</c:v>
                </c:pt>
                <c:pt idx="2">
                  <c:v>254530</c:v>
                </c:pt>
                <c:pt idx="3">
                  <c:v>365284</c:v>
                </c:pt>
                <c:pt idx="4">
                  <c:v>509737</c:v>
                </c:pt>
                <c:pt idx="5">
                  <c:v>930422</c:v>
                </c:pt>
                <c:pt idx="6">
                  <c:v>1369611</c:v>
                </c:pt>
              </c:numCache>
            </c:numRef>
          </c:cat>
          <c:val>
            <c:numRef>
              <c:f>Valuation!$C$19:$I$19</c:f>
              <c:numCache>
                <c:formatCode>General</c:formatCode>
                <c:ptCount val="7"/>
                <c:pt idx="0">
                  <c:v>70793.117418555339</c:v>
                </c:pt>
                <c:pt idx="1">
                  <c:v>94362.695121106241</c:v>
                </c:pt>
                <c:pt idx="2">
                  <c:v>70663.929595725451</c:v>
                </c:pt>
                <c:pt idx="3">
                  <c:v>55529.396305340502</c:v>
                </c:pt>
                <c:pt idx="4">
                  <c:v>49468.647557465913</c:v>
                </c:pt>
                <c:pt idx="5">
                  <c:v>42806.382480207903</c:v>
                </c:pt>
                <c:pt idx="6">
                  <c:v>45857.546412813565</c:v>
                </c:pt>
              </c:numCache>
            </c:numRef>
          </c:val>
          <c:smooth val="0"/>
          <c:extLst>
            <c:ext xmlns:c16="http://schemas.microsoft.com/office/drawing/2014/chart" uri="{C3380CC4-5D6E-409C-BE32-E72D297353CC}">
              <c16:uniqueId val="{00000000-B23B-467A-8CEC-0DC31FAC6037}"/>
            </c:ext>
          </c:extLst>
        </c:ser>
        <c:ser>
          <c:idx val="1"/>
          <c:order val="1"/>
          <c:tx>
            <c:strRef>
              <c:f>Valuation!$A$25</c:f>
              <c:strCache>
                <c:ptCount val="1"/>
                <c:pt idx="0">
                  <c:v>ATC (USD)</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Valuation!$C$73:$I$73</c:f>
              <c:numCache>
                <c:formatCode>#,##0_ </c:formatCode>
                <c:ptCount val="7"/>
                <c:pt idx="0">
                  <c:v>83922</c:v>
                </c:pt>
                <c:pt idx="1">
                  <c:v>101027</c:v>
                </c:pt>
                <c:pt idx="2">
                  <c:v>254530</c:v>
                </c:pt>
                <c:pt idx="3">
                  <c:v>365284</c:v>
                </c:pt>
                <c:pt idx="4">
                  <c:v>509737</c:v>
                </c:pt>
                <c:pt idx="5">
                  <c:v>930422</c:v>
                </c:pt>
                <c:pt idx="6">
                  <c:v>1369611</c:v>
                </c:pt>
              </c:numCache>
            </c:numRef>
          </c:cat>
          <c:val>
            <c:numRef>
              <c:f>Valuation!$C$25:$I$25</c:f>
              <c:numCache>
                <c:formatCode>#,##0.00</c:formatCode>
                <c:ptCount val="7"/>
                <c:pt idx="0">
                  <c:v>82078.596792259486</c:v>
                </c:pt>
                <c:pt idx="1">
                  <c:v>110556.38591663615</c:v>
                </c:pt>
                <c:pt idx="2">
                  <c:v>78132.597336266845</c:v>
                </c:pt>
                <c:pt idx="3">
                  <c:v>61426.177987538467</c:v>
                </c:pt>
                <c:pt idx="4">
                  <c:v>54023.937834608827</c:v>
                </c:pt>
                <c:pt idx="5">
                  <c:v>39677.694637487075</c:v>
                </c:pt>
                <c:pt idx="6">
                  <c:v>43121.733105239371</c:v>
                </c:pt>
              </c:numCache>
            </c:numRef>
          </c:val>
          <c:smooth val="0"/>
          <c:extLst>
            <c:ext xmlns:c16="http://schemas.microsoft.com/office/drawing/2014/chart" uri="{C3380CC4-5D6E-409C-BE32-E72D297353CC}">
              <c16:uniqueId val="{00000004-B23B-467A-8CEC-0DC31FAC6037}"/>
            </c:ext>
          </c:extLst>
        </c:ser>
        <c:ser>
          <c:idx val="2"/>
          <c:order val="2"/>
          <c:tx>
            <c:strRef>
              <c:f>Valuation!$A$26</c:f>
              <c:strCache>
                <c:ptCount val="1"/>
                <c:pt idx="0">
                  <c:v>Marginal Cost(USD)</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f>Valuation!$C$73:$I$73</c:f>
              <c:numCache>
                <c:formatCode>#,##0_ </c:formatCode>
                <c:ptCount val="7"/>
                <c:pt idx="0">
                  <c:v>83922</c:v>
                </c:pt>
                <c:pt idx="1">
                  <c:v>101027</c:v>
                </c:pt>
                <c:pt idx="2">
                  <c:v>254530</c:v>
                </c:pt>
                <c:pt idx="3">
                  <c:v>365284</c:v>
                </c:pt>
                <c:pt idx="4">
                  <c:v>509737</c:v>
                </c:pt>
                <c:pt idx="5">
                  <c:v>930422</c:v>
                </c:pt>
                <c:pt idx="6">
                  <c:v>1369611</c:v>
                </c:pt>
              </c:numCache>
            </c:numRef>
          </c:cat>
          <c:val>
            <c:numRef>
              <c:f>Valuation!$C$26:$I$26</c:f>
              <c:numCache>
                <c:formatCode>#,##0.00</c:formatCode>
                <c:ptCount val="7"/>
                <c:pt idx="0">
                  <c:v>98552.266965391216</c:v>
                </c:pt>
                <c:pt idx="1">
                  <c:v>250276.52733118966</c:v>
                </c:pt>
                <c:pt idx="2">
                  <c:v>56793.091991687455</c:v>
                </c:pt>
                <c:pt idx="3">
                  <c:v>23032.215540747962</c:v>
                </c:pt>
                <c:pt idx="4">
                  <c:v>35305.601129779236</c:v>
                </c:pt>
                <c:pt idx="5">
                  <c:v>22294.590964736086</c:v>
                </c:pt>
                <c:pt idx="6">
                  <c:v>50417.92941080036</c:v>
                </c:pt>
              </c:numCache>
            </c:numRef>
          </c:val>
          <c:smooth val="0"/>
          <c:extLst>
            <c:ext xmlns:c16="http://schemas.microsoft.com/office/drawing/2014/chart" uri="{C3380CC4-5D6E-409C-BE32-E72D297353CC}">
              <c16:uniqueId val="{00000005-B23B-467A-8CEC-0DC31FAC6037}"/>
            </c:ext>
          </c:extLst>
        </c:ser>
        <c:ser>
          <c:idx val="3"/>
          <c:order val="3"/>
          <c:tx>
            <c:strRef>
              <c:f>Valuation!$A$38</c:f>
              <c:strCache>
                <c:ptCount val="1"/>
                <c:pt idx="0">
                  <c:v>Avg. Price (USD)</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f>Valuation!$C$73:$I$73</c:f>
              <c:numCache>
                <c:formatCode>#,##0_ </c:formatCode>
                <c:ptCount val="7"/>
                <c:pt idx="0">
                  <c:v>83922</c:v>
                </c:pt>
                <c:pt idx="1">
                  <c:v>101027</c:v>
                </c:pt>
                <c:pt idx="2">
                  <c:v>254530</c:v>
                </c:pt>
                <c:pt idx="3">
                  <c:v>365284</c:v>
                </c:pt>
                <c:pt idx="4">
                  <c:v>509737</c:v>
                </c:pt>
                <c:pt idx="5">
                  <c:v>930422</c:v>
                </c:pt>
                <c:pt idx="6">
                  <c:v>1369611</c:v>
                </c:pt>
              </c:numCache>
            </c:numRef>
          </c:cat>
          <c:val>
            <c:numRef>
              <c:f>Valuation!$C$38:$I$38</c:f>
              <c:numCache>
                <c:formatCode>#,##0.00</c:formatCode>
                <c:ptCount val="7"/>
                <c:pt idx="0">
                  <c:v>92240.479641586513</c:v>
                </c:pt>
                <c:pt idx="1">
                  <c:v>114142.88487672298</c:v>
                </c:pt>
                <c:pt idx="2">
                  <c:v>87624.530458925365</c:v>
                </c:pt>
                <c:pt idx="3">
                  <c:v>66933.55119825709</c:v>
                </c:pt>
                <c:pt idx="4">
                  <c:v>63128.815934340899</c:v>
                </c:pt>
                <c:pt idx="5">
                  <c:v>57492.640241323177</c:v>
                </c:pt>
                <c:pt idx="6">
                  <c:v>62002.464510815917</c:v>
                </c:pt>
              </c:numCache>
            </c:numRef>
          </c:val>
          <c:smooth val="0"/>
          <c:extLst>
            <c:ext xmlns:c16="http://schemas.microsoft.com/office/drawing/2014/chart" uri="{C3380CC4-5D6E-409C-BE32-E72D297353CC}">
              <c16:uniqueId val="{00000006-B23B-467A-8CEC-0DC31FAC6037}"/>
            </c:ext>
          </c:extLst>
        </c:ser>
        <c:ser>
          <c:idx val="4"/>
          <c:order val="4"/>
          <c:tx>
            <c:strRef>
              <c:f>Valuation!$A$22</c:f>
              <c:strCache>
                <c:ptCount val="1"/>
                <c:pt idx="0">
                  <c:v>AFC (USD)</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numRef>
              <c:f>Valuation!$C$73:$I$73</c:f>
              <c:numCache>
                <c:formatCode>#,##0_ </c:formatCode>
                <c:ptCount val="7"/>
                <c:pt idx="0">
                  <c:v>83922</c:v>
                </c:pt>
                <c:pt idx="1">
                  <c:v>101027</c:v>
                </c:pt>
                <c:pt idx="2">
                  <c:v>254530</c:v>
                </c:pt>
                <c:pt idx="3">
                  <c:v>365284</c:v>
                </c:pt>
                <c:pt idx="4">
                  <c:v>509737</c:v>
                </c:pt>
                <c:pt idx="5">
                  <c:v>930422</c:v>
                </c:pt>
                <c:pt idx="6">
                  <c:v>1369611</c:v>
                </c:pt>
              </c:numCache>
            </c:numRef>
          </c:cat>
          <c:val>
            <c:numRef>
              <c:f>Valuation!$C$22:$I$22</c:f>
              <c:numCache>
                <c:formatCode>General</c:formatCode>
                <c:ptCount val="7"/>
                <c:pt idx="0">
                  <c:v>11285.479373704155</c:v>
                </c:pt>
                <c:pt idx="1">
                  <c:v>16193.69079552991</c:v>
                </c:pt>
                <c:pt idx="2">
                  <c:v>7468.6677405413902</c:v>
                </c:pt>
                <c:pt idx="3">
                  <c:v>5896.7816821979604</c:v>
                </c:pt>
                <c:pt idx="4">
                  <c:v>4555.290277142919</c:v>
                </c:pt>
                <c:pt idx="5">
                  <c:v>-3128.6878427208298</c:v>
                </c:pt>
                <c:pt idx="6">
                  <c:v>-2735.8133075741944</c:v>
                </c:pt>
              </c:numCache>
            </c:numRef>
          </c:val>
          <c:smooth val="0"/>
          <c:extLst>
            <c:ext xmlns:c16="http://schemas.microsoft.com/office/drawing/2014/chart" uri="{C3380CC4-5D6E-409C-BE32-E72D297353CC}">
              <c16:uniqueId val="{00000000-C704-4CA2-81DE-DCD6CDCB3521}"/>
            </c:ext>
          </c:extLst>
        </c:ser>
        <c:dLbls>
          <c:showLegendKey val="0"/>
          <c:showVal val="0"/>
          <c:showCatName val="0"/>
          <c:showSerName val="0"/>
          <c:showPercent val="0"/>
          <c:showBubbleSize val="0"/>
        </c:dLbls>
        <c:smooth val="0"/>
        <c:axId val="1182285368"/>
        <c:axId val="1182284056"/>
      </c:lineChart>
      <c:catAx>
        <c:axId val="1182285368"/>
        <c:scaling>
          <c:orientation val="minMax"/>
        </c:scaling>
        <c:delete val="0"/>
        <c:axPos val="b"/>
        <c:numFmt formatCode="#,##0_ "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2284056"/>
        <c:crosses val="autoZero"/>
        <c:auto val="1"/>
        <c:lblAlgn val="ctr"/>
        <c:lblOffset val="100"/>
        <c:noMultiLvlLbl val="0"/>
      </c:catAx>
      <c:valAx>
        <c:axId val="11822840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228536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Valuation!$A$18</c:f>
              <c:strCache>
                <c:ptCount val="1"/>
                <c:pt idx="0">
                  <c:v>Production Variable Cost(M)</c:v>
                </c:pt>
              </c:strCache>
            </c:strRef>
          </c:tx>
          <c:spPr>
            <a:ln w="22225" cap="rnd">
              <a:solidFill>
                <a:schemeClr val="accent1"/>
              </a:solidFill>
            </a:ln>
            <a:effectLst>
              <a:glow rad="139700">
                <a:schemeClr val="accent1">
                  <a:satMod val="175000"/>
                  <a:alpha val="14000"/>
                </a:schemeClr>
              </a:glow>
            </a:effectLst>
          </c:spPr>
          <c:marker>
            <c:symbol val="none"/>
          </c:marker>
          <c:cat>
            <c:numRef>
              <c:f>Valuation!$L$73:$R$73</c:f>
              <c:numCache>
                <c:formatCode>#,##0_ </c:formatCode>
                <c:ptCount val="7"/>
                <c:pt idx="0">
                  <c:v>258580</c:v>
                </c:pt>
                <c:pt idx="1">
                  <c:v>365923</c:v>
                </c:pt>
                <c:pt idx="2">
                  <c:v>439701</c:v>
                </c:pt>
                <c:pt idx="3">
                  <c:v>440808</c:v>
                </c:pt>
                <c:pt idx="5">
                  <c:v>258580</c:v>
                </c:pt>
                <c:pt idx="6">
                  <c:v>479700</c:v>
                </c:pt>
              </c:numCache>
            </c:numRef>
          </c:cat>
          <c:val>
            <c:numRef>
              <c:f>Valuation!$L$18:$R$18</c:f>
              <c:numCache>
                <c:formatCode>#,##0.00</c:formatCode>
                <c:ptCount val="7"/>
                <c:pt idx="0">
                  <c:v>12700</c:v>
                </c:pt>
                <c:pt idx="1">
                  <c:v>16954</c:v>
                </c:pt>
                <c:pt idx="2">
                  <c:v>19949</c:v>
                </c:pt>
                <c:pt idx="3">
                  <c:v>19934</c:v>
                </c:pt>
                <c:pt idx="5">
                  <c:v>12700</c:v>
                </c:pt>
                <c:pt idx="6">
                  <c:v>20996</c:v>
                </c:pt>
              </c:numCache>
            </c:numRef>
          </c:val>
          <c:smooth val="0"/>
          <c:extLst>
            <c:ext xmlns:c16="http://schemas.microsoft.com/office/drawing/2014/chart" uri="{C3380CC4-5D6E-409C-BE32-E72D297353CC}">
              <c16:uniqueId val="{00000000-C884-4615-8CA2-0AB32B6FF255}"/>
            </c:ext>
          </c:extLst>
        </c:ser>
        <c:ser>
          <c:idx val="1"/>
          <c:order val="1"/>
          <c:tx>
            <c:strRef>
              <c:f>Valuation!$A$21</c:f>
              <c:strCache>
                <c:ptCount val="1"/>
                <c:pt idx="0">
                  <c:v>Production Fixed Cost(M)</c:v>
                </c:pt>
              </c:strCache>
            </c:strRef>
          </c:tx>
          <c:spPr>
            <a:ln w="22225" cap="rnd">
              <a:solidFill>
                <a:schemeClr val="accent2"/>
              </a:solidFill>
            </a:ln>
            <a:effectLst>
              <a:glow rad="139700">
                <a:schemeClr val="accent2">
                  <a:satMod val="175000"/>
                  <a:alpha val="14000"/>
                </a:schemeClr>
              </a:glow>
            </a:effectLst>
          </c:spPr>
          <c:marker>
            <c:symbol val="none"/>
          </c:marker>
          <c:cat>
            <c:numRef>
              <c:f>Valuation!$L$73:$R$73</c:f>
              <c:numCache>
                <c:formatCode>#,##0_ </c:formatCode>
                <c:ptCount val="7"/>
                <c:pt idx="0">
                  <c:v>258580</c:v>
                </c:pt>
                <c:pt idx="1">
                  <c:v>365923</c:v>
                </c:pt>
                <c:pt idx="2">
                  <c:v>439701</c:v>
                </c:pt>
                <c:pt idx="3">
                  <c:v>440808</c:v>
                </c:pt>
                <c:pt idx="5">
                  <c:v>258580</c:v>
                </c:pt>
                <c:pt idx="6">
                  <c:v>479700</c:v>
                </c:pt>
              </c:numCache>
            </c:numRef>
          </c:cat>
          <c:val>
            <c:numRef>
              <c:f>Valuation!$L$21:$R$21</c:f>
              <c:numCache>
                <c:formatCode>#,##0.00</c:formatCode>
                <c:ptCount val="7"/>
                <c:pt idx="0">
                  <c:v>-922</c:v>
                </c:pt>
                <c:pt idx="1">
                  <c:v>-956</c:v>
                </c:pt>
                <c:pt idx="2">
                  <c:v>-989</c:v>
                </c:pt>
                <c:pt idx="3">
                  <c:v>-1046</c:v>
                </c:pt>
                <c:pt idx="5">
                  <c:v>-922</c:v>
                </c:pt>
                <c:pt idx="6">
                  <c:v>-1154</c:v>
                </c:pt>
              </c:numCache>
            </c:numRef>
          </c:val>
          <c:smooth val="0"/>
          <c:extLst>
            <c:ext xmlns:c16="http://schemas.microsoft.com/office/drawing/2014/chart" uri="{C3380CC4-5D6E-409C-BE32-E72D297353CC}">
              <c16:uniqueId val="{00000001-C884-4615-8CA2-0AB32B6FF255}"/>
            </c:ext>
          </c:extLst>
        </c:ser>
        <c:ser>
          <c:idx val="2"/>
          <c:order val="2"/>
          <c:tx>
            <c:strRef>
              <c:f>Valuation!$A$24</c:f>
              <c:strCache>
                <c:ptCount val="1"/>
                <c:pt idx="0">
                  <c:v>Production Total Cost(M)</c:v>
                </c:pt>
              </c:strCache>
            </c:strRef>
          </c:tx>
          <c:spPr>
            <a:ln w="22225" cap="rnd">
              <a:solidFill>
                <a:schemeClr val="accent3"/>
              </a:solidFill>
            </a:ln>
            <a:effectLst>
              <a:glow rad="139700">
                <a:schemeClr val="accent3">
                  <a:satMod val="175000"/>
                  <a:alpha val="14000"/>
                </a:schemeClr>
              </a:glow>
            </a:effectLst>
          </c:spPr>
          <c:marker>
            <c:symbol val="none"/>
          </c:marker>
          <c:cat>
            <c:numRef>
              <c:f>Valuation!$L$73:$R$73</c:f>
              <c:numCache>
                <c:formatCode>#,##0_ </c:formatCode>
                <c:ptCount val="7"/>
                <c:pt idx="0">
                  <c:v>258580</c:v>
                </c:pt>
                <c:pt idx="1">
                  <c:v>365923</c:v>
                </c:pt>
                <c:pt idx="2">
                  <c:v>439701</c:v>
                </c:pt>
                <c:pt idx="3">
                  <c:v>440808</c:v>
                </c:pt>
                <c:pt idx="5">
                  <c:v>258580</c:v>
                </c:pt>
                <c:pt idx="6">
                  <c:v>479700</c:v>
                </c:pt>
              </c:numCache>
            </c:numRef>
          </c:cat>
          <c:val>
            <c:numRef>
              <c:f>Valuation!$L$24:$R$24</c:f>
              <c:numCache>
                <c:formatCode>#,##0.00</c:formatCode>
                <c:ptCount val="7"/>
                <c:pt idx="0">
                  <c:v>11778</c:v>
                </c:pt>
                <c:pt idx="1">
                  <c:v>15998</c:v>
                </c:pt>
                <c:pt idx="2">
                  <c:v>18960</c:v>
                </c:pt>
                <c:pt idx="3">
                  <c:v>18888</c:v>
                </c:pt>
                <c:pt idx="5">
                  <c:v>11778</c:v>
                </c:pt>
                <c:pt idx="6">
                  <c:v>19842</c:v>
                </c:pt>
              </c:numCache>
            </c:numRef>
          </c:val>
          <c:smooth val="0"/>
          <c:extLst>
            <c:ext xmlns:c16="http://schemas.microsoft.com/office/drawing/2014/chart" uri="{C3380CC4-5D6E-409C-BE32-E72D297353CC}">
              <c16:uniqueId val="{00000002-C884-4615-8CA2-0AB32B6FF255}"/>
            </c:ext>
          </c:extLst>
        </c:ser>
        <c:dLbls>
          <c:showLegendKey val="0"/>
          <c:showVal val="0"/>
          <c:showCatName val="0"/>
          <c:showSerName val="0"/>
          <c:showPercent val="0"/>
          <c:showBubbleSize val="0"/>
        </c:dLbls>
        <c:smooth val="0"/>
        <c:axId val="1016465752"/>
        <c:axId val="1016466080"/>
      </c:lineChart>
      <c:catAx>
        <c:axId val="10164657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ltLang="zh-TW"/>
                  <a:t>QTY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6466080"/>
        <c:crosses val="autoZero"/>
        <c:auto val="1"/>
        <c:lblAlgn val="ctr"/>
        <c:lblOffset val="100"/>
        <c:noMultiLvlLbl val="0"/>
      </c:catAx>
      <c:valAx>
        <c:axId val="10164660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ltLang="zh-TW"/>
                  <a:t>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6465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Valuation!$A$19</c:f>
              <c:strCache>
                <c:ptCount val="1"/>
                <c:pt idx="0">
                  <c:v>AVC (USD)</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Valuation!$L$73:$R$73</c:f>
              <c:numCache>
                <c:formatCode>#,##0_ </c:formatCode>
                <c:ptCount val="7"/>
                <c:pt idx="0">
                  <c:v>258580</c:v>
                </c:pt>
                <c:pt idx="1">
                  <c:v>365923</c:v>
                </c:pt>
                <c:pt idx="2">
                  <c:v>439701</c:v>
                </c:pt>
                <c:pt idx="3">
                  <c:v>440808</c:v>
                </c:pt>
                <c:pt idx="5">
                  <c:v>258580</c:v>
                </c:pt>
                <c:pt idx="6">
                  <c:v>479700</c:v>
                </c:pt>
              </c:numCache>
            </c:numRef>
          </c:cat>
          <c:val>
            <c:numRef>
              <c:f>Valuation!$L$19:$R$19</c:f>
              <c:numCache>
                <c:formatCode>General</c:formatCode>
                <c:ptCount val="7"/>
                <c:pt idx="0">
                  <c:v>49114.39399798902</c:v>
                </c:pt>
                <c:pt idx="1">
                  <c:v>46332.151846153429</c:v>
                </c:pt>
                <c:pt idx="2">
                  <c:v>45369.466978696888</c:v>
                </c:pt>
                <c:pt idx="3">
                  <c:v>45221.502332081087</c:v>
                </c:pt>
                <c:pt idx="5">
                  <c:v>49114.39399798902</c:v>
                </c:pt>
                <c:pt idx="6">
                  <c:v>43769.022305607672</c:v>
                </c:pt>
              </c:numCache>
            </c:numRef>
          </c:val>
          <c:smooth val="0"/>
          <c:extLst>
            <c:ext xmlns:c16="http://schemas.microsoft.com/office/drawing/2014/chart" uri="{C3380CC4-5D6E-409C-BE32-E72D297353CC}">
              <c16:uniqueId val="{00000000-77F4-44DA-90C6-14DB64E57942}"/>
            </c:ext>
          </c:extLst>
        </c:ser>
        <c:ser>
          <c:idx val="1"/>
          <c:order val="1"/>
          <c:tx>
            <c:strRef>
              <c:f>Valuation!$A$25</c:f>
              <c:strCache>
                <c:ptCount val="1"/>
                <c:pt idx="0">
                  <c:v>ATC (USD)</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Valuation!$L$73:$R$73</c:f>
              <c:numCache>
                <c:formatCode>#,##0_ </c:formatCode>
                <c:ptCount val="7"/>
                <c:pt idx="0">
                  <c:v>258580</c:v>
                </c:pt>
                <c:pt idx="1">
                  <c:v>365923</c:v>
                </c:pt>
                <c:pt idx="2">
                  <c:v>439701</c:v>
                </c:pt>
                <c:pt idx="3">
                  <c:v>440808</c:v>
                </c:pt>
                <c:pt idx="5">
                  <c:v>258580</c:v>
                </c:pt>
                <c:pt idx="6">
                  <c:v>479700</c:v>
                </c:pt>
              </c:numCache>
            </c:numRef>
          </c:cat>
          <c:val>
            <c:numRef>
              <c:f>Valuation!$L$25:$R$25</c:f>
              <c:numCache>
                <c:formatCode>#,##0.00</c:formatCode>
                <c:ptCount val="7"/>
                <c:pt idx="0">
                  <c:v>45548.766339237372</c:v>
                </c:pt>
                <c:pt idx="1">
                  <c:v>43719.580348871212</c:v>
                </c:pt>
                <c:pt idx="2">
                  <c:v>43120.211234452501</c:v>
                </c:pt>
                <c:pt idx="3">
                  <c:v>42848.58713997931</c:v>
                </c:pt>
                <c:pt idx="5">
                  <c:v>45548.766339237372</c:v>
                </c:pt>
                <c:pt idx="6">
                  <c:v>41363.35209505941</c:v>
                </c:pt>
              </c:numCache>
            </c:numRef>
          </c:val>
          <c:smooth val="0"/>
          <c:extLst>
            <c:ext xmlns:c16="http://schemas.microsoft.com/office/drawing/2014/chart" uri="{C3380CC4-5D6E-409C-BE32-E72D297353CC}">
              <c16:uniqueId val="{00000001-77F4-44DA-90C6-14DB64E57942}"/>
            </c:ext>
          </c:extLst>
        </c:ser>
        <c:ser>
          <c:idx val="2"/>
          <c:order val="2"/>
          <c:tx>
            <c:strRef>
              <c:f>Valuation!$A$26</c:f>
              <c:strCache>
                <c:ptCount val="1"/>
                <c:pt idx="0">
                  <c:v>Marginal Cost(USD)</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f>Valuation!$L$73:$R$73</c:f>
              <c:numCache>
                <c:formatCode>#,##0_ </c:formatCode>
                <c:ptCount val="7"/>
                <c:pt idx="0">
                  <c:v>258580</c:v>
                </c:pt>
                <c:pt idx="1">
                  <c:v>365923</c:v>
                </c:pt>
                <c:pt idx="2">
                  <c:v>439701</c:v>
                </c:pt>
                <c:pt idx="3">
                  <c:v>440808</c:v>
                </c:pt>
                <c:pt idx="5">
                  <c:v>258580</c:v>
                </c:pt>
                <c:pt idx="6">
                  <c:v>479700</c:v>
                </c:pt>
              </c:numCache>
            </c:numRef>
          </c:cat>
          <c:val>
            <c:numRef>
              <c:f>Valuation!$L$26:$R$26</c:f>
              <c:numCache>
                <c:formatCode>#,##0.00</c:formatCode>
                <c:ptCount val="7"/>
                <c:pt idx="1">
                  <c:v>39313.229553860052</c:v>
                </c:pt>
                <c:pt idx="2">
                  <c:v>40147.469435333027</c:v>
                </c:pt>
                <c:pt idx="3">
                  <c:v>-65040.650406504072</c:v>
                </c:pt>
                <c:pt idx="6">
                  <c:v>36468.885672937773</c:v>
                </c:pt>
              </c:numCache>
            </c:numRef>
          </c:val>
          <c:smooth val="0"/>
          <c:extLst>
            <c:ext xmlns:c16="http://schemas.microsoft.com/office/drawing/2014/chart" uri="{C3380CC4-5D6E-409C-BE32-E72D297353CC}">
              <c16:uniqueId val="{00000002-77F4-44DA-90C6-14DB64E57942}"/>
            </c:ext>
          </c:extLst>
        </c:ser>
        <c:ser>
          <c:idx val="3"/>
          <c:order val="3"/>
          <c:tx>
            <c:strRef>
              <c:f>Valuation!$A$38</c:f>
              <c:strCache>
                <c:ptCount val="1"/>
                <c:pt idx="0">
                  <c:v>Avg. Price (USD)</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f>Valuation!$L$73:$R$73</c:f>
              <c:numCache>
                <c:formatCode>#,##0_ </c:formatCode>
                <c:ptCount val="7"/>
                <c:pt idx="0">
                  <c:v>258580</c:v>
                </c:pt>
                <c:pt idx="1">
                  <c:v>365923</c:v>
                </c:pt>
                <c:pt idx="2">
                  <c:v>439701</c:v>
                </c:pt>
                <c:pt idx="3">
                  <c:v>440808</c:v>
                </c:pt>
                <c:pt idx="5">
                  <c:v>258580</c:v>
                </c:pt>
                <c:pt idx="6">
                  <c:v>479700</c:v>
                </c:pt>
              </c:numCache>
            </c:numRef>
          </c:cat>
          <c:val>
            <c:numRef>
              <c:f>Valuation!$L$38:$R$38</c:f>
              <c:numCache>
                <c:formatCode>#,##0.00</c:formatCode>
                <c:ptCount val="7"/>
                <c:pt idx="0">
                  <c:v>66487.367243173212</c:v>
                </c:pt>
                <c:pt idx="1">
                  <c:v>62397.114853270512</c:v>
                </c:pt>
                <c:pt idx="2">
                  <c:v>60003.25702357394</c:v>
                </c:pt>
                <c:pt idx="3">
                  <c:v>55167.60271947975</c:v>
                </c:pt>
                <c:pt idx="5">
                  <c:v>66487.367243173212</c:v>
                </c:pt>
                <c:pt idx="6">
                  <c:v>53475.350752992665</c:v>
                </c:pt>
              </c:numCache>
            </c:numRef>
          </c:val>
          <c:smooth val="0"/>
          <c:extLst>
            <c:ext xmlns:c16="http://schemas.microsoft.com/office/drawing/2014/chart" uri="{C3380CC4-5D6E-409C-BE32-E72D297353CC}">
              <c16:uniqueId val="{00000003-77F4-44DA-90C6-14DB64E57942}"/>
            </c:ext>
          </c:extLst>
        </c:ser>
        <c:dLbls>
          <c:showLegendKey val="0"/>
          <c:showVal val="0"/>
          <c:showCatName val="0"/>
          <c:showSerName val="0"/>
          <c:showPercent val="0"/>
          <c:showBubbleSize val="0"/>
        </c:dLbls>
        <c:smooth val="0"/>
        <c:axId val="1182285368"/>
        <c:axId val="1182284056"/>
      </c:lineChart>
      <c:catAx>
        <c:axId val="1182285368"/>
        <c:scaling>
          <c:orientation val="minMax"/>
        </c:scaling>
        <c:delete val="0"/>
        <c:axPos val="b"/>
        <c:numFmt formatCode="#,##0_ "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2284056"/>
        <c:crosses val="autoZero"/>
        <c:auto val="1"/>
        <c:lblAlgn val="ctr"/>
        <c:lblOffset val="100"/>
        <c:noMultiLvlLbl val="0"/>
      </c:catAx>
      <c:valAx>
        <c:axId val="11822840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228536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Valuation!$A$54</c:f>
              <c:strCache>
                <c:ptCount val="1"/>
                <c:pt idx="0">
                  <c:v>Growth Rate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Valuation!$B$51:$I$51</c:f>
              <c:numCache>
                <c:formatCode>#,##0.00</c:formatCode>
                <c:ptCount val="8"/>
                <c:pt idx="0" formatCode="General">
                  <c:v>923.5</c:v>
                </c:pt>
                <c:pt idx="1">
                  <c:v>1599.26</c:v>
                </c:pt>
                <c:pt idx="2">
                  <c:v>2223</c:v>
                </c:pt>
                <c:pt idx="3">
                  <c:v>4042</c:v>
                </c:pt>
                <c:pt idx="4">
                  <c:v>4069</c:v>
                </c:pt>
                <c:pt idx="5">
                  <c:v>6630</c:v>
                </c:pt>
                <c:pt idx="6">
                  <c:v>13606</c:v>
                </c:pt>
                <c:pt idx="7">
                  <c:v>20853</c:v>
                </c:pt>
              </c:numCache>
            </c:numRef>
          </c:cat>
          <c:val>
            <c:numRef>
              <c:f>Valuation!$B$54:$I$54</c:f>
              <c:numCache>
                <c:formatCode>0.00%</c:formatCode>
                <c:ptCount val="8"/>
                <c:pt idx="1">
                  <c:v>0.73173795343800752</c:v>
                </c:pt>
                <c:pt idx="2">
                  <c:v>0.39001788327101283</c:v>
                </c:pt>
                <c:pt idx="3">
                  <c:v>0.8182636077372919</c:v>
                </c:pt>
                <c:pt idx="4">
                  <c:v>6.6798614547253837E-3</c:v>
                </c:pt>
                <c:pt idx="5">
                  <c:v>0.62939297124600635</c:v>
                </c:pt>
                <c:pt idx="6">
                  <c:v>1.0521870286576169</c:v>
                </c:pt>
                <c:pt idx="7">
                  <c:v>0.53263266206085547</c:v>
                </c:pt>
              </c:numCache>
            </c:numRef>
          </c:val>
          <c:smooth val="0"/>
          <c:extLst>
            <c:ext xmlns:c16="http://schemas.microsoft.com/office/drawing/2014/chart" uri="{C3380CC4-5D6E-409C-BE32-E72D297353CC}">
              <c16:uniqueId val="{00000000-7FC4-4BB2-877F-BEF5813A8813}"/>
            </c:ext>
          </c:extLst>
        </c:ser>
        <c:ser>
          <c:idx val="1"/>
          <c:order val="1"/>
          <c:tx>
            <c:strRef>
              <c:f>Valuation!$A$53</c:f>
              <c:strCache>
                <c:ptCount val="1"/>
                <c:pt idx="0">
                  <c:v>Gross Profit Margin</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Valuation!$B$51:$I$51</c:f>
              <c:numCache>
                <c:formatCode>#,##0.00</c:formatCode>
                <c:ptCount val="8"/>
                <c:pt idx="0" formatCode="General">
                  <c:v>923.5</c:v>
                </c:pt>
                <c:pt idx="1">
                  <c:v>1599.26</c:v>
                </c:pt>
                <c:pt idx="2">
                  <c:v>2223</c:v>
                </c:pt>
                <c:pt idx="3">
                  <c:v>4042</c:v>
                </c:pt>
                <c:pt idx="4">
                  <c:v>4069</c:v>
                </c:pt>
                <c:pt idx="5">
                  <c:v>6630</c:v>
                </c:pt>
                <c:pt idx="6">
                  <c:v>13606</c:v>
                </c:pt>
                <c:pt idx="7">
                  <c:v>20853</c:v>
                </c:pt>
              </c:numCache>
            </c:numRef>
          </c:cat>
          <c:val>
            <c:numRef>
              <c:f>Valuation!$B$53:$I$53</c:f>
              <c:numCache>
                <c:formatCode>0.00%</c:formatCode>
                <c:ptCount val="8"/>
                <c:pt idx="0">
                  <c:v>0.22824843117821667</c:v>
                </c:pt>
                <c:pt idx="1">
                  <c:v>0.22846147142981629</c:v>
                </c:pt>
                <c:pt idx="2">
                  <c:v>0.1890466876435071</c:v>
                </c:pt>
                <c:pt idx="3">
                  <c:v>0.18834164298028983</c:v>
                </c:pt>
                <c:pt idx="4">
                  <c:v>0.1655545609895028</c:v>
                </c:pt>
                <c:pt idx="5">
                  <c:v>0.2102359208523592</c:v>
                </c:pt>
                <c:pt idx="6">
                  <c:v>0.25279155751258753</c:v>
                </c:pt>
                <c:pt idx="7">
                  <c:v>0.25598438535759005</c:v>
                </c:pt>
              </c:numCache>
            </c:numRef>
          </c:val>
          <c:smooth val="0"/>
          <c:extLst>
            <c:ext xmlns:c16="http://schemas.microsoft.com/office/drawing/2014/chart" uri="{C3380CC4-5D6E-409C-BE32-E72D297353CC}">
              <c16:uniqueId val="{00000001-7FC4-4BB2-877F-BEF5813A8813}"/>
            </c:ext>
          </c:extLst>
        </c:ser>
        <c:dLbls>
          <c:dLblPos val="t"/>
          <c:showLegendKey val="0"/>
          <c:showVal val="1"/>
          <c:showCatName val="0"/>
          <c:showSerName val="0"/>
          <c:showPercent val="0"/>
          <c:showBubbleSize val="0"/>
        </c:dLbls>
        <c:smooth val="0"/>
        <c:axId val="1191251136"/>
        <c:axId val="1191251464"/>
      </c:lineChart>
      <c:catAx>
        <c:axId val="119125113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1251464"/>
        <c:crosses val="autoZero"/>
        <c:auto val="1"/>
        <c:lblAlgn val="ctr"/>
        <c:lblOffset val="100"/>
        <c:noMultiLvlLbl val="0"/>
      </c:catAx>
      <c:valAx>
        <c:axId val="11912514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125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Yearly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Valuation!$A$73</c:f>
              <c:strCache>
                <c:ptCount val="1"/>
                <c:pt idx="0">
                  <c:v>Production in units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Valuation!$C$2:$F$2</c:f>
              <c:numCache>
                <c:formatCode>mmm\-yy</c:formatCode>
                <c:ptCount val="4"/>
                <c:pt idx="0">
                  <c:v>42705</c:v>
                </c:pt>
                <c:pt idx="1">
                  <c:v>43070</c:v>
                </c:pt>
                <c:pt idx="2">
                  <c:v>43435</c:v>
                </c:pt>
                <c:pt idx="3">
                  <c:v>43800</c:v>
                </c:pt>
              </c:numCache>
            </c:numRef>
          </c:cat>
          <c:val>
            <c:numRef>
              <c:f>Valuation!$C$73:$F$73</c:f>
              <c:numCache>
                <c:formatCode>#,##0_ </c:formatCode>
                <c:ptCount val="4"/>
                <c:pt idx="0">
                  <c:v>83922</c:v>
                </c:pt>
                <c:pt idx="1">
                  <c:v>101027</c:v>
                </c:pt>
                <c:pt idx="2">
                  <c:v>254530</c:v>
                </c:pt>
                <c:pt idx="3">
                  <c:v>365284</c:v>
                </c:pt>
              </c:numCache>
            </c:numRef>
          </c:val>
          <c:extLst>
            <c:ext xmlns:c16="http://schemas.microsoft.com/office/drawing/2014/chart" uri="{C3380CC4-5D6E-409C-BE32-E72D297353CC}">
              <c16:uniqueId val="{00000000-DFE6-4E10-951F-83ECD44AE38B}"/>
            </c:ext>
          </c:extLst>
        </c:ser>
        <c:ser>
          <c:idx val="1"/>
          <c:order val="1"/>
          <c:tx>
            <c:strRef>
              <c:f>Valuation!$A$74</c:f>
              <c:strCache>
                <c:ptCount val="1"/>
                <c:pt idx="0">
                  <c:v>Delivery in units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2"/>
                </a:solidFill>
              </a:ln>
              <a:effectLst/>
            </c:spPr>
            <c:trendlineType val="linear"/>
            <c:dispRSqr val="0"/>
            <c:dispEq val="0"/>
          </c:trendline>
          <c:cat>
            <c:numRef>
              <c:f>Valuation!$C$2:$F$2</c:f>
              <c:numCache>
                <c:formatCode>mmm\-yy</c:formatCode>
                <c:ptCount val="4"/>
                <c:pt idx="0">
                  <c:v>42705</c:v>
                </c:pt>
                <c:pt idx="1">
                  <c:v>43070</c:v>
                </c:pt>
                <c:pt idx="2">
                  <c:v>43435</c:v>
                </c:pt>
                <c:pt idx="3">
                  <c:v>43800</c:v>
                </c:pt>
              </c:numCache>
            </c:numRef>
          </c:cat>
          <c:val>
            <c:numRef>
              <c:f>Valuation!$C$74:$F$74</c:f>
              <c:numCache>
                <c:formatCode>#,##0_ </c:formatCode>
                <c:ptCount val="4"/>
                <c:pt idx="0">
                  <c:v>75890</c:v>
                </c:pt>
                <c:pt idx="1">
                  <c:v>103020</c:v>
                </c:pt>
                <c:pt idx="2">
                  <c:v>244920</c:v>
                </c:pt>
                <c:pt idx="3">
                  <c:v>367200</c:v>
                </c:pt>
              </c:numCache>
            </c:numRef>
          </c:val>
          <c:extLst>
            <c:ext xmlns:c16="http://schemas.microsoft.com/office/drawing/2014/chart" uri="{C3380CC4-5D6E-409C-BE32-E72D297353CC}">
              <c16:uniqueId val="{00000001-DFE6-4E10-951F-83ECD44AE38B}"/>
            </c:ext>
          </c:extLst>
        </c:ser>
        <c:dLbls>
          <c:showLegendKey val="0"/>
          <c:showVal val="0"/>
          <c:showCatName val="0"/>
          <c:showSerName val="0"/>
          <c:showPercent val="0"/>
          <c:showBubbleSize val="0"/>
        </c:dLbls>
        <c:gapWidth val="100"/>
        <c:overlap val="-24"/>
        <c:axId val="1175594800"/>
        <c:axId val="1166797576"/>
      </c:barChart>
      <c:dateAx>
        <c:axId val="1175594800"/>
        <c:scaling>
          <c:orientation val="minMax"/>
        </c:scaling>
        <c:delete val="0"/>
        <c:axPos val="b"/>
        <c:numFmt formatCode="mmm\-yy"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6797576"/>
        <c:crosses val="autoZero"/>
        <c:auto val="1"/>
        <c:lblOffset val="100"/>
        <c:baseTimeUnit val="years"/>
      </c:dateAx>
      <c:valAx>
        <c:axId val="1166797576"/>
        <c:scaling>
          <c:orientation val="minMax"/>
        </c:scaling>
        <c:delete val="0"/>
        <c:axPos val="l"/>
        <c:majorGridlines>
          <c:spPr>
            <a:ln w="9525" cap="flat" cmpd="sng" algn="ctr">
              <a:solidFill>
                <a:schemeClr val="lt1">
                  <a:lumMod val="95000"/>
                  <a:alpha val="10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559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Valuation!$A$40</c:f>
              <c:strCache>
                <c:ptCount val="1"/>
                <c:pt idx="0">
                  <c:v>DOL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Valuation!$B$74:$I$74</c:f>
              <c:numCache>
                <c:formatCode>#,##0_ </c:formatCode>
                <c:ptCount val="8"/>
                <c:pt idx="0">
                  <c:v>50000</c:v>
                </c:pt>
                <c:pt idx="1">
                  <c:v>75890</c:v>
                </c:pt>
                <c:pt idx="2">
                  <c:v>103020</c:v>
                </c:pt>
                <c:pt idx="3">
                  <c:v>244920</c:v>
                </c:pt>
                <c:pt idx="4">
                  <c:v>367200</c:v>
                </c:pt>
                <c:pt idx="5">
                  <c:v>499550</c:v>
                </c:pt>
                <c:pt idx="6">
                  <c:v>936172</c:v>
                </c:pt>
                <c:pt idx="7">
                  <c:v>1313851</c:v>
                </c:pt>
              </c:numCache>
            </c:numRef>
          </c:xVal>
          <c:yVal>
            <c:numRef>
              <c:f>Valuation!$B$40:$I$40</c:f>
              <c:numCache>
                <c:formatCode>#,##0.00</c:formatCode>
                <c:ptCount val="8"/>
                <c:pt idx="0">
                  <c:v>1.8436277249860247</c:v>
                </c:pt>
                <c:pt idx="1">
                  <c:v>2.39168830032642</c:v>
                </c:pt>
                <c:pt idx="2">
                  <c:v>5.0721320077782064</c:v>
                </c:pt>
                <c:pt idx="3">
                  <c:v>1.8437674793773196</c:v>
                </c:pt>
                <c:pt idx="4">
                  <c:v>2.0592023934146577</c:v>
                </c:pt>
                <c:pt idx="5">
                  <c:v>1.5157779733231227</c:v>
                </c:pt>
                <c:pt idx="6">
                  <c:v>0.82526867433114492</c:v>
                </c:pt>
                <c:pt idx="7">
                  <c:v>0.84987389399871138</c:v>
                </c:pt>
              </c:numCache>
            </c:numRef>
          </c:yVal>
          <c:smooth val="0"/>
          <c:extLst>
            <c:ext xmlns:c16="http://schemas.microsoft.com/office/drawing/2014/chart" uri="{C3380CC4-5D6E-409C-BE32-E72D297353CC}">
              <c16:uniqueId val="{00000000-CA56-47FA-AF46-1DEC35FF6B1D}"/>
            </c:ext>
          </c:extLst>
        </c:ser>
        <c:dLbls>
          <c:dLblPos val="t"/>
          <c:showLegendKey val="0"/>
          <c:showVal val="1"/>
          <c:showCatName val="0"/>
          <c:showSerName val="0"/>
          <c:showPercent val="0"/>
          <c:showBubbleSize val="0"/>
        </c:dLbls>
        <c:axId val="1153093808"/>
        <c:axId val="1153094136"/>
      </c:scatterChart>
      <c:valAx>
        <c:axId val="1153093808"/>
        <c:scaling>
          <c:orientation val="minMax"/>
        </c:scaling>
        <c:delete val="0"/>
        <c:axPos val="b"/>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094136"/>
        <c:crosses val="autoZero"/>
        <c:crossBetween val="midCat"/>
      </c:valAx>
      <c:valAx>
        <c:axId val="11530941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0938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jpeg"/><Relationship Id="rId1" Type="http://schemas.openxmlformats.org/officeDocument/2006/relationships/image" Target="../media/image2.jpeg"/><Relationship Id="rId6" Type="http://schemas.openxmlformats.org/officeDocument/2006/relationships/image" Target="../media/image7.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_rels/drawing4.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4" Type="http://schemas.openxmlformats.org/officeDocument/2006/relationships/image" Target="../media/image15.png"/></Relationships>
</file>

<file path=xl/drawings/_rels/drawing5.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17</xdr:col>
      <xdr:colOff>702236</xdr:colOff>
      <xdr:row>142</xdr:row>
      <xdr:rowOff>123825</xdr:rowOff>
    </xdr:from>
    <xdr:to>
      <xdr:col>23</xdr:col>
      <xdr:colOff>694764</xdr:colOff>
      <xdr:row>166</xdr:row>
      <xdr:rowOff>0</xdr:rowOff>
    </xdr:to>
    <xdr:graphicFrame macro="">
      <xdr:nvGraphicFramePr>
        <xdr:cNvPr id="4" name="Chart 3">
          <a:extLst>
            <a:ext uri="{FF2B5EF4-FFF2-40B4-BE49-F238E27FC236}">
              <a16:creationId xmlns:a16="http://schemas.microsoft.com/office/drawing/2014/main" id="{0C8CECE0-6306-4186-BB5D-228F15FA1A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522942</xdr:colOff>
      <xdr:row>156</xdr:row>
      <xdr:rowOff>60324</xdr:rowOff>
    </xdr:from>
    <xdr:to>
      <xdr:col>17</xdr:col>
      <xdr:colOff>336177</xdr:colOff>
      <xdr:row>170</xdr:row>
      <xdr:rowOff>183589</xdr:rowOff>
    </xdr:to>
    <xdr:graphicFrame macro="">
      <xdr:nvGraphicFramePr>
        <xdr:cNvPr id="2" name="Chart 1">
          <a:extLst>
            <a:ext uri="{FF2B5EF4-FFF2-40B4-BE49-F238E27FC236}">
              <a16:creationId xmlns:a16="http://schemas.microsoft.com/office/drawing/2014/main" id="{9B09576D-2A42-4A31-9130-3B6A79FFC2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636493</xdr:colOff>
      <xdr:row>111</xdr:row>
      <xdr:rowOff>121584</xdr:rowOff>
    </xdr:from>
    <xdr:to>
      <xdr:col>23</xdr:col>
      <xdr:colOff>276411</xdr:colOff>
      <xdr:row>139</xdr:row>
      <xdr:rowOff>77694</xdr:rowOff>
    </xdr:to>
    <xdr:graphicFrame macro="">
      <xdr:nvGraphicFramePr>
        <xdr:cNvPr id="5" name="Chart 4">
          <a:extLst>
            <a:ext uri="{FF2B5EF4-FFF2-40B4-BE49-F238E27FC236}">
              <a16:creationId xmlns:a16="http://schemas.microsoft.com/office/drawing/2014/main" id="{93C84641-5791-46A3-998D-9FBC5295DA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19052</xdr:colOff>
      <xdr:row>111</xdr:row>
      <xdr:rowOff>66675</xdr:rowOff>
    </xdr:from>
    <xdr:to>
      <xdr:col>17</xdr:col>
      <xdr:colOff>268942</xdr:colOff>
      <xdr:row>139</xdr:row>
      <xdr:rowOff>104588</xdr:rowOff>
    </xdr:to>
    <xdr:graphicFrame macro="">
      <xdr:nvGraphicFramePr>
        <xdr:cNvPr id="3" name="Chart 2">
          <a:extLst>
            <a:ext uri="{FF2B5EF4-FFF2-40B4-BE49-F238E27FC236}">
              <a16:creationId xmlns:a16="http://schemas.microsoft.com/office/drawing/2014/main" id="{C55D6C7B-70CF-48C9-8282-87D62D9D55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571499</xdr:colOff>
      <xdr:row>60</xdr:row>
      <xdr:rowOff>104775</xdr:rowOff>
    </xdr:from>
    <xdr:to>
      <xdr:col>50</xdr:col>
      <xdr:colOff>485774</xdr:colOff>
      <xdr:row>103</xdr:row>
      <xdr:rowOff>104775</xdr:rowOff>
    </xdr:to>
    <xdr:graphicFrame macro="">
      <xdr:nvGraphicFramePr>
        <xdr:cNvPr id="6" name="Chart 5">
          <a:extLst>
            <a:ext uri="{FF2B5EF4-FFF2-40B4-BE49-F238E27FC236}">
              <a16:creationId xmlns:a16="http://schemas.microsoft.com/office/drawing/2014/main" id="{C642283C-8838-4FAC-97A7-45F0655494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46</xdr:col>
      <xdr:colOff>504824</xdr:colOff>
      <xdr:row>38</xdr:row>
      <xdr:rowOff>47624</xdr:rowOff>
    </xdr:from>
    <xdr:to>
      <xdr:col>51</xdr:col>
      <xdr:colOff>266699</xdr:colOff>
      <xdr:row>74</xdr:row>
      <xdr:rowOff>133348</xdr:rowOff>
    </xdr:to>
    <xdr:graphicFrame macro="">
      <xdr:nvGraphicFramePr>
        <xdr:cNvPr id="7" name="Chart 6">
          <a:extLst>
            <a:ext uri="{FF2B5EF4-FFF2-40B4-BE49-F238E27FC236}">
              <a16:creationId xmlns:a16="http://schemas.microsoft.com/office/drawing/2014/main" id="{5DC1FEC6-3F05-4977-996C-3A7E454777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522380</xdr:colOff>
      <xdr:row>143</xdr:row>
      <xdr:rowOff>2053</xdr:rowOff>
    </xdr:from>
    <xdr:to>
      <xdr:col>17</xdr:col>
      <xdr:colOff>291353</xdr:colOff>
      <xdr:row>152</xdr:row>
      <xdr:rowOff>68729</xdr:rowOff>
    </xdr:to>
    <xdr:graphicFrame macro="">
      <xdr:nvGraphicFramePr>
        <xdr:cNvPr id="8" name="Chart 7">
          <a:extLst>
            <a:ext uri="{FF2B5EF4-FFF2-40B4-BE49-F238E27FC236}">
              <a16:creationId xmlns:a16="http://schemas.microsoft.com/office/drawing/2014/main" id="{F60EEC0E-34E4-454E-B1E3-426A0AADF8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42</xdr:col>
      <xdr:colOff>428625</xdr:colOff>
      <xdr:row>82</xdr:row>
      <xdr:rowOff>19049</xdr:rowOff>
    </xdr:from>
    <xdr:to>
      <xdr:col>47</xdr:col>
      <xdr:colOff>228599</xdr:colOff>
      <xdr:row>105</xdr:row>
      <xdr:rowOff>71436</xdr:rowOff>
    </xdr:to>
    <xdr:graphicFrame macro="">
      <xdr:nvGraphicFramePr>
        <xdr:cNvPr id="10" name="Chart 9">
          <a:extLst>
            <a:ext uri="{FF2B5EF4-FFF2-40B4-BE49-F238E27FC236}">
              <a16:creationId xmlns:a16="http://schemas.microsoft.com/office/drawing/2014/main" id="{31D0BD0B-1984-49E3-B2A8-C47CA34B0A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289673</xdr:colOff>
      <xdr:row>100</xdr:row>
      <xdr:rowOff>79281</xdr:rowOff>
    </xdr:from>
    <xdr:to>
      <xdr:col>14</xdr:col>
      <xdr:colOff>661149</xdr:colOff>
      <xdr:row>110</xdr:row>
      <xdr:rowOff>93569</xdr:rowOff>
    </xdr:to>
    <xdr:graphicFrame macro="">
      <xdr:nvGraphicFramePr>
        <xdr:cNvPr id="11" name="Chart 10">
          <a:extLst>
            <a:ext uri="{FF2B5EF4-FFF2-40B4-BE49-F238E27FC236}">
              <a16:creationId xmlns:a16="http://schemas.microsoft.com/office/drawing/2014/main" id="{7881B234-D721-4474-9272-01699804B4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235697</xdr:colOff>
      <xdr:row>100</xdr:row>
      <xdr:rowOff>130175</xdr:rowOff>
    </xdr:from>
    <xdr:to>
      <xdr:col>24</xdr:col>
      <xdr:colOff>550022</xdr:colOff>
      <xdr:row>110</xdr:row>
      <xdr:rowOff>149225</xdr:rowOff>
    </xdr:to>
    <xdr:graphicFrame macro="">
      <xdr:nvGraphicFramePr>
        <xdr:cNvPr id="12" name="Chart 11">
          <a:extLst>
            <a:ext uri="{FF2B5EF4-FFF2-40B4-BE49-F238E27FC236}">
              <a16:creationId xmlns:a16="http://schemas.microsoft.com/office/drawing/2014/main" id="{08D261D2-CF71-4A7A-BFF6-B3487D70A1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408642</xdr:colOff>
      <xdr:row>77</xdr:row>
      <xdr:rowOff>187327</xdr:rowOff>
    </xdr:from>
    <xdr:to>
      <xdr:col>14</xdr:col>
      <xdr:colOff>746500</xdr:colOff>
      <xdr:row>100</xdr:row>
      <xdr:rowOff>11114</xdr:rowOff>
    </xdr:to>
    <xdr:graphicFrame macro="">
      <xdr:nvGraphicFramePr>
        <xdr:cNvPr id="13" name="Chart 12">
          <a:extLst>
            <a:ext uri="{FF2B5EF4-FFF2-40B4-BE49-F238E27FC236}">
              <a16:creationId xmlns:a16="http://schemas.microsoft.com/office/drawing/2014/main" id="{50B16C48-10E2-4E7E-8452-17DA1E138E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214593</xdr:colOff>
      <xdr:row>77</xdr:row>
      <xdr:rowOff>149599</xdr:rowOff>
    </xdr:from>
    <xdr:to>
      <xdr:col>24</xdr:col>
      <xdr:colOff>452719</xdr:colOff>
      <xdr:row>99</xdr:row>
      <xdr:rowOff>163886</xdr:rowOff>
    </xdr:to>
    <xdr:graphicFrame macro="">
      <xdr:nvGraphicFramePr>
        <xdr:cNvPr id="15" name="Chart 14">
          <a:extLst>
            <a:ext uri="{FF2B5EF4-FFF2-40B4-BE49-F238E27FC236}">
              <a16:creationId xmlns:a16="http://schemas.microsoft.com/office/drawing/2014/main" id="{D2F17784-7816-4DC5-AD42-A4EE377E41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1171574</xdr:colOff>
      <xdr:row>99</xdr:row>
      <xdr:rowOff>6349</xdr:rowOff>
    </xdr:from>
    <xdr:to>
      <xdr:col>4</xdr:col>
      <xdr:colOff>507627</xdr:colOff>
      <xdr:row>109</xdr:row>
      <xdr:rowOff>14288</xdr:rowOff>
    </xdr:to>
    <xdr:graphicFrame macro="">
      <xdr:nvGraphicFramePr>
        <xdr:cNvPr id="14" name="Chart 13">
          <a:extLst>
            <a:ext uri="{FF2B5EF4-FFF2-40B4-BE49-F238E27FC236}">
              <a16:creationId xmlns:a16="http://schemas.microsoft.com/office/drawing/2014/main" id="{A86085E5-4FD2-40B8-BAAC-3150CA85BF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155017</xdr:colOff>
      <xdr:row>4</xdr:row>
      <xdr:rowOff>179107</xdr:rowOff>
    </xdr:from>
    <xdr:to>
      <xdr:col>27</xdr:col>
      <xdr:colOff>242795</xdr:colOff>
      <xdr:row>5</xdr:row>
      <xdr:rowOff>939052</xdr:rowOff>
    </xdr:to>
    <xdr:sp macro="" textlink="">
      <xdr:nvSpPr>
        <xdr:cNvPr id="9" name="TextBox 8">
          <a:extLst>
            <a:ext uri="{FF2B5EF4-FFF2-40B4-BE49-F238E27FC236}">
              <a16:creationId xmlns:a16="http://schemas.microsoft.com/office/drawing/2014/main" id="{4F8367B5-D8A4-4CCF-BFD8-3D93C0244426}"/>
            </a:ext>
          </a:extLst>
        </xdr:cNvPr>
        <xdr:cNvSpPr txBox="1"/>
      </xdr:nvSpPr>
      <xdr:spPr>
        <a:xfrm>
          <a:off x="20067870" y="1030754"/>
          <a:ext cx="6273425" cy="9728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100"/>
            <a:t>Pdf</a:t>
          </a:r>
          <a:r>
            <a:rPr lang="en-US" altLang="zh-TW" sz="1100" baseline="0"/>
            <a:t> won't have detail (like finished goods)</a:t>
          </a:r>
          <a:br>
            <a:rPr lang="en-US" altLang="zh-TW" sz="1100" baseline="0"/>
          </a:br>
          <a:br>
            <a:rPr lang="en-US" altLang="zh-TW" sz="1100" baseline="0"/>
          </a:br>
          <a:r>
            <a:rPr lang="en-US" altLang="zh-TW" sz="1100" baseline="0"/>
            <a:t>go to SEC https://www.sec.gov/Archives/edgar/data//1318605/000156459020047486/tsla-10q_20200930.htm</a:t>
          </a:r>
          <a:br>
            <a:rPr lang="en-US" altLang="zh-TW" sz="1100" baseline="0"/>
          </a:br>
          <a:br>
            <a:rPr lang="en-US" altLang="zh-TW" sz="1100" baseline="0"/>
          </a:br>
          <a:r>
            <a:rPr lang="en-US" altLang="zh-TW" sz="1100" baseline="0"/>
            <a:t>or click sec filing link in https://ir.tesla.com/</a:t>
          </a:r>
          <a:endParaRPr lang="zh-TW" altLang="en-US" sz="1100"/>
        </a:p>
      </xdr:txBody>
    </xdr:sp>
    <xdr:clientData/>
  </xdr:twoCellAnchor>
  <xdr:twoCellAnchor>
    <xdr:from>
      <xdr:col>20</xdr:col>
      <xdr:colOff>911411</xdr:colOff>
      <xdr:row>54</xdr:row>
      <xdr:rowOff>48559</xdr:rowOff>
    </xdr:from>
    <xdr:to>
      <xdr:col>29</xdr:col>
      <xdr:colOff>11207</xdr:colOff>
      <xdr:row>57</xdr:row>
      <xdr:rowOff>130737</xdr:rowOff>
    </xdr:to>
    <xdr:sp macro="" textlink="">
      <xdr:nvSpPr>
        <xdr:cNvPr id="16" name="TextBox 15">
          <a:extLst>
            <a:ext uri="{FF2B5EF4-FFF2-40B4-BE49-F238E27FC236}">
              <a16:creationId xmlns:a16="http://schemas.microsoft.com/office/drawing/2014/main" id="{87FC12D2-FDEA-43DA-ABBB-0725048E9586}"/>
            </a:ext>
          </a:extLst>
        </xdr:cNvPr>
        <xdr:cNvSpPr txBox="1"/>
      </xdr:nvSpPr>
      <xdr:spPr>
        <a:xfrm>
          <a:off x="20824264" y="12688794"/>
          <a:ext cx="6708590" cy="7545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100"/>
            <a:t>Unlevered FCF vs levered</a:t>
          </a:r>
          <a:r>
            <a:rPr lang="en-US" altLang="zh-TW" sz="1100" baseline="0"/>
            <a:t> FCF (DCF Model)</a:t>
          </a:r>
          <a:br>
            <a:rPr lang="en-US" altLang="zh-TW" sz="1100" baseline="0"/>
          </a:br>
          <a:r>
            <a:rPr lang="en-US" altLang="zh-TW" sz="1100" baseline="0"/>
            <a:t>http://www.streetofwalls.com/finance-training-courses/investment-banking-technical-training/discounted-cash-flow-analysis/</a:t>
          </a:r>
          <a:endParaRPr lang="zh-TW" altLang="en-US" sz="1100"/>
        </a:p>
      </xdr:txBody>
    </xdr:sp>
    <xdr:clientData/>
  </xdr:twoCellAnchor>
  <xdr:twoCellAnchor editAs="oneCell">
    <xdr:from>
      <xdr:col>11</xdr:col>
      <xdr:colOff>1272458</xdr:colOff>
      <xdr:row>202</xdr:row>
      <xdr:rowOff>1</xdr:rowOff>
    </xdr:from>
    <xdr:to>
      <xdr:col>20</xdr:col>
      <xdr:colOff>48011</xdr:colOff>
      <xdr:row>207</xdr:row>
      <xdr:rowOff>143684</xdr:rowOff>
    </xdr:to>
    <xdr:pic>
      <xdr:nvPicPr>
        <xdr:cNvPr id="17" name="Picture 16">
          <a:extLst>
            <a:ext uri="{FF2B5EF4-FFF2-40B4-BE49-F238E27FC236}">
              <a16:creationId xmlns:a16="http://schemas.microsoft.com/office/drawing/2014/main" id="{8234E1D4-D01D-4B15-9E71-DB8E8BBA7487}"/>
            </a:ext>
          </a:extLst>
        </xdr:cNvPr>
        <xdr:cNvPicPr>
          <a:picLocks noChangeAspect="1"/>
        </xdr:cNvPicPr>
      </xdr:nvPicPr>
      <xdr:blipFill>
        <a:blip xmlns:r="http://schemas.openxmlformats.org/officeDocument/2006/relationships" r:embed="rId14"/>
        <a:stretch>
          <a:fillRect/>
        </a:stretch>
      </xdr:blipFill>
      <xdr:spPr>
        <a:xfrm>
          <a:off x="9217429" y="44341677"/>
          <a:ext cx="8143671" cy="1365124"/>
        </a:xfrm>
        <a:prstGeom prst="rect">
          <a:avLst/>
        </a:prstGeom>
      </xdr:spPr>
    </xdr:pic>
    <xdr:clientData/>
  </xdr:twoCellAnchor>
  <xdr:twoCellAnchor>
    <xdr:from>
      <xdr:col>27</xdr:col>
      <xdr:colOff>250265</xdr:colOff>
      <xdr:row>0</xdr:row>
      <xdr:rowOff>104588</xdr:rowOff>
    </xdr:from>
    <xdr:to>
      <xdr:col>33</xdr:col>
      <xdr:colOff>268940</xdr:colOff>
      <xdr:row>8</xdr:row>
      <xdr:rowOff>186765</xdr:rowOff>
    </xdr:to>
    <xdr:sp macro="" textlink="">
      <xdr:nvSpPr>
        <xdr:cNvPr id="18" name="TextBox 17">
          <a:extLst>
            <a:ext uri="{FF2B5EF4-FFF2-40B4-BE49-F238E27FC236}">
              <a16:creationId xmlns:a16="http://schemas.microsoft.com/office/drawing/2014/main" id="{7B8532CA-903B-427B-A897-59E2496EE6F2}"/>
            </a:ext>
          </a:extLst>
        </xdr:cNvPr>
        <xdr:cNvSpPr txBox="1"/>
      </xdr:nvSpPr>
      <xdr:spPr>
        <a:xfrm>
          <a:off x="23446441" y="104588"/>
          <a:ext cx="5038911" cy="29284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HK" sz="1400" b="1" i="1">
              <a:solidFill>
                <a:schemeClr val="dk1"/>
              </a:solidFill>
              <a:effectLst/>
              <a:latin typeface="+mn-lt"/>
              <a:ea typeface="+mn-ea"/>
              <a:cs typeface="+mn-cs"/>
            </a:rPr>
            <a:t>https://stockdividendscreener.com/auto-manufacturers/tesla-quarterly-inventory/</a:t>
          </a:r>
          <a:br>
            <a:rPr lang="en-US" altLang="zh-HK" sz="1400" b="1" i="1">
              <a:solidFill>
                <a:schemeClr val="dk1"/>
              </a:solidFill>
              <a:effectLst/>
              <a:latin typeface="+mn-lt"/>
              <a:ea typeface="+mn-ea"/>
              <a:cs typeface="+mn-cs"/>
            </a:rPr>
          </a:br>
          <a:br>
            <a:rPr lang="en-US" altLang="zh-HK" sz="1400" b="1" i="1">
              <a:solidFill>
                <a:schemeClr val="dk1"/>
              </a:solidFill>
              <a:effectLst/>
              <a:latin typeface="+mn-lt"/>
              <a:ea typeface="+mn-ea"/>
              <a:cs typeface="+mn-cs"/>
            </a:rPr>
          </a:br>
          <a:r>
            <a:rPr lang="en-US" altLang="zh-HK" sz="1400" b="1" i="1">
              <a:solidFill>
                <a:schemeClr val="dk1"/>
              </a:solidFill>
              <a:effectLst/>
              <a:latin typeface="+mn-lt"/>
              <a:ea typeface="+mn-ea"/>
              <a:cs typeface="+mn-cs"/>
            </a:rPr>
            <a:t>Inventories and Inventory Valuation</a:t>
          </a:r>
          <a:endParaRPr lang="en-US" altLang="zh-HK" sz="1400" b="0" i="0">
            <a:solidFill>
              <a:schemeClr val="dk1"/>
            </a:solidFill>
            <a:effectLst/>
            <a:latin typeface="+mn-lt"/>
            <a:ea typeface="+mn-ea"/>
            <a:cs typeface="+mn-cs"/>
          </a:endParaRPr>
        </a:p>
        <a:p>
          <a:r>
            <a:rPr lang="en-US" altLang="zh-HK" sz="1400" b="0" i="0">
              <a:solidFill>
                <a:schemeClr val="dk1"/>
              </a:solidFill>
              <a:effectLst/>
              <a:latin typeface="+mn-lt"/>
              <a:ea typeface="+mn-ea"/>
              <a:cs typeface="+mn-cs"/>
            </a:rPr>
            <a:t>   1. Inventories are stated </a:t>
          </a:r>
          <a:r>
            <a:rPr lang="en-US" altLang="zh-HK" sz="1400" b="1" i="0">
              <a:solidFill>
                <a:schemeClr val="dk1"/>
              </a:solidFill>
              <a:effectLst/>
              <a:latin typeface="+mn-lt"/>
              <a:ea typeface="+mn-ea"/>
              <a:cs typeface="+mn-cs"/>
            </a:rPr>
            <a:t>at the lower of cost or market</a:t>
          </a:r>
          <a:r>
            <a:rPr lang="en-US" altLang="zh-HK" sz="1400" b="0" i="0">
              <a:solidFill>
                <a:schemeClr val="dk1"/>
              </a:solidFill>
              <a:effectLst/>
              <a:latin typeface="+mn-lt"/>
              <a:ea typeface="+mn-ea"/>
              <a:cs typeface="+mn-cs"/>
            </a:rPr>
            <a:t>. Cost is computed using standard cost, which approximates actual cost on </a:t>
          </a:r>
          <a:r>
            <a:rPr lang="en-US" altLang="zh-HK" sz="1400" b="1" i="0">
              <a:solidFill>
                <a:schemeClr val="dk1"/>
              </a:solidFill>
              <a:effectLst/>
              <a:latin typeface="+mn-lt"/>
              <a:ea typeface="+mn-ea"/>
              <a:cs typeface="+mn-cs"/>
            </a:rPr>
            <a:t>a first-in, first-out basis. </a:t>
          </a:r>
          <a:br>
            <a:rPr lang="en-US" altLang="zh-HK" sz="1400" b="1" i="0">
              <a:solidFill>
                <a:schemeClr val="dk1"/>
              </a:solidFill>
              <a:effectLst/>
              <a:latin typeface="+mn-lt"/>
              <a:ea typeface="+mn-ea"/>
              <a:cs typeface="+mn-cs"/>
            </a:rPr>
          </a:br>
          <a:r>
            <a:rPr lang="en-US" altLang="zh-HK" sz="1400" b="0" i="0">
              <a:solidFill>
                <a:schemeClr val="dk1"/>
              </a:solidFill>
              <a:effectLst/>
              <a:latin typeface="+mn-lt"/>
              <a:ea typeface="+mn-ea"/>
              <a:cs typeface="+mn-cs"/>
            </a:rPr>
            <a:t>   2. We record </a:t>
          </a:r>
          <a:r>
            <a:rPr lang="en-US" altLang="zh-HK" sz="1400" b="1" i="0">
              <a:solidFill>
                <a:schemeClr val="dk1"/>
              </a:solidFill>
              <a:effectLst/>
              <a:latin typeface="+mn-lt"/>
              <a:ea typeface="+mn-ea"/>
              <a:cs typeface="+mn-cs"/>
            </a:rPr>
            <a:t>inventory write-downs </a:t>
          </a:r>
          <a:r>
            <a:rPr lang="en-US" altLang="zh-HK" sz="1400" b="0" i="0">
              <a:solidFill>
                <a:schemeClr val="dk1"/>
              </a:solidFill>
              <a:effectLst/>
              <a:latin typeface="+mn-lt"/>
              <a:ea typeface="+mn-ea"/>
              <a:cs typeface="+mn-cs"/>
            </a:rPr>
            <a:t>based on reviews for excess and obsolescence determined primarily by future demand forecasts. </a:t>
          </a:r>
          <a:br>
            <a:rPr lang="en-US" altLang="zh-HK" sz="1400" b="0" i="0">
              <a:solidFill>
                <a:schemeClr val="dk1"/>
              </a:solidFill>
              <a:effectLst/>
              <a:latin typeface="+mn-lt"/>
              <a:ea typeface="+mn-ea"/>
              <a:cs typeface="+mn-cs"/>
            </a:rPr>
          </a:br>
          <a:r>
            <a:rPr lang="en-US" altLang="zh-HK" sz="1400" b="0" i="0">
              <a:solidFill>
                <a:schemeClr val="dk1"/>
              </a:solidFill>
              <a:effectLst/>
              <a:latin typeface="+mn-lt"/>
              <a:ea typeface="+mn-ea"/>
              <a:cs typeface="+mn-cs"/>
            </a:rPr>
            <a:t>   3. We also adjust the carrying value of our inventories when we believe that </a:t>
          </a:r>
          <a:r>
            <a:rPr lang="en-US" altLang="zh-HK" sz="1400" b="1" i="0">
              <a:solidFill>
                <a:schemeClr val="dk1"/>
              </a:solidFill>
              <a:effectLst/>
              <a:latin typeface="+mn-lt"/>
              <a:ea typeface="+mn-ea"/>
              <a:cs typeface="+mn-cs"/>
            </a:rPr>
            <a:t>the net realizable value </a:t>
          </a:r>
          <a:r>
            <a:rPr lang="en-US" altLang="zh-HK" sz="1400" b="0" i="0">
              <a:solidFill>
                <a:schemeClr val="dk1"/>
              </a:solidFill>
              <a:effectLst/>
              <a:latin typeface="+mn-lt"/>
              <a:ea typeface="+mn-ea"/>
              <a:cs typeface="+mn-cs"/>
            </a:rPr>
            <a:t>is less </a:t>
          </a:r>
          <a:r>
            <a:rPr lang="en-US" altLang="zh-HK" sz="1400" b="1" i="0">
              <a:solidFill>
                <a:schemeClr val="dk1"/>
              </a:solidFill>
              <a:effectLst/>
              <a:latin typeface="+mn-lt"/>
              <a:ea typeface="+mn-ea"/>
              <a:cs typeface="+mn-cs"/>
            </a:rPr>
            <a:t>than the carrying value</a:t>
          </a:r>
          <a:r>
            <a:rPr lang="en-US" altLang="zh-HK" sz="1400" b="0" i="0">
              <a:solidFill>
                <a:schemeClr val="dk1"/>
              </a:solidFill>
              <a:effectLst/>
              <a:latin typeface="+mn-lt"/>
              <a:ea typeface="+mn-ea"/>
              <a:cs typeface="+mn-cs"/>
            </a:rPr>
            <a:t>. </a:t>
          </a:r>
          <a:br>
            <a:rPr lang="en-US" altLang="zh-HK" sz="1400" b="0" i="0">
              <a:solidFill>
                <a:schemeClr val="dk1"/>
              </a:solidFill>
              <a:effectLst/>
              <a:latin typeface="+mn-lt"/>
              <a:ea typeface="+mn-ea"/>
              <a:cs typeface="+mn-cs"/>
            </a:rPr>
          </a:br>
          <a:r>
            <a:rPr lang="en-US" altLang="zh-HK" sz="1400" b="0" i="0">
              <a:solidFill>
                <a:schemeClr val="dk1"/>
              </a:solidFill>
              <a:effectLst/>
              <a:latin typeface="+mn-lt"/>
              <a:ea typeface="+mn-ea"/>
              <a:cs typeface="+mn-cs"/>
            </a:rPr>
            <a:t>   4. These write-downs are measured as the difference between the cost of the inventory, including estimated costs to complete, and estimated selling prices. Once inventory is written down, a new, lower-cost basis for that inventory is established, and subsequent changes in facts and circumstances do not result in the restoration or increase in that newly established cost basis.</a:t>
          </a:r>
          <a:br>
            <a:rPr lang="en-US" altLang="zh-HK" sz="1400" b="0" i="0">
              <a:solidFill>
                <a:schemeClr val="dk1"/>
              </a:solidFill>
              <a:effectLst/>
              <a:latin typeface="+mn-lt"/>
              <a:ea typeface="+mn-ea"/>
              <a:cs typeface="+mn-cs"/>
            </a:rPr>
          </a:br>
          <a:br>
            <a:rPr lang="en-US" altLang="zh-HK" sz="1400" b="0" i="0">
              <a:solidFill>
                <a:schemeClr val="dk1"/>
              </a:solidFill>
              <a:effectLst/>
              <a:latin typeface="+mn-lt"/>
              <a:ea typeface="+mn-ea"/>
              <a:cs typeface="+mn-cs"/>
            </a:rPr>
          </a:br>
          <a:r>
            <a:rPr lang="en-US" altLang="zh-HK" sz="1400" b="1" i="0">
              <a:solidFill>
                <a:schemeClr val="dk1"/>
              </a:solidFill>
              <a:effectLst/>
              <a:latin typeface="+mn-lt"/>
              <a:ea typeface="+mn-ea"/>
              <a:cs typeface="+mn-cs"/>
            </a:rPr>
            <a:t>Selling Cost in NRV</a:t>
          </a:r>
          <a:br>
            <a:rPr lang="en-US" altLang="zh-HK" sz="1400" b="0" i="0">
              <a:solidFill>
                <a:schemeClr val="dk1"/>
              </a:solidFill>
              <a:effectLst/>
              <a:latin typeface="+mn-lt"/>
              <a:ea typeface="+mn-ea"/>
              <a:cs typeface="+mn-cs"/>
            </a:rPr>
          </a:br>
          <a:r>
            <a:rPr lang="en-US" altLang="zh-HK" sz="1400" b="0" i="0">
              <a:solidFill>
                <a:schemeClr val="dk1"/>
              </a:solidFill>
              <a:effectLst/>
              <a:latin typeface="+mn-lt"/>
              <a:ea typeface="+mn-ea"/>
              <a:cs typeface="+mn-cs"/>
            </a:rPr>
            <a:t>When a company buys inventory, it may incur extra costs to store or prepare the goods for sale. The costs associated with storing inventory are referred to as the </a:t>
          </a:r>
          <a:r>
            <a:rPr lang="en-US" altLang="zh-HK" sz="1400" b="0" i="0" u="sng">
              <a:solidFill>
                <a:schemeClr val="dk1"/>
              </a:solidFill>
              <a:effectLst/>
              <a:latin typeface="+mn-lt"/>
              <a:ea typeface="+mn-ea"/>
              <a:cs typeface="+mn-cs"/>
              <a:hlinkClick xmlns:r="http://schemas.openxmlformats.org/officeDocument/2006/relationships" r:id=""/>
            </a:rPr>
            <a:t>carrying cost of inventory</a:t>
          </a:r>
          <a:r>
            <a:rPr lang="en-US" altLang="zh-HK" sz="1400" b="0" i="0">
              <a:solidFill>
                <a:schemeClr val="dk1"/>
              </a:solidFill>
              <a:effectLst/>
              <a:latin typeface="+mn-lt"/>
              <a:ea typeface="+mn-ea"/>
              <a:cs typeface="+mn-cs"/>
            </a:rPr>
            <a:t>. Assume, for example, </a:t>
          </a:r>
          <a:r>
            <a:rPr lang="en-US" altLang="zh-HK" sz="1400" b="0" i="1" u="sng">
              <a:solidFill>
                <a:schemeClr val="dk1"/>
              </a:solidFill>
              <a:effectLst/>
              <a:latin typeface="+mn-lt"/>
              <a:ea typeface="+mn-ea"/>
              <a:cs typeface="+mn-cs"/>
            </a:rPr>
            <a:t>a retailer purchases large pieces of expensive furniture as inventory, and the company has to build a display case and hire a contractor to carefully move the furniture </a:t>
          </a:r>
          <a:r>
            <a:rPr lang="en-US" altLang="zh-HK" sz="1400" b="1" i="1" u="sng">
              <a:solidFill>
                <a:schemeClr val="dk1"/>
              </a:solidFill>
              <a:effectLst/>
              <a:latin typeface="+mn-lt"/>
              <a:ea typeface="+mn-ea"/>
              <a:cs typeface="+mn-cs"/>
            </a:rPr>
            <a:t>to the buyer's home</a:t>
          </a:r>
          <a:r>
            <a:rPr lang="en-US" altLang="zh-HK" sz="1400" b="0" i="1" u="sng">
              <a:solidFill>
                <a:schemeClr val="dk1"/>
              </a:solidFill>
              <a:effectLst/>
              <a:latin typeface="+mn-lt"/>
              <a:ea typeface="+mn-ea"/>
              <a:cs typeface="+mn-cs"/>
            </a:rPr>
            <a:t>. </a:t>
          </a:r>
          <a:r>
            <a:rPr lang="en-US" altLang="zh-HK" sz="1400" b="0" i="0">
              <a:solidFill>
                <a:schemeClr val="dk1"/>
              </a:solidFill>
              <a:effectLst/>
              <a:latin typeface="+mn-lt"/>
              <a:ea typeface="+mn-ea"/>
              <a:cs typeface="+mn-cs"/>
            </a:rPr>
            <a:t>These </a:t>
          </a:r>
          <a:r>
            <a:rPr lang="en-US" altLang="zh-HK" sz="1400" b="1" i="0">
              <a:solidFill>
                <a:schemeClr val="dk1"/>
              </a:solidFill>
              <a:effectLst/>
              <a:latin typeface="+mn-lt"/>
              <a:ea typeface="+mn-ea"/>
              <a:cs typeface="+mn-cs"/>
            </a:rPr>
            <a:t>extra</a:t>
          </a:r>
          <a:r>
            <a:rPr lang="en-US" altLang="zh-HK" sz="1400" b="0" i="0">
              <a:solidFill>
                <a:schemeClr val="dk1"/>
              </a:solidFill>
              <a:effectLst/>
              <a:latin typeface="+mn-lt"/>
              <a:ea typeface="+mn-ea"/>
              <a:cs typeface="+mn-cs"/>
            </a:rPr>
            <a:t> costs are subtracted from the selling price to compute the NRV.</a:t>
          </a:r>
          <a:br>
            <a:rPr lang="en-US" altLang="zh-HK" sz="1400" b="0" i="0">
              <a:solidFill>
                <a:schemeClr val="dk1"/>
              </a:solidFill>
              <a:effectLst/>
              <a:latin typeface="+mn-lt"/>
              <a:ea typeface="+mn-ea"/>
              <a:cs typeface="+mn-cs"/>
            </a:rPr>
          </a:br>
          <a:br>
            <a:rPr lang="en-US" altLang="zh-HK" sz="1400" b="0" i="0">
              <a:solidFill>
                <a:schemeClr val="dk1"/>
              </a:solidFill>
              <a:effectLst/>
              <a:latin typeface="+mn-lt"/>
              <a:ea typeface="+mn-ea"/>
              <a:cs typeface="+mn-cs"/>
            </a:rPr>
          </a:br>
          <a:br>
            <a:rPr lang="en-US" altLang="zh-HK" sz="1400" b="0" i="0">
              <a:solidFill>
                <a:schemeClr val="dk1"/>
              </a:solidFill>
              <a:effectLst/>
              <a:latin typeface="+mn-lt"/>
              <a:ea typeface="+mn-ea"/>
              <a:cs typeface="+mn-cs"/>
            </a:rPr>
          </a:br>
          <a:r>
            <a:rPr lang="en-US" altLang="zh-HK" sz="1400" b="1" i="0">
              <a:solidFill>
                <a:schemeClr val="dk1"/>
              </a:solidFill>
              <a:effectLst/>
              <a:latin typeface="+mn-lt"/>
              <a:ea typeface="+mn-ea"/>
              <a:cs typeface="+mn-cs"/>
            </a:rPr>
            <a:t>Cost of automotive sales revenue </a:t>
          </a:r>
          <a:br>
            <a:rPr lang="en-US" altLang="zh-HK" sz="1400" b="0" i="0">
              <a:solidFill>
                <a:schemeClr val="dk1"/>
              </a:solidFill>
              <a:effectLst/>
              <a:latin typeface="+mn-lt"/>
              <a:ea typeface="+mn-ea"/>
              <a:cs typeface="+mn-cs"/>
            </a:rPr>
          </a:br>
          <a:r>
            <a:rPr lang="en-US" altLang="zh-HK" sz="1400" b="0" i="0">
              <a:solidFill>
                <a:schemeClr val="dk1"/>
              </a:solidFill>
              <a:effectLst/>
              <a:latin typeface="+mn-lt"/>
              <a:ea typeface="+mn-ea"/>
              <a:cs typeface="+mn-cs"/>
            </a:rPr>
            <a:t>Cost of automotive sales revenue includes direct parts, material and labor costs, manufacturing overhead, including depreciation costs of tooling and machinery, shipping and logistic costs, vehicle connectivity costs, allocations of electricity and infrastructure costs related to our Supercharger network, and reserves for estimated warranty expenses</a:t>
          </a:r>
          <a:br>
            <a:rPr lang="en-US" altLang="zh-HK" sz="1400" b="0" i="0">
              <a:solidFill>
                <a:schemeClr val="dk1"/>
              </a:solidFill>
              <a:effectLst/>
              <a:latin typeface="+mn-lt"/>
              <a:ea typeface="+mn-ea"/>
              <a:cs typeface="+mn-cs"/>
            </a:rPr>
          </a:br>
          <a:br>
            <a:rPr lang="en-US" altLang="zh-HK" sz="1400" b="0" i="0">
              <a:solidFill>
                <a:schemeClr val="dk1"/>
              </a:solidFill>
              <a:effectLst/>
              <a:latin typeface="+mn-lt"/>
              <a:ea typeface="+mn-ea"/>
              <a:cs typeface="+mn-cs"/>
            </a:rPr>
          </a:br>
          <a:br>
            <a:rPr lang="en-US" altLang="zh-HK" sz="1400" b="0" i="0">
              <a:solidFill>
                <a:schemeClr val="dk1"/>
              </a:solidFill>
              <a:effectLst/>
              <a:latin typeface="+mn-lt"/>
              <a:ea typeface="+mn-ea"/>
              <a:cs typeface="+mn-cs"/>
            </a:rPr>
          </a:br>
          <a:br>
            <a:rPr lang="en-US" altLang="zh-HK" sz="1400" b="0" i="0">
              <a:solidFill>
                <a:schemeClr val="dk1"/>
              </a:solidFill>
              <a:effectLst/>
              <a:latin typeface="+mn-lt"/>
              <a:ea typeface="+mn-ea"/>
              <a:cs typeface="+mn-cs"/>
            </a:rPr>
          </a:br>
          <a:endParaRPr lang="en-US" altLang="zh-HK" sz="1400" b="0" i="0">
            <a:solidFill>
              <a:schemeClr val="dk1"/>
            </a:solidFill>
            <a:effectLst/>
            <a:latin typeface="+mn-lt"/>
            <a:ea typeface="+mn-ea"/>
            <a:cs typeface="+mn-cs"/>
          </a:endParaRPr>
        </a:p>
        <a:p>
          <a:endParaRPr lang="zh-TW" altLang="en-US" sz="1100"/>
        </a:p>
      </xdr:txBody>
    </xdr:sp>
    <xdr:clientData/>
  </xdr:twoCellAnchor>
  <xdr:twoCellAnchor>
    <xdr:from>
      <xdr:col>20</xdr:col>
      <xdr:colOff>179294</xdr:colOff>
      <xdr:row>12</xdr:row>
      <xdr:rowOff>70971</xdr:rowOff>
    </xdr:from>
    <xdr:to>
      <xdr:col>27</xdr:col>
      <xdr:colOff>93382</xdr:colOff>
      <xdr:row>16</xdr:row>
      <xdr:rowOff>56031</xdr:rowOff>
    </xdr:to>
    <xdr:sp macro="" textlink="">
      <xdr:nvSpPr>
        <xdr:cNvPr id="19" name="TextBox 18">
          <a:extLst>
            <a:ext uri="{FF2B5EF4-FFF2-40B4-BE49-F238E27FC236}">
              <a16:creationId xmlns:a16="http://schemas.microsoft.com/office/drawing/2014/main" id="{4B5AE6EF-B3F0-4769-950A-C4772ED966E6}"/>
            </a:ext>
          </a:extLst>
        </xdr:cNvPr>
        <xdr:cNvSpPr txBox="1"/>
      </xdr:nvSpPr>
      <xdr:spPr>
        <a:xfrm>
          <a:off x="20092147" y="3768912"/>
          <a:ext cx="6099735" cy="8479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HK" sz="1100" b="1" i="1">
              <a:solidFill>
                <a:schemeClr val="dk1"/>
              </a:solidFill>
              <a:effectLst/>
              <a:latin typeface="+mn-lt"/>
              <a:ea typeface="+mn-ea"/>
              <a:cs typeface="+mn-cs"/>
            </a:rPr>
            <a:t>Warranties</a:t>
          </a:r>
          <a:endParaRPr lang="en-US" altLang="zh-HK" sz="1100" b="0" i="0">
            <a:solidFill>
              <a:schemeClr val="dk1"/>
            </a:solidFill>
            <a:effectLst/>
            <a:latin typeface="+mn-lt"/>
            <a:ea typeface="+mn-ea"/>
            <a:cs typeface="+mn-cs"/>
          </a:endParaRPr>
        </a:p>
        <a:p>
          <a:r>
            <a:rPr lang="en-US" altLang="zh-HK" sz="1100" b="0" i="0">
              <a:solidFill>
                <a:schemeClr val="dk1"/>
              </a:solidFill>
              <a:effectLst/>
              <a:latin typeface="+mn-lt"/>
              <a:ea typeface="+mn-ea"/>
              <a:cs typeface="+mn-cs"/>
            </a:rPr>
            <a:t>We began recording warranty reserves with the commencement of Tesla Roadster sales in 2008. Initially, Tesla Roadsters were sold with a warranty of four years or 50,000 miles. More recently, Tesla Roadsters have been sold with a warranty of three years or 36,000 miles. Accrued warranty activity consisted of the following for the periods presented (in thousands):</a:t>
          </a:r>
        </a:p>
        <a:p>
          <a:endParaRPr lang="zh-TW"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533400</xdr:colOff>
      <xdr:row>0</xdr:row>
      <xdr:rowOff>1143000</xdr:rowOff>
    </xdr:from>
    <xdr:to>
      <xdr:col>20</xdr:col>
      <xdr:colOff>523875</xdr:colOff>
      <xdr:row>1</xdr:row>
      <xdr:rowOff>285750</xdr:rowOff>
    </xdr:to>
    <xdr:sp macro="" textlink="">
      <xdr:nvSpPr>
        <xdr:cNvPr id="2" name="TextBox 1">
          <a:extLst>
            <a:ext uri="{FF2B5EF4-FFF2-40B4-BE49-F238E27FC236}">
              <a16:creationId xmlns:a16="http://schemas.microsoft.com/office/drawing/2014/main" id="{EF228DDB-6F22-4B1F-8C2C-B843AC72FB56}"/>
            </a:ext>
          </a:extLst>
        </xdr:cNvPr>
        <xdr:cNvSpPr txBox="1"/>
      </xdr:nvSpPr>
      <xdr:spPr>
        <a:xfrm>
          <a:off x="8905875" y="1143000"/>
          <a:ext cx="6296025"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100"/>
            <a:t>https://www.dividend.com/stocks/consumer-staples/consumer-products/household-products/cl-colgate-palmolive/</a:t>
          </a:r>
          <a:br>
            <a:rPr lang="en-US" altLang="zh-TW" sz="1100"/>
          </a:br>
          <a:br>
            <a:rPr lang="en-US" altLang="zh-TW" sz="1100"/>
          </a:br>
          <a:br>
            <a:rPr lang="en-US" altLang="zh-TW" sz="1100"/>
          </a:br>
          <a:r>
            <a:rPr lang="en-US" altLang="zh-TW" sz="1100"/>
            <a:t>https://www.fool.com/investing/general/2011/12/17/how-does-colgate-palmolive-boost-its-returns.aspx</a:t>
          </a:r>
          <a:endParaRPr lang="zh-TW"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20</xdr:col>
      <xdr:colOff>561975</xdr:colOff>
      <xdr:row>28</xdr:row>
      <xdr:rowOff>9525</xdr:rowOff>
    </xdr:from>
    <xdr:to>
      <xdr:col>30</xdr:col>
      <xdr:colOff>219075</xdr:colOff>
      <xdr:row>47</xdr:row>
      <xdr:rowOff>104775</xdr:rowOff>
    </xdr:to>
    <xdr:pic>
      <xdr:nvPicPr>
        <xdr:cNvPr id="2" name="Picture 1" descr="lithium ion battery production ">
          <a:extLst>
            <a:ext uri="{FF2B5EF4-FFF2-40B4-BE49-F238E27FC236}">
              <a16:creationId xmlns:a16="http://schemas.microsoft.com/office/drawing/2014/main" id="{4487F1A7-EE3F-4B88-992E-14F8A8F71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53975" y="5610225"/>
          <a:ext cx="5753100" cy="389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314325</xdr:colOff>
      <xdr:row>7</xdr:row>
      <xdr:rowOff>0</xdr:rowOff>
    </xdr:from>
    <xdr:to>
      <xdr:col>30</xdr:col>
      <xdr:colOff>276225</xdr:colOff>
      <xdr:row>26</xdr:row>
      <xdr:rowOff>168486</xdr:rowOff>
    </xdr:to>
    <xdr:pic>
      <xdr:nvPicPr>
        <xdr:cNvPr id="3" name="Picture 2" descr="battery megafactories ">
          <a:extLst>
            <a:ext uri="{FF2B5EF4-FFF2-40B4-BE49-F238E27FC236}">
              <a16:creationId xmlns:a16="http://schemas.microsoft.com/office/drawing/2014/main" id="{06E5ACAD-6314-4938-AD5A-0DEAC7DA50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115925" y="1400175"/>
          <a:ext cx="5448300" cy="39689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419100</xdr:colOff>
      <xdr:row>6</xdr:row>
      <xdr:rowOff>28575</xdr:rowOff>
    </xdr:from>
    <xdr:to>
      <xdr:col>14</xdr:col>
      <xdr:colOff>27557</xdr:colOff>
      <xdr:row>31</xdr:row>
      <xdr:rowOff>85093</xdr:rowOff>
    </xdr:to>
    <xdr:pic>
      <xdr:nvPicPr>
        <xdr:cNvPr id="5" name="Picture 4">
          <a:extLst>
            <a:ext uri="{FF2B5EF4-FFF2-40B4-BE49-F238E27FC236}">
              <a16:creationId xmlns:a16="http://schemas.microsoft.com/office/drawing/2014/main" id="{05B14A74-CC2B-497C-B889-D95DBFDB2E3D}"/>
            </a:ext>
          </a:extLst>
        </xdr:cNvPr>
        <xdr:cNvPicPr>
          <a:picLocks noChangeAspect="1"/>
        </xdr:cNvPicPr>
      </xdr:nvPicPr>
      <xdr:blipFill>
        <a:blip xmlns:r="http://schemas.openxmlformats.org/officeDocument/2006/relationships" r:embed="rId3"/>
        <a:stretch>
          <a:fillRect/>
        </a:stretch>
      </xdr:blipFill>
      <xdr:spPr>
        <a:xfrm>
          <a:off x="419100" y="1228725"/>
          <a:ext cx="8142857" cy="5057143"/>
        </a:xfrm>
        <a:prstGeom prst="rect">
          <a:avLst/>
        </a:prstGeom>
      </xdr:spPr>
    </xdr:pic>
    <xdr:clientData/>
  </xdr:twoCellAnchor>
  <xdr:twoCellAnchor editAs="oneCell">
    <xdr:from>
      <xdr:col>0</xdr:col>
      <xdr:colOff>381000</xdr:colOff>
      <xdr:row>34</xdr:row>
      <xdr:rowOff>19050</xdr:rowOff>
    </xdr:from>
    <xdr:to>
      <xdr:col>16</xdr:col>
      <xdr:colOff>113114</xdr:colOff>
      <xdr:row>63</xdr:row>
      <xdr:rowOff>180230</xdr:rowOff>
    </xdr:to>
    <xdr:pic>
      <xdr:nvPicPr>
        <xdr:cNvPr id="6" name="Picture 5">
          <a:extLst>
            <a:ext uri="{FF2B5EF4-FFF2-40B4-BE49-F238E27FC236}">
              <a16:creationId xmlns:a16="http://schemas.microsoft.com/office/drawing/2014/main" id="{58559F8B-D377-448F-AC79-D9C8A335B3C9}"/>
            </a:ext>
          </a:extLst>
        </xdr:cNvPr>
        <xdr:cNvPicPr>
          <a:picLocks noChangeAspect="1"/>
        </xdr:cNvPicPr>
      </xdr:nvPicPr>
      <xdr:blipFill>
        <a:blip xmlns:r="http://schemas.openxmlformats.org/officeDocument/2006/relationships" r:embed="rId4"/>
        <a:stretch>
          <a:fillRect/>
        </a:stretch>
      </xdr:blipFill>
      <xdr:spPr>
        <a:xfrm>
          <a:off x="381000" y="6819900"/>
          <a:ext cx="9485714" cy="5961905"/>
        </a:xfrm>
        <a:prstGeom prst="rect">
          <a:avLst/>
        </a:prstGeom>
      </xdr:spPr>
    </xdr:pic>
    <xdr:clientData/>
  </xdr:twoCellAnchor>
  <xdr:twoCellAnchor editAs="oneCell">
    <xdr:from>
      <xdr:col>1</xdr:col>
      <xdr:colOff>0</xdr:colOff>
      <xdr:row>66</xdr:row>
      <xdr:rowOff>0</xdr:rowOff>
    </xdr:from>
    <xdr:to>
      <xdr:col>15</xdr:col>
      <xdr:colOff>360838</xdr:colOff>
      <xdr:row>81</xdr:row>
      <xdr:rowOff>75815</xdr:rowOff>
    </xdr:to>
    <xdr:pic>
      <xdr:nvPicPr>
        <xdr:cNvPr id="7" name="Picture 6">
          <a:extLst>
            <a:ext uri="{FF2B5EF4-FFF2-40B4-BE49-F238E27FC236}">
              <a16:creationId xmlns:a16="http://schemas.microsoft.com/office/drawing/2014/main" id="{61C6AA2C-A9E2-422C-8582-8A783222884D}"/>
            </a:ext>
          </a:extLst>
        </xdr:cNvPr>
        <xdr:cNvPicPr>
          <a:picLocks noChangeAspect="1"/>
        </xdr:cNvPicPr>
      </xdr:nvPicPr>
      <xdr:blipFill>
        <a:blip xmlns:r="http://schemas.openxmlformats.org/officeDocument/2006/relationships" r:embed="rId5"/>
        <a:stretch>
          <a:fillRect/>
        </a:stretch>
      </xdr:blipFill>
      <xdr:spPr>
        <a:xfrm>
          <a:off x="609600" y="13201650"/>
          <a:ext cx="8895238" cy="3076190"/>
        </a:xfrm>
        <a:prstGeom prst="rect">
          <a:avLst/>
        </a:prstGeom>
      </xdr:spPr>
    </xdr:pic>
    <xdr:clientData/>
  </xdr:twoCellAnchor>
  <xdr:twoCellAnchor editAs="oneCell">
    <xdr:from>
      <xdr:col>17</xdr:col>
      <xdr:colOff>38100</xdr:colOff>
      <xdr:row>64</xdr:row>
      <xdr:rowOff>9525</xdr:rowOff>
    </xdr:from>
    <xdr:to>
      <xdr:col>29</xdr:col>
      <xdr:colOff>189567</xdr:colOff>
      <xdr:row>88</xdr:row>
      <xdr:rowOff>85115</xdr:rowOff>
    </xdr:to>
    <xdr:pic>
      <xdr:nvPicPr>
        <xdr:cNvPr id="8" name="Picture 7">
          <a:extLst>
            <a:ext uri="{FF2B5EF4-FFF2-40B4-BE49-F238E27FC236}">
              <a16:creationId xmlns:a16="http://schemas.microsoft.com/office/drawing/2014/main" id="{AB03E788-06BB-4215-B22F-AD946D6C15DE}"/>
            </a:ext>
          </a:extLst>
        </xdr:cNvPr>
        <xdr:cNvPicPr>
          <a:picLocks noChangeAspect="1"/>
        </xdr:cNvPicPr>
      </xdr:nvPicPr>
      <xdr:blipFill>
        <a:blip xmlns:r="http://schemas.openxmlformats.org/officeDocument/2006/relationships" r:embed="rId6"/>
        <a:stretch>
          <a:fillRect/>
        </a:stretch>
      </xdr:blipFill>
      <xdr:spPr>
        <a:xfrm>
          <a:off x="10401300" y="12811125"/>
          <a:ext cx="7466667" cy="4876190"/>
        </a:xfrm>
        <a:prstGeom prst="rect">
          <a:avLst/>
        </a:prstGeom>
      </xdr:spPr>
    </xdr:pic>
    <xdr:clientData/>
  </xdr:twoCellAnchor>
  <xdr:twoCellAnchor editAs="oneCell">
    <xdr:from>
      <xdr:col>1</xdr:col>
      <xdr:colOff>0</xdr:colOff>
      <xdr:row>85</xdr:row>
      <xdr:rowOff>0</xdr:rowOff>
    </xdr:from>
    <xdr:to>
      <xdr:col>15</xdr:col>
      <xdr:colOff>275124</xdr:colOff>
      <xdr:row>102</xdr:row>
      <xdr:rowOff>37670</xdr:rowOff>
    </xdr:to>
    <xdr:pic>
      <xdr:nvPicPr>
        <xdr:cNvPr id="9" name="Picture 8">
          <a:extLst>
            <a:ext uri="{FF2B5EF4-FFF2-40B4-BE49-F238E27FC236}">
              <a16:creationId xmlns:a16="http://schemas.microsoft.com/office/drawing/2014/main" id="{DCD20CFC-AD25-4594-AC76-50346B1B2263}"/>
            </a:ext>
          </a:extLst>
        </xdr:cNvPr>
        <xdr:cNvPicPr>
          <a:picLocks noChangeAspect="1"/>
        </xdr:cNvPicPr>
      </xdr:nvPicPr>
      <xdr:blipFill>
        <a:blip xmlns:r="http://schemas.openxmlformats.org/officeDocument/2006/relationships" r:embed="rId7"/>
        <a:stretch>
          <a:fillRect/>
        </a:stretch>
      </xdr:blipFill>
      <xdr:spPr>
        <a:xfrm>
          <a:off x="609600" y="17002125"/>
          <a:ext cx="8809524" cy="3438095"/>
        </a:xfrm>
        <a:prstGeom prst="rect">
          <a:avLst/>
        </a:prstGeom>
      </xdr:spPr>
    </xdr:pic>
    <xdr:clientData/>
  </xdr:twoCellAnchor>
  <xdr:twoCellAnchor editAs="oneCell">
    <xdr:from>
      <xdr:col>16</xdr:col>
      <xdr:colOff>202757</xdr:colOff>
      <xdr:row>96</xdr:row>
      <xdr:rowOff>76200</xdr:rowOff>
    </xdr:from>
    <xdr:to>
      <xdr:col>28</xdr:col>
      <xdr:colOff>589308</xdr:colOff>
      <xdr:row>123</xdr:row>
      <xdr:rowOff>132470</xdr:rowOff>
    </xdr:to>
    <xdr:pic>
      <xdr:nvPicPr>
        <xdr:cNvPr id="10" name="Picture 9">
          <a:extLst>
            <a:ext uri="{FF2B5EF4-FFF2-40B4-BE49-F238E27FC236}">
              <a16:creationId xmlns:a16="http://schemas.microsoft.com/office/drawing/2014/main" id="{829F03E1-F3F0-4EFC-997F-A5E64AECFD5D}"/>
            </a:ext>
          </a:extLst>
        </xdr:cNvPr>
        <xdr:cNvPicPr>
          <a:picLocks noChangeAspect="1"/>
        </xdr:cNvPicPr>
      </xdr:nvPicPr>
      <xdr:blipFill>
        <a:blip xmlns:r="http://schemas.openxmlformats.org/officeDocument/2006/relationships" r:embed="rId8"/>
        <a:stretch>
          <a:fillRect/>
        </a:stretch>
      </xdr:blipFill>
      <xdr:spPr>
        <a:xfrm>
          <a:off x="9956357" y="19278600"/>
          <a:ext cx="7701751" cy="5456945"/>
        </a:xfrm>
        <a:prstGeom prst="rect">
          <a:avLst/>
        </a:prstGeom>
      </xdr:spPr>
    </xdr:pic>
    <xdr:clientData/>
  </xdr:twoCellAnchor>
  <xdr:twoCellAnchor editAs="oneCell">
    <xdr:from>
      <xdr:col>1</xdr:col>
      <xdr:colOff>0</xdr:colOff>
      <xdr:row>108</xdr:row>
      <xdr:rowOff>0</xdr:rowOff>
    </xdr:from>
    <xdr:to>
      <xdr:col>16</xdr:col>
      <xdr:colOff>17905</xdr:colOff>
      <xdr:row>118</xdr:row>
      <xdr:rowOff>114036</xdr:rowOff>
    </xdr:to>
    <xdr:pic>
      <xdr:nvPicPr>
        <xdr:cNvPr id="11" name="Picture 10">
          <a:extLst>
            <a:ext uri="{FF2B5EF4-FFF2-40B4-BE49-F238E27FC236}">
              <a16:creationId xmlns:a16="http://schemas.microsoft.com/office/drawing/2014/main" id="{DE747CB0-49A4-4971-BE6A-EFA6401D5A82}"/>
            </a:ext>
          </a:extLst>
        </xdr:cNvPr>
        <xdr:cNvPicPr>
          <a:picLocks noChangeAspect="1"/>
        </xdr:cNvPicPr>
      </xdr:nvPicPr>
      <xdr:blipFill>
        <a:blip xmlns:r="http://schemas.openxmlformats.org/officeDocument/2006/relationships" r:embed="rId9"/>
        <a:stretch>
          <a:fillRect/>
        </a:stretch>
      </xdr:blipFill>
      <xdr:spPr>
        <a:xfrm>
          <a:off x="609600" y="21602700"/>
          <a:ext cx="9161905" cy="2114286"/>
        </a:xfrm>
        <a:prstGeom prst="rect">
          <a:avLst/>
        </a:prstGeom>
      </xdr:spPr>
    </xdr:pic>
    <xdr:clientData/>
  </xdr:twoCellAnchor>
  <xdr:twoCellAnchor editAs="oneCell">
    <xdr:from>
      <xdr:col>1</xdr:col>
      <xdr:colOff>76200</xdr:colOff>
      <xdr:row>119</xdr:row>
      <xdr:rowOff>127584</xdr:rowOff>
    </xdr:from>
    <xdr:to>
      <xdr:col>13</xdr:col>
      <xdr:colOff>152400</xdr:colOff>
      <xdr:row>143</xdr:row>
      <xdr:rowOff>46412</xdr:rowOff>
    </xdr:to>
    <xdr:pic>
      <xdr:nvPicPr>
        <xdr:cNvPr id="12" name="Picture 11">
          <a:extLst>
            <a:ext uri="{FF2B5EF4-FFF2-40B4-BE49-F238E27FC236}">
              <a16:creationId xmlns:a16="http://schemas.microsoft.com/office/drawing/2014/main" id="{1B956FC5-4C62-4EB3-8702-345970BA4DA0}"/>
            </a:ext>
          </a:extLst>
        </xdr:cNvPr>
        <xdr:cNvPicPr>
          <a:picLocks noChangeAspect="1"/>
        </xdr:cNvPicPr>
      </xdr:nvPicPr>
      <xdr:blipFill>
        <a:blip xmlns:r="http://schemas.openxmlformats.org/officeDocument/2006/relationships" r:embed="rId10"/>
        <a:stretch>
          <a:fillRect/>
        </a:stretch>
      </xdr:blipFill>
      <xdr:spPr>
        <a:xfrm>
          <a:off x="685800" y="23930559"/>
          <a:ext cx="7391400" cy="471942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152399</xdr:colOff>
      <xdr:row>12</xdr:row>
      <xdr:rowOff>57150</xdr:rowOff>
    </xdr:from>
    <xdr:to>
      <xdr:col>12</xdr:col>
      <xdr:colOff>581024</xdr:colOff>
      <xdr:row>30</xdr:row>
      <xdr:rowOff>43840</xdr:rowOff>
    </xdr:to>
    <xdr:pic>
      <xdr:nvPicPr>
        <xdr:cNvPr id="2" name="Picture 1">
          <a:extLst>
            <a:ext uri="{FF2B5EF4-FFF2-40B4-BE49-F238E27FC236}">
              <a16:creationId xmlns:a16="http://schemas.microsoft.com/office/drawing/2014/main" id="{E86B9E5F-385C-49DD-85AC-32ECF5602701}"/>
            </a:ext>
          </a:extLst>
        </xdr:cNvPr>
        <xdr:cNvPicPr>
          <a:picLocks noChangeAspect="1"/>
        </xdr:cNvPicPr>
      </xdr:nvPicPr>
      <xdr:blipFill>
        <a:blip xmlns:r="http://schemas.openxmlformats.org/officeDocument/2006/relationships" r:embed="rId1"/>
        <a:stretch>
          <a:fillRect/>
        </a:stretch>
      </xdr:blipFill>
      <xdr:spPr>
        <a:xfrm>
          <a:off x="152399" y="2466975"/>
          <a:ext cx="7743825" cy="3587140"/>
        </a:xfrm>
        <a:prstGeom prst="rect">
          <a:avLst/>
        </a:prstGeom>
      </xdr:spPr>
    </xdr:pic>
    <xdr:clientData/>
  </xdr:twoCellAnchor>
  <xdr:twoCellAnchor editAs="oneCell">
    <xdr:from>
      <xdr:col>15</xdr:col>
      <xdr:colOff>114300</xdr:colOff>
      <xdr:row>11</xdr:row>
      <xdr:rowOff>76014</xdr:rowOff>
    </xdr:from>
    <xdr:to>
      <xdr:col>26</xdr:col>
      <xdr:colOff>599092</xdr:colOff>
      <xdr:row>38</xdr:row>
      <xdr:rowOff>132601</xdr:rowOff>
    </xdr:to>
    <xdr:pic>
      <xdr:nvPicPr>
        <xdr:cNvPr id="3" name="Picture 2">
          <a:extLst>
            <a:ext uri="{FF2B5EF4-FFF2-40B4-BE49-F238E27FC236}">
              <a16:creationId xmlns:a16="http://schemas.microsoft.com/office/drawing/2014/main" id="{B3114921-48C3-4EE1-A49B-98F72B608E07}"/>
            </a:ext>
          </a:extLst>
        </xdr:cNvPr>
        <xdr:cNvPicPr>
          <a:picLocks noChangeAspect="1"/>
        </xdr:cNvPicPr>
      </xdr:nvPicPr>
      <xdr:blipFill>
        <a:blip xmlns:r="http://schemas.openxmlformats.org/officeDocument/2006/relationships" r:embed="rId2"/>
        <a:stretch>
          <a:fillRect/>
        </a:stretch>
      </xdr:blipFill>
      <xdr:spPr>
        <a:xfrm>
          <a:off x="9258300" y="2285814"/>
          <a:ext cx="7190392" cy="5466787"/>
        </a:xfrm>
        <a:prstGeom prst="rect">
          <a:avLst/>
        </a:prstGeom>
      </xdr:spPr>
    </xdr:pic>
    <xdr:clientData/>
  </xdr:twoCellAnchor>
  <xdr:twoCellAnchor editAs="oneCell">
    <xdr:from>
      <xdr:col>0</xdr:col>
      <xdr:colOff>152400</xdr:colOff>
      <xdr:row>44</xdr:row>
      <xdr:rowOff>95250</xdr:rowOff>
    </xdr:from>
    <xdr:to>
      <xdr:col>11</xdr:col>
      <xdr:colOff>608705</xdr:colOff>
      <xdr:row>63</xdr:row>
      <xdr:rowOff>28107</xdr:rowOff>
    </xdr:to>
    <xdr:pic>
      <xdr:nvPicPr>
        <xdr:cNvPr id="5" name="Picture 4">
          <a:extLst>
            <a:ext uri="{FF2B5EF4-FFF2-40B4-BE49-F238E27FC236}">
              <a16:creationId xmlns:a16="http://schemas.microsoft.com/office/drawing/2014/main" id="{F3BD9412-5A2E-41E3-A8B6-AC8FF0147B4E}"/>
            </a:ext>
          </a:extLst>
        </xdr:cNvPr>
        <xdr:cNvPicPr>
          <a:picLocks noChangeAspect="1"/>
        </xdr:cNvPicPr>
      </xdr:nvPicPr>
      <xdr:blipFill>
        <a:blip xmlns:r="http://schemas.openxmlformats.org/officeDocument/2006/relationships" r:embed="rId3"/>
        <a:stretch>
          <a:fillRect/>
        </a:stretch>
      </xdr:blipFill>
      <xdr:spPr>
        <a:xfrm>
          <a:off x="152400" y="8915400"/>
          <a:ext cx="7161905" cy="3742857"/>
        </a:xfrm>
        <a:prstGeom prst="rect">
          <a:avLst/>
        </a:prstGeom>
      </xdr:spPr>
    </xdr:pic>
    <xdr:clientData/>
  </xdr:twoCellAnchor>
  <xdr:twoCellAnchor editAs="oneCell">
    <xdr:from>
      <xdr:col>15</xdr:col>
      <xdr:colOff>0</xdr:colOff>
      <xdr:row>51</xdr:row>
      <xdr:rowOff>0</xdr:rowOff>
    </xdr:from>
    <xdr:to>
      <xdr:col>25</xdr:col>
      <xdr:colOff>542095</xdr:colOff>
      <xdr:row>91</xdr:row>
      <xdr:rowOff>198999</xdr:rowOff>
    </xdr:to>
    <xdr:pic>
      <xdr:nvPicPr>
        <xdr:cNvPr id="6" name="Picture 5">
          <a:extLst>
            <a:ext uri="{FF2B5EF4-FFF2-40B4-BE49-F238E27FC236}">
              <a16:creationId xmlns:a16="http://schemas.microsoft.com/office/drawing/2014/main" id="{AD106C0E-9DC7-4A99-8B06-C65F8FB9FDDE}"/>
            </a:ext>
          </a:extLst>
        </xdr:cNvPr>
        <xdr:cNvPicPr>
          <a:picLocks noChangeAspect="1"/>
        </xdr:cNvPicPr>
      </xdr:nvPicPr>
      <xdr:blipFill>
        <a:blip xmlns:r="http://schemas.openxmlformats.org/officeDocument/2006/relationships" r:embed="rId4"/>
        <a:stretch>
          <a:fillRect/>
        </a:stretch>
      </xdr:blipFill>
      <xdr:spPr>
        <a:xfrm>
          <a:off x="9144000" y="10229850"/>
          <a:ext cx="6638095" cy="820952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9</xdr:col>
      <xdr:colOff>485775</xdr:colOff>
      <xdr:row>0</xdr:row>
      <xdr:rowOff>85725</xdr:rowOff>
    </xdr:from>
    <xdr:to>
      <xdr:col>18</xdr:col>
      <xdr:colOff>581025</xdr:colOff>
      <xdr:row>12</xdr:row>
      <xdr:rowOff>123825</xdr:rowOff>
    </xdr:to>
    <xdr:graphicFrame macro="">
      <xdr:nvGraphicFramePr>
        <xdr:cNvPr id="2" name="Chart 1">
          <a:extLst>
            <a:ext uri="{FF2B5EF4-FFF2-40B4-BE49-F238E27FC236}">
              <a16:creationId xmlns:a16="http://schemas.microsoft.com/office/drawing/2014/main" id="{E7DA98ED-FB04-4461-9B38-6CC7E4FDBC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500062</xdr:colOff>
      <xdr:row>14</xdr:row>
      <xdr:rowOff>42861</xdr:rowOff>
    </xdr:from>
    <xdr:to>
      <xdr:col>19</xdr:col>
      <xdr:colOff>0</xdr:colOff>
      <xdr:row>26</xdr:row>
      <xdr:rowOff>9525</xdr:rowOff>
    </xdr:to>
    <xdr:graphicFrame macro="">
      <xdr:nvGraphicFramePr>
        <xdr:cNvPr id="3" name="Chart 2">
          <a:extLst>
            <a:ext uri="{FF2B5EF4-FFF2-40B4-BE49-F238E27FC236}">
              <a16:creationId xmlns:a16="http://schemas.microsoft.com/office/drawing/2014/main" id="{D44E036A-78D8-4FBC-A82C-94FD606570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538161</xdr:colOff>
      <xdr:row>27</xdr:row>
      <xdr:rowOff>61912</xdr:rowOff>
    </xdr:from>
    <xdr:to>
      <xdr:col>20</xdr:col>
      <xdr:colOff>581024</xdr:colOff>
      <xdr:row>37</xdr:row>
      <xdr:rowOff>66675</xdr:rowOff>
    </xdr:to>
    <xdr:graphicFrame macro="">
      <xdr:nvGraphicFramePr>
        <xdr:cNvPr id="4" name="Chart 3">
          <a:extLst>
            <a:ext uri="{FF2B5EF4-FFF2-40B4-BE49-F238E27FC236}">
              <a16:creationId xmlns:a16="http://schemas.microsoft.com/office/drawing/2014/main" id="{CCB5BE8C-99B2-43D1-9A11-DD70A8455B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3F0E8B4E-5131-4CD8-9065-AF03ABF42DCE}" autoFormatId="16" applyNumberFormats="0" applyBorderFormats="0" applyFontFormats="0" applyPatternFormats="0" applyAlignmentFormats="0" applyWidthHeightFormats="0">
  <queryTableRefresh nextId="6" unboundColumnsRight="1">
    <queryTableFields count="4">
      <queryTableField id="1" name="Column1" tableColumnId="1"/>
      <queryTableField id="2" name="Column2" tableColumnId="2"/>
      <queryTableField id="3" name="Column3" tableColumnId="3"/>
      <queryTableField id="4" dataBound="0"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49112BE0-2FE1-4D6E-8683-90A97E3AD54A}" autoFormatId="16" applyNumberFormats="0" applyBorderFormats="0" applyFontFormats="0" applyPatternFormats="0" applyAlignmentFormats="0" applyWidthHeightFormats="0">
  <queryTableRefresh nextId="5" unboundColumnsRight="1">
    <queryTableFields count="4">
      <queryTableField id="1" name="Column1" tableColumnId="1"/>
      <queryTableField id="2" name="Column2" tableColumnId="2"/>
      <queryTableField id="3" name="Column3" tableColumnId="3"/>
      <queryTableField id="4" dataBound="0"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5" xr16:uid="{900AFAD9-738D-474E-9DF4-A056442010D7}" autoFormatId="16" applyNumberFormats="0" applyBorderFormats="0" applyFontFormats="0" applyPatternFormats="0" applyAlignmentFormats="0" applyWidthHeightFormats="0">
  <queryTableRefresh nextId="5">
    <queryTableFields count="4">
      <queryTableField id="1" name="standard range plus" tableColumnId="1"/>
      <queryTableField id="2" name="long range" tableColumnId="2"/>
      <queryTableField id="3" name="performance" tableColumnId="3"/>
      <queryTableField id="4" name="Column1"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D38AF0-0118-47A0-A177-54F8F8BBC4DF}" name="production3" displayName="production3" ref="A86:D116" tableType="queryTable" totalsRowShown="0">
  <autoFilter ref="A86:D116" xr:uid="{79F3F66D-BB3E-46B2-92D3-1FE6E9E95886}"/>
  <tableColumns count="4">
    <tableColumn id="1" xr3:uid="{2514888A-89FC-42E4-89CC-FDA9F73A8BE0}" uniqueName="1" name="Quarter" queryTableFieldId="1" dataDxfId="3"/>
    <tableColumn id="2" xr3:uid="{85169C08-606A-4610-9945-FE161429A026}" uniqueName="2" name="Year" queryTableFieldId="2"/>
    <tableColumn id="3" xr3:uid="{39BD4DA5-0467-4035-BC66-636068F24426}" uniqueName="3" name="Unit" queryTableFieldId="3"/>
    <tableColumn id="4" xr3:uid="{B2AFA69D-E33D-48B8-BBA7-A4DFBDC3DAA0}" uniqueName="4" name="Total" queryTableField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AF5531F-009F-49C0-94B0-486D7BF83E99}" name="delivery4" displayName="delivery4" ref="A120:D150" tableType="queryTable" totalsRowShown="0">
  <autoFilter ref="A120:D150" xr:uid="{DA687789-9D4E-4447-AD87-3A62D23063CE}"/>
  <tableColumns count="4">
    <tableColumn id="1" xr3:uid="{8D4B28F8-1F3A-47D4-A523-8DD41093BBB2}" uniqueName="1" name="Quarter" queryTableFieldId="1" dataDxfId="2"/>
    <tableColumn id="2" xr3:uid="{B539C2EB-ADEA-4911-872C-9D4B94928406}" uniqueName="2" name="Year" queryTableFieldId="2"/>
    <tableColumn id="3" xr3:uid="{478D2A90-8FA6-4D2D-872E-BD7A747F09B0}" uniqueName="3" name="Unit" queryTableFieldId="3" dataDxfId="1"/>
    <tableColumn id="4" xr3:uid="{F3B6AAFB-FCED-41B0-B5F3-996577C7F03E}" uniqueName="4" name="Total"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2EAC99-CC45-4AE9-987D-E7E1281608BC}" name="regional" displayName="regional" ref="A174:D185" tableType="queryTable" totalsRowShown="0">
  <autoFilter ref="A174:D185" xr:uid="{AFF64C0D-D828-477C-827A-76BBCAA5D357}"/>
  <tableColumns count="4">
    <tableColumn id="1" xr3:uid="{C2106875-3E6C-4216-8B2B-EB293E821ADC}" uniqueName="1" name="standard range plus" queryTableFieldId="1" dataDxfId="0"/>
    <tableColumn id="2" xr3:uid="{1CE86563-B190-4255-9E1F-84B053806170}" uniqueName="2" name="long range" queryTableFieldId="2"/>
    <tableColumn id="3" xr3:uid="{CA11426E-FF52-46A3-B1EE-550E0DFF934E}" uniqueName="3" name="performance" queryTableFieldId="3"/>
    <tableColumn id="4" xr3:uid="{12F24E64-6C72-45FA-BC1B-A8D0CD27FE14}" uniqueName="4" name="Column1"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n.wikipedia.org/wiki/Tesla_Model_S" TargetMode="External"/><Relationship Id="rId13" Type="http://schemas.openxmlformats.org/officeDocument/2006/relationships/hyperlink" Target="https://en.wikipedia.org/wiki/Tesla_facilities_in_Tilburg" TargetMode="External"/><Relationship Id="rId18" Type="http://schemas.openxmlformats.org/officeDocument/2006/relationships/hyperlink" Target="https://en.wikipedia.org/wiki/Shanghai" TargetMode="External"/><Relationship Id="rId26" Type="http://schemas.openxmlformats.org/officeDocument/2006/relationships/hyperlink" Target="https://en.wikipedia.org/wiki/Giga_Texas" TargetMode="External"/><Relationship Id="rId3" Type="http://schemas.openxmlformats.org/officeDocument/2006/relationships/hyperlink" Target="https://en.wikipedia.org/wiki/Tesla_Roadster_(2008)" TargetMode="External"/><Relationship Id="rId21" Type="http://schemas.openxmlformats.org/officeDocument/2006/relationships/hyperlink" Target="https://en.wikipedia.org/wiki/Tesla_Gigafactory_4" TargetMode="External"/><Relationship Id="rId34" Type="http://schemas.openxmlformats.org/officeDocument/2006/relationships/drawing" Target="../drawings/drawing1.xml"/><Relationship Id="rId7" Type="http://schemas.openxmlformats.org/officeDocument/2006/relationships/hyperlink" Target="https://en.wikipedia.org/wiki/Fremont,_California" TargetMode="External"/><Relationship Id="rId12" Type="http://schemas.openxmlformats.org/officeDocument/2006/relationships/hyperlink" Target="https://en.wikipedia.org/wiki/Tesla_Roadster_(2020)" TargetMode="External"/><Relationship Id="rId17" Type="http://schemas.openxmlformats.org/officeDocument/2006/relationships/hyperlink" Target="https://en.wikipedia.org/wiki/Tesla_Gigafactory_3" TargetMode="External"/><Relationship Id="rId25" Type="http://schemas.openxmlformats.org/officeDocument/2006/relationships/hyperlink" Target="https://en.wikipedia.org/w/index.php?title=Tesla_%22Model_2%22&amp;action=edit&amp;redlink=1" TargetMode="External"/><Relationship Id="rId33" Type="http://schemas.openxmlformats.org/officeDocument/2006/relationships/printerSettings" Target="../printerSettings/printerSettings1.bin"/><Relationship Id="rId2" Type="http://schemas.openxmlformats.org/officeDocument/2006/relationships/hyperlink" Target="https://en.wikipedia.org/wiki/Hethel" TargetMode="External"/><Relationship Id="rId16" Type="http://schemas.openxmlformats.org/officeDocument/2006/relationships/hyperlink" Target="https://en.wikipedia.org/wiki/Tesla_Model_X" TargetMode="External"/><Relationship Id="rId20" Type="http://schemas.openxmlformats.org/officeDocument/2006/relationships/hyperlink" Target="https://en.wikipedia.org/wiki/Tesla_Model_Y" TargetMode="External"/><Relationship Id="rId29" Type="http://schemas.openxmlformats.org/officeDocument/2006/relationships/hyperlink" Target="https://en.wikipedia.org/w/index.php?title=Tesla_city_bus&amp;action=edit&amp;redlink=1" TargetMode="External"/><Relationship Id="rId1" Type="http://schemas.openxmlformats.org/officeDocument/2006/relationships/hyperlink" Target="https://en.wikipedia.org/wiki/Lotus_Cars" TargetMode="External"/><Relationship Id="rId6" Type="http://schemas.openxmlformats.org/officeDocument/2006/relationships/hyperlink" Target="https://en.wikipedia.org/wiki/Tesla_Factory" TargetMode="External"/><Relationship Id="rId11" Type="http://schemas.openxmlformats.org/officeDocument/2006/relationships/hyperlink" Target="https://en.wikipedia.org/wiki/Tesla_Model_Y" TargetMode="External"/><Relationship Id="rId24" Type="http://schemas.openxmlformats.org/officeDocument/2006/relationships/hyperlink" Target="https://en.wikipedia.org/wiki/Tesla_Model_3" TargetMode="External"/><Relationship Id="rId32" Type="http://schemas.openxmlformats.org/officeDocument/2006/relationships/hyperlink" Target="https://en.wikipedia.org/wiki/Tesla_Model_Y" TargetMode="External"/><Relationship Id="rId37" Type="http://schemas.openxmlformats.org/officeDocument/2006/relationships/table" Target="../tables/table3.xml"/><Relationship Id="rId5" Type="http://schemas.openxmlformats.org/officeDocument/2006/relationships/hyperlink" Target="https://en.wikipedia.org/wiki/Tesla_Roadster_(2008)" TargetMode="External"/><Relationship Id="rId15" Type="http://schemas.openxmlformats.org/officeDocument/2006/relationships/hyperlink" Target="https://en.wikipedia.org/wiki/Tesla_Model_S" TargetMode="External"/><Relationship Id="rId23" Type="http://schemas.openxmlformats.org/officeDocument/2006/relationships/hyperlink" Target="https://en.wikipedia.org/wiki/Tesla_Model_Y" TargetMode="External"/><Relationship Id="rId28" Type="http://schemas.openxmlformats.org/officeDocument/2006/relationships/hyperlink" Target="https://en.wikipedia.org/wiki/Tesla_Semi" TargetMode="External"/><Relationship Id="rId36" Type="http://schemas.openxmlformats.org/officeDocument/2006/relationships/table" Target="../tables/table2.xml"/><Relationship Id="rId10" Type="http://schemas.openxmlformats.org/officeDocument/2006/relationships/hyperlink" Target="https://en.wikipedia.org/wiki/Tesla_Model_3" TargetMode="External"/><Relationship Id="rId19" Type="http://schemas.openxmlformats.org/officeDocument/2006/relationships/hyperlink" Target="https://en.wikipedia.org/wiki/Tesla_Model_3" TargetMode="External"/><Relationship Id="rId31" Type="http://schemas.openxmlformats.org/officeDocument/2006/relationships/hyperlink" Target="https://en.wikipedia.org/wiki/Tesla_Model_3" TargetMode="External"/><Relationship Id="rId4" Type="http://schemas.openxmlformats.org/officeDocument/2006/relationships/hyperlink" Target="https://en.wikipedia.org/wiki/Menlo_Park,_California" TargetMode="External"/><Relationship Id="rId9" Type="http://schemas.openxmlformats.org/officeDocument/2006/relationships/hyperlink" Target="https://en.wikipedia.org/wiki/Tesla_Model_X" TargetMode="External"/><Relationship Id="rId14" Type="http://schemas.openxmlformats.org/officeDocument/2006/relationships/hyperlink" Target="https://en.wikipedia.org/wiki/Tilburg" TargetMode="External"/><Relationship Id="rId22" Type="http://schemas.openxmlformats.org/officeDocument/2006/relationships/hyperlink" Target="https://en.wikipedia.org/wiki/Gr%C3%BCnheide_(Mark)" TargetMode="External"/><Relationship Id="rId27" Type="http://schemas.openxmlformats.org/officeDocument/2006/relationships/hyperlink" Target="https://en.wikipedia.org/wiki/Austin,Texas" TargetMode="External"/><Relationship Id="rId30" Type="http://schemas.openxmlformats.org/officeDocument/2006/relationships/hyperlink" Target="https://en.wikipedia.org/wiki/Tesla_Cybertruck" TargetMode="External"/><Relationship Id="rId3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tesla.com/gigafactory"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fred.stlouisfed.org/series/DGS20" TargetMode="External"/><Relationship Id="rId1" Type="http://schemas.openxmlformats.org/officeDocument/2006/relationships/hyperlink" Target="http://pages.stern.nyu.edu/~adamodar/New_Home_Page/datafile/ctryprem.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0A671-D5A4-472A-9317-F7CEDA4184A9}">
  <dimension ref="A1:AP232"/>
  <sheetViews>
    <sheetView tabSelected="1" zoomScale="85" zoomScaleNormal="85" workbookViewId="0">
      <selection activeCell="A28" sqref="A28"/>
    </sheetView>
  </sheetViews>
  <sheetFormatPr defaultRowHeight="15"/>
  <cols>
    <col min="1" max="1" width="50.7109375" customWidth="1"/>
    <col min="2" max="2" width="20.28515625" bestFit="1" customWidth="1"/>
    <col min="3" max="3" width="23" bestFit="1" customWidth="1"/>
    <col min="4" max="4" width="13.140625" bestFit="1" customWidth="1"/>
    <col min="5" max="5" width="11.28515625" bestFit="1" customWidth="1"/>
    <col min="6" max="6" width="13.42578125" bestFit="1" customWidth="1"/>
    <col min="7" max="10" width="13.42578125" customWidth="1"/>
    <col min="11" max="11" width="10.28515625" customWidth="1"/>
    <col min="12" max="12" width="24.7109375" bestFit="1" customWidth="1"/>
    <col min="13" max="13" width="14.7109375" bestFit="1" customWidth="1"/>
    <col min="14" max="14" width="11.28515625" bestFit="1" customWidth="1"/>
    <col min="15" max="15" width="13.140625" bestFit="1" customWidth="1"/>
    <col min="16" max="16" width="13.140625" customWidth="1"/>
    <col min="17" max="17" width="24.7109375" bestFit="1" customWidth="1"/>
    <col min="18" max="18" width="11.28515625" bestFit="1" customWidth="1"/>
    <col min="19" max="19" width="13.85546875" bestFit="1" customWidth="1"/>
    <col min="20" max="20" width="13.85546875" customWidth="1"/>
    <col min="21" max="21" width="15.28515625" customWidth="1"/>
    <col min="22" max="22" width="14.5703125" customWidth="1"/>
    <col min="23" max="23" width="12.28515625" bestFit="1" customWidth="1"/>
    <col min="24" max="24" width="12.5703125" customWidth="1"/>
    <col min="25" max="25" width="13.28515625" customWidth="1"/>
    <col min="26" max="26" width="11.7109375" bestFit="1" customWidth="1"/>
    <col min="27" max="27" width="12.85546875" customWidth="1"/>
    <col min="28" max="28" width="11.42578125" bestFit="1" customWidth="1"/>
    <col min="29" max="31" width="12.28515625" bestFit="1" customWidth="1"/>
    <col min="32" max="32" width="14.28515625" customWidth="1"/>
    <col min="33" max="33" width="12.7109375" bestFit="1" customWidth="1"/>
    <col min="34" max="34" width="19.7109375" bestFit="1" customWidth="1"/>
    <col min="35" max="35" width="18.85546875" bestFit="1" customWidth="1"/>
    <col min="36" max="36" width="26.85546875" bestFit="1" customWidth="1"/>
    <col min="37" max="37" width="14.140625" bestFit="1" customWidth="1"/>
    <col min="38" max="41" width="16" bestFit="1" customWidth="1"/>
    <col min="42" max="42" width="17.28515625" bestFit="1" customWidth="1"/>
  </cols>
  <sheetData>
    <row r="1" spans="1:27" ht="16.5" thickTop="1" thickBot="1">
      <c r="A1" t="s">
        <v>8</v>
      </c>
      <c r="B1" t="s">
        <v>16</v>
      </c>
      <c r="K1" s="188"/>
      <c r="L1" t="s">
        <v>15</v>
      </c>
      <c r="Q1" s="248" t="s">
        <v>395</v>
      </c>
      <c r="R1" s="248"/>
      <c r="V1" s="243"/>
      <c r="W1" s="243"/>
      <c r="X1" s="243"/>
      <c r="Y1" s="243"/>
      <c r="Z1" s="243"/>
    </row>
    <row r="2" spans="1:27" ht="16.5" thickTop="1" thickBot="1">
      <c r="B2" s="13">
        <v>42339</v>
      </c>
      <c r="C2" s="13">
        <v>42705</v>
      </c>
      <c r="D2" s="13">
        <v>43070</v>
      </c>
      <c r="E2" s="13">
        <v>43435</v>
      </c>
      <c r="F2" s="13">
        <v>43800</v>
      </c>
      <c r="G2" s="203">
        <v>44166</v>
      </c>
      <c r="H2" s="203">
        <v>44531</v>
      </c>
      <c r="I2" s="203">
        <v>44896</v>
      </c>
      <c r="J2" s="203">
        <v>45261</v>
      </c>
      <c r="K2" s="189" t="s">
        <v>346</v>
      </c>
      <c r="L2" s="13">
        <v>44713</v>
      </c>
      <c r="M2" s="13">
        <v>44805</v>
      </c>
      <c r="N2" s="13">
        <v>44896</v>
      </c>
      <c r="O2" s="13">
        <v>44986</v>
      </c>
      <c r="P2" s="13"/>
      <c r="Q2" s="13">
        <v>44713</v>
      </c>
      <c r="R2" s="13">
        <v>45078</v>
      </c>
      <c r="U2" s="23"/>
      <c r="V2" s="23"/>
      <c r="W2" s="23"/>
      <c r="X2" s="23"/>
      <c r="Y2" s="23"/>
      <c r="Z2" s="23"/>
    </row>
    <row r="3" spans="1:27" ht="16.5" thickTop="1" thickBot="1">
      <c r="A3" t="s">
        <v>139</v>
      </c>
      <c r="B3" s="67">
        <v>2</v>
      </c>
      <c r="C3" s="67">
        <v>2</v>
      </c>
      <c r="D3" s="67">
        <v>2</v>
      </c>
      <c r="E3" s="67">
        <v>2</v>
      </c>
      <c r="F3" s="66">
        <v>3</v>
      </c>
      <c r="G3" s="66">
        <v>3</v>
      </c>
      <c r="H3" s="66"/>
      <c r="I3" s="66"/>
      <c r="J3" s="66"/>
      <c r="K3" s="190"/>
      <c r="L3" s="66">
        <v>3</v>
      </c>
      <c r="M3" s="66">
        <v>3</v>
      </c>
      <c r="N3" s="66">
        <v>3</v>
      </c>
      <c r="O3" s="66">
        <v>3</v>
      </c>
      <c r="P3" s="66"/>
      <c r="Q3" s="66">
        <v>3</v>
      </c>
      <c r="R3" s="66"/>
      <c r="U3" s="67"/>
      <c r="V3" s="67"/>
      <c r="W3" s="67"/>
      <c r="X3" s="67"/>
      <c r="Y3" s="67"/>
      <c r="Z3" s="67"/>
    </row>
    <row r="4" spans="1:27" ht="16.5" thickTop="1" thickBot="1">
      <c r="A4" t="s">
        <v>141</v>
      </c>
      <c r="B4" s="66">
        <v>10000</v>
      </c>
      <c r="C4" s="66">
        <v>10000</v>
      </c>
      <c r="D4" s="66">
        <v>10000</v>
      </c>
      <c r="E4" s="66">
        <v>10000</v>
      </c>
      <c r="F4" s="66">
        <v>12000</v>
      </c>
      <c r="G4" s="66">
        <v>12000</v>
      </c>
      <c r="H4" s="66"/>
      <c r="I4" s="66"/>
      <c r="J4" s="66"/>
      <c r="K4" s="190"/>
      <c r="L4" s="66">
        <v>12000</v>
      </c>
      <c r="M4" s="66">
        <v>12000</v>
      </c>
      <c r="N4" s="66">
        <v>12000</v>
      </c>
      <c r="O4" s="66">
        <v>12000</v>
      </c>
      <c r="P4" s="66"/>
      <c r="Q4" s="66">
        <v>12000</v>
      </c>
      <c r="R4" s="66"/>
      <c r="U4" s="67"/>
      <c r="V4" s="67"/>
      <c r="W4" s="23"/>
      <c r="X4" s="67"/>
      <c r="Y4" s="23"/>
      <c r="Z4" s="23"/>
    </row>
    <row r="5" spans="1:27" ht="16.5" thickTop="1" thickBot="1">
      <c r="A5" t="s">
        <v>142</v>
      </c>
      <c r="B5" s="67">
        <v>3</v>
      </c>
      <c r="C5" s="67">
        <v>3</v>
      </c>
      <c r="D5" s="67">
        <v>4</v>
      </c>
      <c r="E5" s="67">
        <v>4</v>
      </c>
      <c r="F5" s="67">
        <v>5</v>
      </c>
      <c r="G5" s="67">
        <v>5</v>
      </c>
      <c r="H5" s="67"/>
      <c r="I5" s="67"/>
      <c r="J5" s="67"/>
      <c r="K5" s="190"/>
      <c r="L5" s="67"/>
      <c r="M5" s="67"/>
      <c r="N5" s="67"/>
      <c r="O5" s="67"/>
      <c r="P5" s="67"/>
      <c r="Q5" s="67"/>
      <c r="R5" s="67"/>
      <c r="U5" s="67"/>
      <c r="V5" s="67"/>
      <c r="W5" s="67"/>
      <c r="X5" s="67"/>
      <c r="Y5" s="67"/>
      <c r="Z5" s="67"/>
    </row>
    <row r="6" spans="1:27" ht="106.5" thickTop="1" thickBot="1">
      <c r="A6" s="159" t="s">
        <v>350</v>
      </c>
      <c r="B6" s="14">
        <v>5194.74</v>
      </c>
      <c r="C6" s="14">
        <v>15036.92</v>
      </c>
      <c r="D6" s="14">
        <v>20491.62</v>
      </c>
      <c r="E6" s="14">
        <v>19691</v>
      </c>
      <c r="F6" s="14">
        <v>20199</v>
      </c>
      <c r="G6" s="14">
        <v>23375</v>
      </c>
      <c r="H6" s="205">
        <v>31176</v>
      </c>
      <c r="I6" s="205">
        <v>36635</v>
      </c>
      <c r="J6" s="18"/>
      <c r="K6" s="191"/>
      <c r="L6" s="225">
        <v>33684</v>
      </c>
      <c r="M6" s="225">
        <v>34563</v>
      </c>
      <c r="N6" s="225">
        <v>36635</v>
      </c>
      <c r="O6" s="225">
        <v>38669</v>
      </c>
      <c r="P6" s="225"/>
      <c r="Q6" s="225">
        <v>33684</v>
      </c>
      <c r="R6" s="225">
        <v>41041</v>
      </c>
    </row>
    <row r="7" spans="1:27" ht="16.5" thickTop="1" thickBot="1">
      <c r="B7" s="14"/>
      <c r="C7" s="71">
        <f>(C6-B6)/B6</f>
        <v>1.8946434277750188</v>
      </c>
      <c r="D7" s="71">
        <f>(D6-C6)/C6</f>
        <v>0.36275380862570256</v>
      </c>
      <c r="E7" s="71">
        <f>(E6-D6)/D6</f>
        <v>-3.9070605447495077E-2</v>
      </c>
      <c r="F7" s="71">
        <f>(F6-E6)/E6</f>
        <v>2.5798588187496824E-2</v>
      </c>
      <c r="G7" s="71">
        <f>(G6-F6)/F6</f>
        <v>0.15723550670825287</v>
      </c>
      <c r="H7" s="71">
        <f t="shared" ref="H7:I7" si="0">(H6-G6)/G6</f>
        <v>0.3337326203208556</v>
      </c>
      <c r="I7" s="71">
        <f t="shared" si="0"/>
        <v>0.17510264305876316</v>
      </c>
      <c r="J7" s="71"/>
      <c r="K7" s="191"/>
      <c r="L7" s="71" t="e">
        <f>(L6-K6)/K6</f>
        <v>#DIV/0!</v>
      </c>
      <c r="M7" s="71">
        <f>(M6-L6)/L6</f>
        <v>2.609547559672248E-2</v>
      </c>
      <c r="N7" s="71">
        <f t="shared" ref="N7:Q7" si="1">(N6-M6)/M6</f>
        <v>5.9948499840870292E-2</v>
      </c>
      <c r="O7" s="71">
        <f t="shared" si="1"/>
        <v>5.5520676948273506E-2</v>
      </c>
      <c r="P7" s="71"/>
      <c r="Q7" s="71" t="e">
        <f t="shared" si="1"/>
        <v>#DIV/0!</v>
      </c>
      <c r="R7" s="71">
        <f>(R6-Q6)/Q6</f>
        <v>0.21841230257689109</v>
      </c>
    </row>
    <row r="8" spans="1:27" ht="16.5" thickTop="1" thickBot="1">
      <c r="A8" t="s">
        <v>247</v>
      </c>
      <c r="B8" s="66">
        <f t="shared" ref="B8:I8" si="2">B73/B6</f>
        <v>9.6251207952659819</v>
      </c>
      <c r="C8" s="66">
        <f t="shared" si="2"/>
        <v>5.5810631432500806</v>
      </c>
      <c r="D8" s="66">
        <f t="shared" si="2"/>
        <v>4.9301616953662037</v>
      </c>
      <c r="E8" s="66">
        <f t="shared" si="2"/>
        <v>12.926209943629068</v>
      </c>
      <c r="F8" s="66">
        <f t="shared" si="2"/>
        <v>18.084261597108767</v>
      </c>
      <c r="G8" s="66">
        <f t="shared" si="2"/>
        <v>21.806930481283423</v>
      </c>
      <c r="H8" s="66">
        <f t="shared" si="2"/>
        <v>29.844175006415192</v>
      </c>
      <c r="I8" s="66">
        <f t="shared" si="2"/>
        <v>37.385314589873069</v>
      </c>
      <c r="J8" s="66"/>
      <c r="K8" s="190"/>
      <c r="L8" s="66">
        <f>L73/L6</f>
        <v>7.6766417290108064</v>
      </c>
      <c r="M8" s="66">
        <f>M73/M6</f>
        <v>10.587130746752308</v>
      </c>
      <c r="N8" s="66">
        <f>N73/N6</f>
        <v>12.002211000409444</v>
      </c>
      <c r="O8" s="66">
        <f>O73/O6</f>
        <v>11.399518994543433</v>
      </c>
      <c r="P8" s="66"/>
      <c r="Q8" s="66">
        <f>Q73/Q6</f>
        <v>7.6766417290108064</v>
      </c>
      <c r="R8" s="66">
        <f>R73/R6</f>
        <v>11.688311688311689</v>
      </c>
      <c r="U8" s="67"/>
      <c r="V8" s="67"/>
      <c r="W8" s="23"/>
      <c r="X8" s="67"/>
      <c r="Y8" s="23"/>
      <c r="Z8" s="23"/>
    </row>
    <row r="9" spans="1:27" ht="16.5" thickTop="1" thickBot="1">
      <c r="A9" t="s">
        <v>248</v>
      </c>
      <c r="B9" s="66"/>
      <c r="C9" s="66">
        <f t="shared" ref="C9:I9" si="3">(C73-B73)/(C6-B6)</f>
        <v>3.4465941488572653</v>
      </c>
      <c r="D9" s="66">
        <f t="shared" si="3"/>
        <v>3.1358278182118178</v>
      </c>
      <c r="E9" s="66">
        <f t="shared" si="3"/>
        <v>-191.73015912667708</v>
      </c>
      <c r="F9" s="66">
        <f t="shared" si="3"/>
        <v>218.01968503937007</v>
      </c>
      <c r="G9" s="66">
        <f t="shared" si="3"/>
        <v>45.482682619647356</v>
      </c>
      <c r="H9" s="66">
        <f t="shared" si="3"/>
        <v>53.927060633252147</v>
      </c>
      <c r="I9" s="66">
        <f t="shared" si="3"/>
        <v>80.45228063747939</v>
      </c>
      <c r="J9" s="66"/>
      <c r="K9" s="190"/>
      <c r="L9" s="66">
        <f>(L73-K73)/(L6-K6)</f>
        <v>7.6766417290108064</v>
      </c>
      <c r="M9" s="66">
        <f>(M73-L73)/(M6-L6)</f>
        <v>122.11945392491468</v>
      </c>
      <c r="N9" s="66">
        <f>(N73-M73)/(N6-M6)</f>
        <v>35.607142857142854</v>
      </c>
      <c r="O9" s="66">
        <f>(O73-N73)/(O6-N6)</f>
        <v>0.54424778761061943</v>
      </c>
      <c r="P9" s="66"/>
      <c r="Q9" s="66">
        <f>(Q73-O73)/(Q6-O6)</f>
        <v>36.555265797392174</v>
      </c>
      <c r="R9" s="66">
        <f>(R73-O73)/(R6-O6)</f>
        <v>16.39629005059022</v>
      </c>
      <c r="U9" s="67"/>
      <c r="V9" s="67"/>
      <c r="W9" s="23"/>
      <c r="X9" s="67"/>
      <c r="Y9" s="23"/>
      <c r="Z9" s="23"/>
    </row>
    <row r="10" spans="1:27" ht="16.5" thickTop="1" thickBot="1">
      <c r="A10" t="s">
        <v>249</v>
      </c>
      <c r="B10" s="66"/>
      <c r="C10" s="66">
        <f t="shared" ref="C10:I10" si="4">C9*C38</f>
        <v>317915.49742047978</v>
      </c>
      <c r="D10" s="66">
        <f t="shared" si="4"/>
        <v>357932.43364737689</v>
      </c>
      <c r="E10" s="66">
        <f t="shared" si="4"/>
        <v>-16800265.168290123</v>
      </c>
      <c r="F10" s="66">
        <f t="shared" si="4"/>
        <v>14592831.750810562</v>
      </c>
      <c r="G10" s="66">
        <f t="shared" si="4"/>
        <v>2871267.899295764</v>
      </c>
      <c r="H10" s="66">
        <f t="shared" si="4"/>
        <v>3100409.0962595874</v>
      </c>
      <c r="I10" s="66">
        <f t="shared" si="4"/>
        <v>4988239.6750395186</v>
      </c>
      <c r="J10" s="66"/>
      <c r="K10" s="190"/>
      <c r="L10" s="66">
        <f>L9*L38</f>
        <v>510399.69783100969</v>
      </c>
      <c r="M10" s="66">
        <f>M9*M38</f>
        <v>7619901.5923715774</v>
      </c>
      <c r="N10" s="66">
        <f>N9*N38</f>
        <v>2136544.5447322577</v>
      </c>
      <c r="O10" s="66">
        <f>O9*O38</f>
        <v>30024.845727858446</v>
      </c>
      <c r="P10" s="66"/>
      <c r="Q10" s="66">
        <f>Q9*Q38</f>
        <v>2430463.3817430227</v>
      </c>
      <c r="R10" s="66">
        <f>R9*R38</f>
        <v>876797.36150311586</v>
      </c>
      <c r="U10" s="67"/>
      <c r="V10" s="67"/>
      <c r="W10" s="23"/>
      <c r="X10" s="67"/>
      <c r="Y10" s="23"/>
      <c r="Z10" s="23"/>
    </row>
    <row r="11" spans="1:27" ht="16.5" thickTop="1" thickBot="1">
      <c r="A11" t="s">
        <v>353</v>
      </c>
      <c r="B11" s="19">
        <v>-422.59</v>
      </c>
      <c r="C11" s="19">
        <v>-947.1</v>
      </c>
      <c r="D11" s="19">
        <v>-1636</v>
      </c>
      <c r="E11" s="19">
        <v>-1901</v>
      </c>
      <c r="F11" s="19">
        <v>-2154</v>
      </c>
      <c r="G11" s="19">
        <v>-2322</v>
      </c>
      <c r="H11" s="19">
        <v>2911</v>
      </c>
      <c r="I11" s="19">
        <v>3747</v>
      </c>
      <c r="J11" s="196"/>
      <c r="K11" s="191"/>
      <c r="L11" s="19">
        <v>922</v>
      </c>
      <c r="M11" s="19">
        <v>956</v>
      </c>
      <c r="N11" s="19">
        <v>989</v>
      </c>
      <c r="O11" s="19">
        <v>1046</v>
      </c>
      <c r="P11" s="19"/>
      <c r="Q11" s="19">
        <v>922</v>
      </c>
      <c r="R11" s="19">
        <v>1154</v>
      </c>
      <c r="AA11" t="s">
        <v>73</v>
      </c>
    </row>
    <row r="12" spans="1:27" ht="16.5" thickTop="1" thickBot="1">
      <c r="A12" t="s">
        <v>354</v>
      </c>
      <c r="B12" s="15">
        <v>476.51</v>
      </c>
      <c r="C12" s="14">
        <v>1016.73</v>
      </c>
      <c r="D12" s="14">
        <v>1013.91</v>
      </c>
      <c r="E12" s="14">
        <v>1581</v>
      </c>
      <c r="F12" s="14">
        <v>1356</v>
      </c>
      <c r="G12" s="14">
        <v>1666</v>
      </c>
      <c r="H12" s="205">
        <v>1277</v>
      </c>
      <c r="I12" s="205">
        <v>3475</v>
      </c>
      <c r="J12" s="18"/>
      <c r="K12" s="192"/>
      <c r="L12" s="225">
        <v>1185</v>
      </c>
      <c r="M12" s="225">
        <v>2067</v>
      </c>
      <c r="N12" s="225">
        <v>3475</v>
      </c>
      <c r="O12" s="225">
        <v>4591</v>
      </c>
      <c r="P12" s="225"/>
      <c r="Q12" s="225">
        <v>1185</v>
      </c>
      <c r="R12" s="225">
        <v>5193</v>
      </c>
      <c r="AA12" s="17" t="s">
        <v>30</v>
      </c>
    </row>
    <row r="13" spans="1:27" ht="16.5" thickTop="1" thickBot="1">
      <c r="A13" t="s">
        <v>29</v>
      </c>
      <c r="B13" s="15"/>
      <c r="C13" s="14">
        <f>C12-B12</f>
        <v>540.22</v>
      </c>
      <c r="D13" s="14">
        <f t="shared" ref="D13:M13" si="5">D12-C12</f>
        <v>-2.82000000000005</v>
      </c>
      <c r="E13" s="14">
        <f t="shared" si="5"/>
        <v>567.09</v>
      </c>
      <c r="F13" s="14">
        <f t="shared" ref="F13" si="6">F12-E12</f>
        <v>-225</v>
      </c>
      <c r="G13" s="14">
        <f t="shared" ref="G13" si="7">G12-F12</f>
        <v>310</v>
      </c>
      <c r="H13" s="14">
        <f t="shared" ref="H13" si="8">H12-G12</f>
        <v>-389</v>
      </c>
      <c r="I13" s="14">
        <f t="shared" ref="I13" si="9">I12-H12</f>
        <v>2198</v>
      </c>
      <c r="J13" s="18"/>
      <c r="K13" s="192"/>
      <c r="L13" s="14"/>
      <c r="M13" s="14">
        <f t="shared" si="5"/>
        <v>882</v>
      </c>
      <c r="N13" s="14">
        <f t="shared" ref="N13" si="10">N12-M12</f>
        <v>1408</v>
      </c>
      <c r="O13" s="14">
        <f t="shared" ref="O13" si="11">O12-N12</f>
        <v>1116</v>
      </c>
      <c r="P13" s="14"/>
      <c r="Q13" s="14"/>
      <c r="R13" s="14">
        <f>R12-O12</f>
        <v>602</v>
      </c>
    </row>
    <row r="14" spans="1:27" ht="16.5" thickTop="1" thickBot="1">
      <c r="A14" t="s">
        <v>355</v>
      </c>
      <c r="B14" s="15">
        <v>528.94000000000005</v>
      </c>
      <c r="C14" s="15">
        <v>680.34</v>
      </c>
      <c r="D14" s="15">
        <v>821.4</v>
      </c>
      <c r="E14" s="15">
        <v>932</v>
      </c>
      <c r="F14" s="14">
        <v>1428</v>
      </c>
      <c r="G14" s="14">
        <v>1508</v>
      </c>
      <c r="H14" s="205">
        <v>2816</v>
      </c>
      <c r="I14" s="205">
        <v>6137</v>
      </c>
      <c r="J14" s="18"/>
      <c r="K14" s="191"/>
      <c r="L14" s="225">
        <v>4949</v>
      </c>
      <c r="M14" s="225">
        <v>5381</v>
      </c>
      <c r="N14" s="225">
        <v>6137</v>
      </c>
      <c r="O14" s="225">
        <v>6405</v>
      </c>
      <c r="P14" s="225"/>
      <c r="Q14" s="225">
        <v>4949</v>
      </c>
      <c r="R14" s="225">
        <v>5968</v>
      </c>
    </row>
    <row r="15" spans="1:27" ht="16.5" thickTop="1" thickBot="1">
      <c r="A15" t="s">
        <v>393</v>
      </c>
      <c r="B15" s="15">
        <v>163.83000000000001</v>
      </c>
      <c r="C15" s="15">
        <v>233.75</v>
      </c>
      <c r="D15" s="15">
        <v>243.18</v>
      </c>
      <c r="E15" s="15">
        <v>297</v>
      </c>
      <c r="F15" s="14">
        <v>362</v>
      </c>
      <c r="G15" s="14">
        <v>493</v>
      </c>
      <c r="H15" s="205">
        <v>1089</v>
      </c>
      <c r="I15" s="205">
        <v>2385</v>
      </c>
      <c r="J15" s="18"/>
      <c r="K15" s="188"/>
      <c r="L15" s="225">
        <v>1370</v>
      </c>
      <c r="M15" s="225">
        <v>2237</v>
      </c>
      <c r="N15" s="225">
        <v>2385</v>
      </c>
      <c r="O15" s="225">
        <v>2458</v>
      </c>
      <c r="P15" s="225"/>
      <c r="Q15" s="225">
        <v>1370</v>
      </c>
      <c r="R15" s="225">
        <v>2202</v>
      </c>
      <c r="U15" s="158"/>
      <c r="AA15" t="s">
        <v>14</v>
      </c>
    </row>
    <row r="16" spans="1:27" ht="16.5" thickTop="1" thickBot="1">
      <c r="A16" t="s">
        <v>356</v>
      </c>
      <c r="B16" s="14">
        <v>1277.8399999999999</v>
      </c>
      <c r="C16" s="14">
        <v>2067.4499999999998</v>
      </c>
      <c r="D16" s="14">
        <v>2263.54</v>
      </c>
      <c r="E16" s="14">
        <v>3113</v>
      </c>
      <c r="F16" s="14">
        <v>3552</v>
      </c>
      <c r="G16" s="14">
        <v>4101</v>
      </c>
      <c r="H16" s="205">
        <v>5757</v>
      </c>
      <c r="I16" s="205">
        <v>12839</v>
      </c>
      <c r="J16" s="18"/>
      <c r="K16" s="191"/>
      <c r="L16" s="225">
        <v>8108</v>
      </c>
      <c r="M16" s="225">
        <v>10327</v>
      </c>
      <c r="N16" s="225">
        <v>12839</v>
      </c>
      <c r="O16" s="225">
        <v>14375</v>
      </c>
      <c r="P16" s="225"/>
      <c r="Q16" s="225">
        <v>8108</v>
      </c>
      <c r="R16" s="225">
        <v>14356</v>
      </c>
    </row>
    <row r="17" spans="1:27" ht="16.5" thickTop="1" thickBot="1">
      <c r="A17" t="s">
        <v>13</v>
      </c>
      <c r="B17" s="14">
        <v>3122.52</v>
      </c>
      <c r="C17" s="14">
        <v>5400.88</v>
      </c>
      <c r="D17" s="14">
        <v>9536</v>
      </c>
      <c r="E17" s="14">
        <v>17419</v>
      </c>
      <c r="F17" s="14">
        <v>20509</v>
      </c>
      <c r="G17" s="14">
        <v>24906</v>
      </c>
      <c r="H17" s="205">
        <v>40217</v>
      </c>
      <c r="I17" s="205">
        <v>60609</v>
      </c>
      <c r="J17" s="18"/>
      <c r="K17" s="191"/>
      <c r="L17" s="224">
        <v>12700</v>
      </c>
      <c r="M17" s="224">
        <v>16072</v>
      </c>
      <c r="N17" s="224">
        <v>18541</v>
      </c>
      <c r="O17" s="224">
        <v>18818</v>
      </c>
      <c r="P17" s="224"/>
      <c r="Q17" s="224">
        <v>12700</v>
      </c>
      <c r="R17" s="224">
        <v>20394</v>
      </c>
      <c r="V17" s="16"/>
      <c r="W17" s="16"/>
      <c r="X17" s="16"/>
      <c r="Y17" s="16"/>
      <c r="Z17" s="16"/>
    </row>
    <row r="18" spans="1:27" ht="16.5" thickTop="1" thickBot="1">
      <c r="A18" t="s">
        <v>357</v>
      </c>
      <c r="B18" s="14">
        <f>B13+B17</f>
        <v>3122.52</v>
      </c>
      <c r="C18" s="14">
        <f>C13+C17</f>
        <v>5941.1</v>
      </c>
      <c r="D18" s="14">
        <f>D13+D17</f>
        <v>9533.18</v>
      </c>
      <c r="E18" s="14">
        <f>E13+E17</f>
        <v>17986.09</v>
      </c>
      <c r="F18" s="14">
        <f t="shared" ref="F18" si="12">F13+F17</f>
        <v>20284</v>
      </c>
      <c r="G18" s="14">
        <f>G13+G17</f>
        <v>25216</v>
      </c>
      <c r="H18" s="14">
        <f t="shared" ref="H18:I18" si="13">H13+H17</f>
        <v>39828</v>
      </c>
      <c r="I18" s="14">
        <f t="shared" si="13"/>
        <v>62807</v>
      </c>
      <c r="J18" s="18"/>
      <c r="K18" s="191"/>
      <c r="L18" s="14">
        <f t="shared" ref="L18:O18" si="14">L13+L17</f>
        <v>12700</v>
      </c>
      <c r="M18" s="14">
        <f t="shared" si="14"/>
        <v>16954</v>
      </c>
      <c r="N18" s="14">
        <f t="shared" si="14"/>
        <v>19949</v>
      </c>
      <c r="O18" s="14">
        <f t="shared" si="14"/>
        <v>19934</v>
      </c>
      <c r="P18" s="14"/>
      <c r="Q18" s="14">
        <f t="shared" ref="Q18" si="15">Q13+Q17</f>
        <v>12700</v>
      </c>
      <c r="R18" s="14">
        <f t="shared" ref="R18" si="16">R13+R17</f>
        <v>20996</v>
      </c>
      <c r="V18" s="14"/>
      <c r="W18" s="14"/>
      <c r="X18" s="14"/>
      <c r="Y18" s="14"/>
      <c r="Z18" s="14"/>
      <c r="AA18" t="s">
        <v>74</v>
      </c>
    </row>
    <row r="19" spans="1:27" ht="16.5" thickTop="1" thickBot="1">
      <c r="A19" t="s">
        <v>37</v>
      </c>
      <c r="B19">
        <f t="shared" ref="B19:I19" si="17">B18/B73*10^6</f>
        <v>62450.399999999994</v>
      </c>
      <c r="C19">
        <f t="shared" si="17"/>
        <v>70793.117418555339</v>
      </c>
      <c r="D19">
        <f t="shared" si="17"/>
        <v>94362.695121106241</v>
      </c>
      <c r="E19">
        <f t="shared" si="17"/>
        <v>70663.929595725451</v>
      </c>
      <c r="F19">
        <f t="shared" si="17"/>
        <v>55529.396305340502</v>
      </c>
      <c r="G19">
        <f t="shared" si="17"/>
        <v>49468.647557465913</v>
      </c>
      <c r="H19">
        <f t="shared" si="17"/>
        <v>42806.382480207903</v>
      </c>
      <c r="I19">
        <f t="shared" si="17"/>
        <v>45857.546412813565</v>
      </c>
      <c r="K19" s="188"/>
      <c r="L19">
        <f>L18/L73*10^6</f>
        <v>49114.39399798902</v>
      </c>
      <c r="M19">
        <f>M18/M73*10^6</f>
        <v>46332.151846153429</v>
      </c>
      <c r="N19">
        <f>N18/N73*10^6</f>
        <v>45369.466978696888</v>
      </c>
      <c r="O19">
        <f>O18/O73*10^6</f>
        <v>45221.502332081087</v>
      </c>
      <c r="Q19">
        <f>Q18/Q73*10^6</f>
        <v>49114.39399798902</v>
      </c>
      <c r="R19">
        <f>R18/R73*10^6</f>
        <v>43769.022305607672</v>
      </c>
      <c r="V19" s="16"/>
      <c r="W19" s="16"/>
      <c r="X19" s="16"/>
      <c r="Y19" s="16"/>
      <c r="Z19" s="16"/>
    </row>
    <row r="20" spans="1:27" ht="16.5" thickTop="1" thickBot="1">
      <c r="C20" s="71">
        <f>(C19-B19)/B19</f>
        <v>0.13358949532037179</v>
      </c>
      <c r="D20" s="71">
        <f t="shared" ref="D20:M20" si="18">(D19-C19)/C19</f>
        <v>0.33293600510906673</v>
      </c>
      <c r="E20" s="71">
        <f t="shared" si="18"/>
        <v>-0.2511454923470075</v>
      </c>
      <c r="F20" s="71">
        <f t="shared" ref="F20" si="19">(F19-E19)/E19</f>
        <v>-0.21417621942299195</v>
      </c>
      <c r="G20" s="71">
        <f t="shared" ref="G20" si="20">(G19-F19)/F19</f>
        <v>-0.10914487012515389</v>
      </c>
      <c r="H20" s="71">
        <f t="shared" ref="H20" si="21">(H19-G19)/G19</f>
        <v>-0.13467651545392867</v>
      </c>
      <c r="I20" s="71">
        <f t="shared" ref="I20" si="22">(I19-H19)/H19</f>
        <v>7.1278247677584228E-2</v>
      </c>
      <c r="J20" s="71"/>
      <c r="K20" s="188"/>
      <c r="M20" s="71">
        <f t="shared" si="18"/>
        <v>-5.6648202804854109E-2</v>
      </c>
      <c r="N20" s="71">
        <f t="shared" ref="N20" si="23">(N19-M19)/M19</f>
        <v>-2.0777901070797439E-2</v>
      </c>
      <c r="O20" s="71">
        <f t="shared" ref="O20" si="24">(O19-N19)/N19</f>
        <v>-3.2613265367494276E-3</v>
      </c>
      <c r="P20" s="71"/>
      <c r="R20" s="71">
        <f t="shared" ref="R20" si="25">(R19-Q19)/Q19</f>
        <v>-0.10883513482015503</v>
      </c>
      <c r="V20" s="1"/>
      <c r="W20" s="1"/>
      <c r="X20" s="1"/>
      <c r="Y20" s="1"/>
      <c r="Z20" s="1"/>
    </row>
    <row r="21" spans="1:27" ht="16.5" thickTop="1" thickBot="1">
      <c r="A21" t="s">
        <v>35</v>
      </c>
      <c r="B21" s="14">
        <f>-B11</f>
        <v>422.59</v>
      </c>
      <c r="C21" s="14">
        <f>-C11</f>
        <v>947.1</v>
      </c>
      <c r="D21" s="14">
        <f>-D11</f>
        <v>1636</v>
      </c>
      <c r="E21" s="14">
        <f>-E11</f>
        <v>1901</v>
      </c>
      <c r="F21" s="14">
        <f t="shared" ref="F21:I21" si="26">-F11</f>
        <v>2154</v>
      </c>
      <c r="G21" s="14">
        <f t="shared" si="26"/>
        <v>2322</v>
      </c>
      <c r="H21" s="14">
        <f t="shared" si="26"/>
        <v>-2911</v>
      </c>
      <c r="I21" s="14">
        <f t="shared" si="26"/>
        <v>-3747</v>
      </c>
      <c r="J21" s="18"/>
      <c r="K21" s="191"/>
      <c r="L21" s="14">
        <f t="shared" ref="L21:O21" si="27">-L11</f>
        <v>-922</v>
      </c>
      <c r="M21" s="14">
        <f t="shared" si="27"/>
        <v>-956</v>
      </c>
      <c r="N21" s="14">
        <f t="shared" si="27"/>
        <v>-989</v>
      </c>
      <c r="O21" s="14">
        <f t="shared" si="27"/>
        <v>-1046</v>
      </c>
      <c r="P21" s="14"/>
      <c r="Q21" s="14">
        <f t="shared" ref="Q21" si="28">-Q11</f>
        <v>-922</v>
      </c>
      <c r="R21" s="14">
        <f t="shared" ref="R21" si="29">-R11</f>
        <v>-1154</v>
      </c>
      <c r="AA21" t="s">
        <v>71</v>
      </c>
    </row>
    <row r="22" spans="1:27" ht="16.5" thickTop="1" thickBot="1">
      <c r="A22" t="s">
        <v>189</v>
      </c>
      <c r="B22">
        <f t="shared" ref="B22:I22" si="30">B21/B73*10^6</f>
        <v>8451.7999999999993</v>
      </c>
      <c r="C22">
        <f t="shared" si="30"/>
        <v>11285.479373704155</v>
      </c>
      <c r="D22">
        <f t="shared" si="30"/>
        <v>16193.69079552991</v>
      </c>
      <c r="E22">
        <f t="shared" si="30"/>
        <v>7468.6677405413902</v>
      </c>
      <c r="F22">
        <f t="shared" si="30"/>
        <v>5896.7816821979604</v>
      </c>
      <c r="G22">
        <f t="shared" si="30"/>
        <v>4555.290277142919</v>
      </c>
      <c r="H22">
        <f t="shared" si="30"/>
        <v>-3128.6878427208298</v>
      </c>
      <c r="I22">
        <f t="shared" si="30"/>
        <v>-2735.8133075741944</v>
      </c>
      <c r="K22" s="191"/>
      <c r="L22">
        <f>L21/L73*10^6</f>
        <v>-3565.6276587516436</v>
      </c>
      <c r="M22">
        <f>M21/M73*10^6</f>
        <v>-2612.5714972822152</v>
      </c>
      <c r="N22">
        <f>N21/N73*10^6</f>
        <v>-2249.2557442443845</v>
      </c>
      <c r="O22">
        <f>O21/O73*10^6</f>
        <v>-2372.9151921017769</v>
      </c>
      <c r="Q22">
        <f>Q21/Q73*10^6</f>
        <v>-3565.6276587516436</v>
      </c>
      <c r="R22">
        <f>R21/R73*10^6</f>
        <v>-2405.6702105482595</v>
      </c>
    </row>
    <row r="23" spans="1:27" ht="16.5" thickTop="1" thickBot="1">
      <c r="C23" s="71">
        <f>(C22-B22)/B22</f>
        <v>0.33527525186400003</v>
      </c>
      <c r="D23" s="71">
        <f t="shared" ref="D23:E23" si="31">(D22-C22)/C22</f>
        <v>0.43491386225579248</v>
      </c>
      <c r="E23" s="71">
        <f t="shared" si="31"/>
        <v>-0.53879150622024763</v>
      </c>
      <c r="F23" s="71">
        <f t="shared" ref="F23" si="32">(F22-E22)/E22</f>
        <v>-0.21046404967393645</v>
      </c>
      <c r="G23" s="71">
        <f t="shared" ref="G23" si="33">(G22-F22)/F22</f>
        <v>-0.22749551829346604</v>
      </c>
      <c r="H23" s="71">
        <f t="shared" ref="H23" si="34">(H22-G22)/G22</f>
        <v>-1.6868251313027507</v>
      </c>
      <c r="I23" s="71">
        <f t="shared" ref="I23" si="35">(I22-H22)/H22</f>
        <v>-0.12557166291315799</v>
      </c>
      <c r="J23" s="71"/>
      <c r="K23" s="191"/>
      <c r="M23" s="71">
        <f t="shared" ref="M23" si="36">(M22-L22)/L22</f>
        <v>-0.26728987226980999</v>
      </c>
      <c r="N23" s="71">
        <f t="shared" ref="N23" si="37">(N22-M22)/M22</f>
        <v>-0.13906442499880978</v>
      </c>
      <c r="O23" s="71">
        <f t="shared" ref="O23" si="38">(O22-N22)/N22</f>
        <v>5.4977940224816307E-2</v>
      </c>
      <c r="P23" s="71"/>
      <c r="R23" s="71">
        <f t="shared" ref="R23" si="39">(R22-Q22)/Q22</f>
        <v>-0.32531648259916601</v>
      </c>
    </row>
    <row r="24" spans="1:27" ht="16.5" thickTop="1" thickBot="1">
      <c r="A24" t="s">
        <v>36</v>
      </c>
      <c r="B24" s="14">
        <f>B18+B21</f>
        <v>3545.11</v>
      </c>
      <c r="C24" s="14">
        <f>C18+C21</f>
        <v>6888.2000000000007</v>
      </c>
      <c r="D24" s="14">
        <f>D18+D21</f>
        <v>11169.18</v>
      </c>
      <c r="E24" s="14">
        <f>E18+E21</f>
        <v>19887.09</v>
      </c>
      <c r="F24" s="14">
        <f t="shared" ref="F24:G24" si="40">F18+F21</f>
        <v>22438</v>
      </c>
      <c r="G24" s="14">
        <f t="shared" si="40"/>
        <v>27538</v>
      </c>
      <c r="H24" s="14">
        <f>H18+H21</f>
        <v>36917</v>
      </c>
      <c r="I24" s="14">
        <f t="shared" ref="I24" si="41">I18+I21</f>
        <v>59060</v>
      </c>
      <c r="J24" s="18"/>
      <c r="K24" s="191"/>
      <c r="L24" s="14">
        <f t="shared" ref="L24:O24" si="42">L18+L21</f>
        <v>11778</v>
      </c>
      <c r="M24" s="14">
        <f t="shared" si="42"/>
        <v>15998</v>
      </c>
      <c r="N24" s="14">
        <f t="shared" si="42"/>
        <v>18960</v>
      </c>
      <c r="O24" s="14">
        <f t="shared" si="42"/>
        <v>18888</v>
      </c>
      <c r="P24" s="14"/>
      <c r="Q24" s="14">
        <f t="shared" ref="Q24" si="43">Q18+Q21</f>
        <v>11778</v>
      </c>
      <c r="R24" s="14">
        <f t="shared" ref="R24" si="44">R18+R21</f>
        <v>19842</v>
      </c>
      <c r="V24" s="14"/>
      <c r="W24" s="14"/>
      <c r="X24" s="14"/>
      <c r="Y24" s="14"/>
      <c r="Z24" s="14"/>
      <c r="AA24" t="s">
        <v>72</v>
      </c>
    </row>
    <row r="25" spans="1:27" ht="16.5" thickTop="1" thickBot="1">
      <c r="A25" t="s">
        <v>38</v>
      </c>
      <c r="B25" s="18">
        <f t="shared" ref="B25:I25" si="45">B24/B73*10^6</f>
        <v>70902.2</v>
      </c>
      <c r="C25" s="18">
        <f t="shared" si="45"/>
        <v>82078.596792259486</v>
      </c>
      <c r="D25" s="18">
        <f t="shared" si="45"/>
        <v>110556.38591663615</v>
      </c>
      <c r="E25" s="18">
        <f t="shared" si="45"/>
        <v>78132.597336266845</v>
      </c>
      <c r="F25" s="18">
        <f t="shared" si="45"/>
        <v>61426.177987538467</v>
      </c>
      <c r="G25" s="18">
        <f t="shared" si="45"/>
        <v>54023.937834608827</v>
      </c>
      <c r="H25" s="18">
        <f t="shared" si="45"/>
        <v>39677.694637487075</v>
      </c>
      <c r="I25" s="18">
        <f t="shared" si="45"/>
        <v>43121.733105239371</v>
      </c>
      <c r="J25" s="18"/>
      <c r="K25" s="191"/>
      <c r="L25" s="18">
        <f>L24/L73*10^6</f>
        <v>45548.766339237372</v>
      </c>
      <c r="M25" s="18">
        <f>M24/M73*10^6</f>
        <v>43719.580348871212</v>
      </c>
      <c r="N25" s="18">
        <f>N24/N73*10^6</f>
        <v>43120.211234452501</v>
      </c>
      <c r="O25" s="18">
        <f>O24/O73*10^6</f>
        <v>42848.58713997931</v>
      </c>
      <c r="P25" s="18"/>
      <c r="Q25" s="18">
        <f>Q24/Q73*10^6</f>
        <v>45548.766339237372</v>
      </c>
      <c r="R25" s="18">
        <f>R24/R73*10^6</f>
        <v>41363.35209505941</v>
      </c>
    </row>
    <row r="26" spans="1:27" ht="16.5" thickTop="1" thickBot="1">
      <c r="A26" s="12" t="s">
        <v>34</v>
      </c>
      <c r="B26" s="20"/>
      <c r="C26" s="20">
        <f t="shared" ref="C26:I26" si="46">((C24-B24)/(C73-B73))*10^6</f>
        <v>98552.266965391216</v>
      </c>
      <c r="D26" s="20">
        <f t="shared" si="46"/>
        <v>250276.52733118966</v>
      </c>
      <c r="E26" s="20">
        <f t="shared" si="46"/>
        <v>56793.091991687455</v>
      </c>
      <c r="F26" s="20">
        <f t="shared" si="46"/>
        <v>23032.215540747962</v>
      </c>
      <c r="G26" s="20">
        <f t="shared" si="46"/>
        <v>35305.601129779236</v>
      </c>
      <c r="H26" s="20">
        <f t="shared" si="46"/>
        <v>22294.590964736086</v>
      </c>
      <c r="I26" s="20">
        <f t="shared" si="46"/>
        <v>50417.92941080036</v>
      </c>
      <c r="J26" s="20"/>
      <c r="K26" s="191"/>
      <c r="L26" s="20"/>
      <c r="M26" s="20">
        <f>((M24-L24)/(M73-L73))*10^6</f>
        <v>39313.229553860052</v>
      </c>
      <c r="N26" s="20">
        <f>((N24-M24)/(N73-M73))*10^6</f>
        <v>40147.469435333027</v>
      </c>
      <c r="O26" s="20">
        <f>((O24-N24)/(O73-N73))*10^6</f>
        <v>-65040.650406504072</v>
      </c>
      <c r="P26" s="20"/>
      <c r="Q26" s="20"/>
      <c r="R26" s="20">
        <f>((R24-Q24)/(R73-Q73))*10^6</f>
        <v>36468.885672937773</v>
      </c>
      <c r="V26" s="16"/>
      <c r="W26" s="16"/>
      <c r="X26" s="16"/>
      <c r="Y26" s="16"/>
      <c r="Z26" s="16"/>
    </row>
    <row r="27" spans="1:27" ht="16.5" thickTop="1" thickBot="1">
      <c r="A27" s="12"/>
      <c r="B27" s="20"/>
      <c r="C27" s="20"/>
      <c r="D27" s="71">
        <f>(D26-C26)/C26</f>
        <v>1.5395309010910903</v>
      </c>
      <c r="E27" s="71">
        <f>(E26-D26)/D26</f>
        <v>-0.77307863187452075</v>
      </c>
      <c r="F27" s="71">
        <f t="shared" ref="F27:G27" si="47">(F26-E26)/E26</f>
        <v>-0.59445392506329686</v>
      </c>
      <c r="G27" s="71">
        <f t="shared" si="47"/>
        <v>0.5328790696369412</v>
      </c>
      <c r="H27" s="71">
        <f t="shared" ref="H27" si="48">(H26-G26)/G26</f>
        <v>-0.36852538262176043</v>
      </c>
      <c r="I27" s="71">
        <f t="shared" ref="I27" si="49">(I26-H26)/H26</f>
        <v>1.2614422256298699</v>
      </c>
      <c r="J27" s="71"/>
      <c r="K27" s="193"/>
      <c r="L27" s="71"/>
      <c r="M27" s="71"/>
      <c r="N27" s="71">
        <f>(N26-M26)/ABS(M26)</f>
        <v>2.1220334501647762E-2</v>
      </c>
      <c r="O27" s="71">
        <f t="shared" ref="O27" si="50">(O26-N26)/N26</f>
        <v>-2.6200435873366161</v>
      </c>
      <c r="P27" s="71"/>
      <c r="Q27" s="71"/>
      <c r="R27" s="71" t="e">
        <f t="shared" ref="R27" si="51">(R26-Q26)/Q26</f>
        <v>#DIV/0!</v>
      </c>
      <c r="U27" s="1"/>
      <c r="V27" s="1"/>
      <c r="W27" s="1"/>
      <c r="X27" s="1"/>
      <c r="Y27" s="1"/>
      <c r="Z27" s="1"/>
    </row>
    <row r="28" spans="1:27" ht="16.5" thickTop="1" thickBot="1">
      <c r="A28" t="s">
        <v>10</v>
      </c>
      <c r="B28" s="14">
        <v>4046.03</v>
      </c>
      <c r="C28" s="14">
        <v>7000.13</v>
      </c>
      <c r="D28" s="14">
        <v>11759</v>
      </c>
      <c r="E28" s="14">
        <v>21461</v>
      </c>
      <c r="F28" s="14">
        <v>24578</v>
      </c>
      <c r="G28" s="14">
        <v>31536</v>
      </c>
      <c r="H28" s="205">
        <v>53823</v>
      </c>
      <c r="I28" s="205">
        <v>81462</v>
      </c>
      <c r="J28" s="18"/>
      <c r="K28" s="191"/>
      <c r="L28" s="205">
        <v>16934</v>
      </c>
      <c r="M28" s="205">
        <v>21454</v>
      </c>
      <c r="N28" s="205">
        <v>24318</v>
      </c>
      <c r="O28" s="205">
        <v>23329</v>
      </c>
      <c r="P28" s="205"/>
      <c r="Q28" s="205">
        <v>16934</v>
      </c>
      <c r="R28" s="205">
        <v>24927</v>
      </c>
      <c r="V28" s="14"/>
      <c r="W28" s="14"/>
      <c r="X28" s="14"/>
      <c r="Y28" s="14"/>
      <c r="Z28" s="14"/>
    </row>
    <row r="29" spans="1:27" ht="16.5" thickTop="1" thickBot="1">
      <c r="A29" s="12" t="s">
        <v>33</v>
      </c>
      <c r="B29" s="20"/>
      <c r="C29" s="20">
        <f t="shared" ref="C29:I29" si="52">((C28-B28)/(C74-B74))*10^6</f>
        <v>114101.96987253765</v>
      </c>
      <c r="D29" s="20">
        <f t="shared" si="52"/>
        <v>175409.8783634353</v>
      </c>
      <c r="E29" s="20">
        <f t="shared" si="52"/>
        <v>68372.093023255802</v>
      </c>
      <c r="F29" s="20">
        <f t="shared" si="52"/>
        <v>25490.677134445534</v>
      </c>
      <c r="G29" s="20">
        <f t="shared" si="52"/>
        <v>52572.723838307516</v>
      </c>
      <c r="H29" s="20">
        <f t="shared" si="52"/>
        <v>51044.152607976692</v>
      </c>
      <c r="I29" s="20">
        <f t="shared" si="52"/>
        <v>73181.193553255551</v>
      </c>
      <c r="J29" s="20"/>
      <c r="K29" s="191"/>
      <c r="L29" s="20"/>
      <c r="M29" s="20">
        <f>((M28-L28)/(M74-L74))*10^6</f>
        <v>50709.597801088239</v>
      </c>
      <c r="N29" s="20">
        <f>((N28-M28)/(N74-M74))*10^6</f>
        <v>46608.514516339019</v>
      </c>
      <c r="O29" s="20">
        <f>((O28-N28)/(O74-N74))*10^6</f>
        <v>-56202.761834403595</v>
      </c>
      <c r="P29" s="20"/>
      <c r="Q29" s="20"/>
      <c r="R29" s="20">
        <f>((R28-Q28)/(R74-Q74))*10^6</f>
        <v>37801.792428291039</v>
      </c>
      <c r="V29" s="16"/>
      <c r="W29" s="16"/>
      <c r="X29" s="16"/>
      <c r="Y29" s="16"/>
      <c r="Z29" s="16"/>
    </row>
    <row r="30" spans="1:27" ht="16.5" thickTop="1" thickBot="1">
      <c r="A30" s="12"/>
      <c r="B30" s="71"/>
      <c r="C30" s="71"/>
      <c r="D30" s="71">
        <f>(D29-C29)/C29</f>
        <v>0.53730806365029626</v>
      </c>
      <c r="E30" s="71">
        <f>(E29-D29)/D29</f>
        <v>-0.61021526460673858</v>
      </c>
      <c r="F30" s="71">
        <f t="shared" ref="F30:G30" si="53">(F29-E29)/E29</f>
        <v>-0.62717717116287142</v>
      </c>
      <c r="G30" s="71">
        <f t="shared" si="53"/>
        <v>1.0624294741572806</v>
      </c>
      <c r="H30" s="71">
        <f t="shared" ref="H30" si="54">(H29-G29)/G29</f>
        <v>-2.9075366820104146E-2</v>
      </c>
      <c r="I30" s="71">
        <f t="shared" ref="I30" si="55">(I29-H29)/H29</f>
        <v>0.43368416976755714</v>
      </c>
      <c r="J30" s="71"/>
      <c r="K30" s="193"/>
      <c r="L30" s="71"/>
      <c r="M30" s="71"/>
      <c r="N30" s="71">
        <f>(N29-M29)/ABS(M29)</f>
        <v>-8.0873906766841086E-2</v>
      </c>
      <c r="O30" s="71">
        <f t="shared" ref="O30" si="56">(O29-N29)/ABS(N29)</f>
        <v>-2.205847524162162</v>
      </c>
      <c r="P30" s="71"/>
      <c r="Q30" s="71"/>
      <c r="R30" s="71" t="e">
        <f t="shared" ref="R30" si="57">(R29-Q29)/ABS(Q29)</f>
        <v>#DIV/0!</v>
      </c>
      <c r="U30" s="1"/>
      <c r="V30" s="1"/>
      <c r="W30" s="1"/>
      <c r="X30" s="1"/>
      <c r="Y30" s="1"/>
      <c r="Z30" s="1"/>
    </row>
    <row r="31" spans="1:27" ht="16.5" thickTop="1" thickBot="1">
      <c r="A31" s="4" t="s">
        <v>341</v>
      </c>
      <c r="B31" s="186">
        <v>130.41999999999999</v>
      </c>
      <c r="C31" s="186">
        <v>113.04</v>
      </c>
      <c r="D31" s="186">
        <v>82.89</v>
      </c>
      <c r="E31" s="186">
        <v>56.33</v>
      </c>
      <c r="F31" s="186">
        <v>59.31</v>
      </c>
      <c r="G31" s="186">
        <v>56.08</v>
      </c>
      <c r="H31" s="209">
        <v>44.73</v>
      </c>
      <c r="I31" s="209">
        <v>55.99</v>
      </c>
      <c r="J31" s="186"/>
      <c r="K31" s="188">
        <v>79.87</v>
      </c>
      <c r="L31" s="187"/>
      <c r="M31" s="186">
        <v>62.15</v>
      </c>
      <c r="N31" s="186">
        <v>54.3</v>
      </c>
      <c r="O31" s="186">
        <v>77.27</v>
      </c>
      <c r="P31" s="186"/>
      <c r="Q31" s="187"/>
      <c r="R31" s="186">
        <v>77.27</v>
      </c>
      <c r="U31" s="1"/>
      <c r="V31" s="1"/>
      <c r="W31" s="1"/>
      <c r="X31" s="1"/>
      <c r="Y31" s="1"/>
      <c r="Z31" s="1"/>
    </row>
    <row r="32" spans="1:27" ht="16.5" thickTop="1" thickBot="1">
      <c r="A32" s="4" t="s">
        <v>342</v>
      </c>
      <c r="B32" s="186">
        <v>107.09</v>
      </c>
      <c r="C32" s="186">
        <v>125.72</v>
      </c>
      <c r="D32" s="186">
        <v>91.49</v>
      </c>
      <c r="E32" s="186">
        <v>71.349999999999994</v>
      </c>
      <c r="F32" s="186">
        <v>63.86</v>
      </c>
      <c r="G32" s="186">
        <v>71.97</v>
      </c>
      <c r="H32" s="209">
        <v>72.95</v>
      </c>
      <c r="I32" s="209">
        <v>76.12</v>
      </c>
      <c r="J32" s="186"/>
      <c r="K32" s="188">
        <v>59.86</v>
      </c>
      <c r="L32" s="187"/>
      <c r="M32" s="186">
        <v>61.9</v>
      </c>
      <c r="N32" s="186">
        <v>57.42</v>
      </c>
      <c r="O32" s="186">
        <v>76.25</v>
      </c>
      <c r="P32" s="186"/>
      <c r="Q32" s="187"/>
      <c r="R32" s="186">
        <v>76.25</v>
      </c>
      <c r="U32" s="1"/>
      <c r="V32" s="1"/>
      <c r="W32" s="1"/>
      <c r="X32" s="1"/>
      <c r="Y32" s="1"/>
      <c r="Z32" s="1"/>
    </row>
    <row r="33" spans="1:33" ht="16.5" thickTop="1" thickBot="1">
      <c r="A33" s="4" t="s">
        <v>343</v>
      </c>
      <c r="B33" s="186">
        <v>15.24</v>
      </c>
      <c r="C33" s="186">
        <v>26.03</v>
      </c>
      <c r="D33" s="186">
        <v>16</v>
      </c>
      <c r="E33" s="186">
        <v>16.14</v>
      </c>
      <c r="F33" s="186">
        <v>16.88</v>
      </c>
      <c r="G33" s="186">
        <v>18.579999999999998</v>
      </c>
      <c r="H33" s="209">
        <v>12.88</v>
      </c>
      <c r="I33" s="209">
        <v>10.9</v>
      </c>
      <c r="J33" s="186"/>
      <c r="K33" s="188">
        <v>59.14</v>
      </c>
      <c r="L33" s="187"/>
      <c r="M33" s="186">
        <v>16.329999999999998</v>
      </c>
      <c r="N33" s="186">
        <v>16.36</v>
      </c>
      <c r="O33" s="186">
        <v>19.420000000000002</v>
      </c>
      <c r="P33" s="186"/>
      <c r="Q33" s="187"/>
      <c r="R33" s="186">
        <v>19.420000000000002</v>
      </c>
      <c r="U33" s="1"/>
      <c r="V33" s="1"/>
      <c r="W33" s="1"/>
      <c r="X33" s="1"/>
      <c r="Y33" s="1"/>
      <c r="Z33" s="1"/>
    </row>
    <row r="34" spans="1:33" ht="16.5" thickTop="1" thickBot="1">
      <c r="A34" s="4" t="s">
        <v>358</v>
      </c>
      <c r="B34" s="186">
        <f>B31+B33</f>
        <v>145.66</v>
      </c>
      <c r="C34" s="186">
        <f t="shared" ref="C34:K34" si="58">C31+C33</f>
        <v>139.07</v>
      </c>
      <c r="D34" s="186">
        <f t="shared" si="58"/>
        <v>98.89</v>
      </c>
      <c r="E34" s="186">
        <f t="shared" si="58"/>
        <v>72.47</v>
      </c>
      <c r="F34" s="186">
        <f t="shared" si="58"/>
        <v>76.19</v>
      </c>
      <c r="G34" s="186">
        <f t="shared" si="58"/>
        <v>74.66</v>
      </c>
      <c r="H34" s="186">
        <f t="shared" si="58"/>
        <v>57.61</v>
      </c>
      <c r="I34" s="186">
        <f t="shared" si="58"/>
        <v>66.89</v>
      </c>
      <c r="J34" s="186"/>
      <c r="K34" s="195">
        <f t="shared" si="58"/>
        <v>139.01</v>
      </c>
      <c r="L34" s="187"/>
      <c r="M34" s="186">
        <f t="shared" ref="M34" si="59">M31+M33</f>
        <v>78.47999999999999</v>
      </c>
      <c r="N34" s="186">
        <f t="shared" ref="N34" si="60">N31+N33</f>
        <v>70.66</v>
      </c>
      <c r="O34" s="186">
        <f t="shared" ref="O34:R34" si="61">O31+O33</f>
        <v>96.69</v>
      </c>
      <c r="P34" s="186"/>
      <c r="Q34" s="187"/>
      <c r="R34" s="186">
        <f t="shared" si="61"/>
        <v>96.69</v>
      </c>
      <c r="U34" s="1"/>
      <c r="V34" s="1"/>
      <c r="W34" s="1"/>
      <c r="X34" s="1"/>
      <c r="Y34" s="1"/>
      <c r="Z34" s="1"/>
    </row>
    <row r="35" spans="1:33" ht="21.75" thickTop="1" thickBot="1">
      <c r="A35" s="4" t="s">
        <v>344</v>
      </c>
      <c r="B35" s="186">
        <f>B34-B32</f>
        <v>38.569999999999993</v>
      </c>
      <c r="C35" s="186">
        <f t="shared" ref="C35:K35" si="62">C34-C32</f>
        <v>13.349999999999994</v>
      </c>
      <c r="D35" s="186">
        <f t="shared" si="62"/>
        <v>7.4000000000000057</v>
      </c>
      <c r="E35" s="186">
        <f t="shared" si="62"/>
        <v>1.1200000000000045</v>
      </c>
      <c r="F35" s="186">
        <f t="shared" si="62"/>
        <v>12.329999999999998</v>
      </c>
      <c r="G35" s="186">
        <f t="shared" si="62"/>
        <v>2.6899999999999977</v>
      </c>
      <c r="H35" s="186">
        <f t="shared" si="62"/>
        <v>-15.340000000000003</v>
      </c>
      <c r="I35" s="186">
        <f t="shared" si="62"/>
        <v>-9.230000000000004</v>
      </c>
      <c r="J35" s="186"/>
      <c r="K35" s="195">
        <f t="shared" si="62"/>
        <v>79.149999999999991</v>
      </c>
      <c r="L35" s="187"/>
      <c r="M35" s="186">
        <f t="shared" ref="M35" si="63">M34-M32</f>
        <v>16.579999999999991</v>
      </c>
      <c r="N35" s="186">
        <f t="shared" ref="N35" si="64">N34-N32</f>
        <v>13.239999999999995</v>
      </c>
      <c r="O35" s="186">
        <f t="shared" ref="O35:R35" si="65">O34-O32</f>
        <v>20.439999999999998</v>
      </c>
      <c r="P35" s="186"/>
      <c r="Q35" s="187"/>
      <c r="R35" s="186">
        <f t="shared" si="65"/>
        <v>20.439999999999998</v>
      </c>
      <c r="U35" s="1"/>
      <c r="V35" s="185" t="s">
        <v>345</v>
      </c>
      <c r="W35" s="1"/>
      <c r="X35" s="1"/>
      <c r="Y35" s="1"/>
      <c r="Z35" s="1"/>
    </row>
    <row r="36" spans="1:33" ht="24.75" customHeight="1" thickTop="1" thickBot="1">
      <c r="A36" s="4" t="s">
        <v>359</v>
      </c>
      <c r="B36" s="186">
        <v>0.54</v>
      </c>
      <c r="C36" s="186">
        <v>0.72</v>
      </c>
      <c r="D36" s="186">
        <v>0.56000000000000005</v>
      </c>
      <c r="E36" s="186">
        <v>0.52</v>
      </c>
      <c r="F36" s="186">
        <v>0.8</v>
      </c>
      <c r="G36" s="186">
        <v>1.59</v>
      </c>
      <c r="H36" s="186">
        <v>1.08</v>
      </c>
      <c r="I36" s="186">
        <v>1.05</v>
      </c>
      <c r="J36" s="186"/>
      <c r="K36" s="188">
        <v>1.04</v>
      </c>
      <c r="L36" s="187"/>
      <c r="M36" s="186">
        <v>0.73</v>
      </c>
      <c r="N36" s="186">
        <v>0.8</v>
      </c>
      <c r="O36" s="186">
        <v>0.87</v>
      </c>
      <c r="P36" s="186"/>
      <c r="Q36" s="187"/>
      <c r="R36" s="186">
        <v>1.87</v>
      </c>
      <c r="U36" s="1"/>
      <c r="V36" s="185" t="s">
        <v>347</v>
      </c>
      <c r="W36" s="194"/>
      <c r="X36" s="194"/>
      <c r="Y36" s="194"/>
      <c r="Z36" s="194"/>
      <c r="AA36" s="194"/>
      <c r="AB36" s="194"/>
      <c r="AC36" s="194"/>
      <c r="AD36" s="194"/>
      <c r="AE36" s="194"/>
      <c r="AF36" s="194"/>
      <c r="AG36" s="194"/>
    </row>
    <row r="37" spans="1:33" ht="24.75" customHeight="1" thickTop="1" thickBot="1">
      <c r="A37" s="4"/>
      <c r="B37" s="186"/>
      <c r="C37" s="186"/>
      <c r="D37" s="186"/>
      <c r="E37" s="186"/>
      <c r="F37" s="186"/>
      <c r="G37" s="186"/>
      <c r="H37" s="186"/>
      <c r="I37" s="186"/>
      <c r="J37" s="186"/>
      <c r="K37" s="188"/>
      <c r="L37" s="187"/>
      <c r="M37" s="186"/>
      <c r="N37" s="186"/>
      <c r="O37" s="186"/>
      <c r="P37" s="186"/>
      <c r="Q37" s="187"/>
      <c r="R37" s="186"/>
      <c r="U37" s="1"/>
      <c r="V37" s="185" t="s">
        <v>348</v>
      </c>
      <c r="W37" s="194"/>
      <c r="X37" s="194"/>
      <c r="Y37" s="194"/>
      <c r="Z37" s="194"/>
      <c r="AA37" s="194"/>
      <c r="AB37" s="194"/>
      <c r="AC37" s="194"/>
      <c r="AD37" s="194"/>
      <c r="AE37" s="194"/>
      <c r="AF37" s="194"/>
      <c r="AG37" s="194"/>
    </row>
    <row r="38" spans="1:33" ht="16.5" thickTop="1" thickBot="1">
      <c r="A38" s="3" t="s">
        <v>39</v>
      </c>
      <c r="B38" s="21">
        <f t="shared" ref="B38:I38" si="66">B28/B74*10^6</f>
        <v>80920.600000000006</v>
      </c>
      <c r="C38" s="21">
        <f t="shared" si="66"/>
        <v>92240.479641586513</v>
      </c>
      <c r="D38" s="21">
        <f t="shared" si="66"/>
        <v>114142.88487672298</v>
      </c>
      <c r="E38" s="21">
        <f t="shared" si="66"/>
        <v>87624.530458925365</v>
      </c>
      <c r="F38" s="21">
        <f t="shared" si="66"/>
        <v>66933.55119825709</v>
      </c>
      <c r="G38" s="21">
        <f t="shared" si="66"/>
        <v>63128.815934340899</v>
      </c>
      <c r="H38" s="21">
        <f t="shared" si="66"/>
        <v>57492.640241323177</v>
      </c>
      <c r="I38" s="21">
        <f t="shared" si="66"/>
        <v>62002.464510815917</v>
      </c>
      <c r="J38" s="148"/>
      <c r="K38" s="22"/>
      <c r="L38" s="21">
        <f>L28/L74*10^6</f>
        <v>66487.367243173212</v>
      </c>
      <c r="M38" s="21">
        <f>M28/M74*10^6</f>
        <v>62397.114853270512</v>
      </c>
      <c r="N38" s="21">
        <f>N28/N74*10^6</f>
        <v>60003.25702357394</v>
      </c>
      <c r="O38" s="21">
        <f>O28/O74*10^6</f>
        <v>55167.60271947975</v>
      </c>
      <c r="P38" s="21"/>
      <c r="Q38" s="21">
        <f>Q28/Q74*10^6</f>
        <v>66487.367243173212</v>
      </c>
      <c r="R38" s="21">
        <f>R28/R74*10^6</f>
        <v>53475.350752992665</v>
      </c>
    </row>
    <row r="39" spans="1:33">
      <c r="A39" s="3" t="s">
        <v>251</v>
      </c>
      <c r="B39" s="148">
        <f t="shared" ref="B39:I39" si="67">B74*(B38-B19)/10^6</f>
        <v>923.51000000000056</v>
      </c>
      <c r="C39" s="148">
        <f t="shared" si="67"/>
        <v>1627.6403191058357</v>
      </c>
      <c r="D39" s="148">
        <f t="shared" si="67"/>
        <v>2037.7551486236364</v>
      </c>
      <c r="E39" s="148">
        <f t="shared" si="67"/>
        <v>4153.9903634149223</v>
      </c>
      <c r="F39" s="148">
        <f t="shared" si="67"/>
        <v>4187.6056766789707</v>
      </c>
      <c r="G39" s="148">
        <f t="shared" si="67"/>
        <v>6823.9371126678989</v>
      </c>
      <c r="H39" s="148">
        <f t="shared" si="67"/>
        <v>13748.863300738807</v>
      </c>
      <c r="I39" s="148">
        <f t="shared" si="67"/>
        <v>21212.016787978489</v>
      </c>
      <c r="J39" s="148"/>
      <c r="K39" s="22"/>
      <c r="L39" s="148">
        <f>L74*(L38-L19)/10^6</f>
        <v>4424.8094206821879</v>
      </c>
      <c r="M39" s="148">
        <f>M74*(M38-M19)/10^6</f>
        <v>5523.616230737066</v>
      </c>
      <c r="N39" s="148">
        <f>N74*(N38-N19)/10^6</f>
        <v>5930.7531618076819</v>
      </c>
      <c r="O39" s="148">
        <f>O74*(O38-O19)/10^6</f>
        <v>4205.9572013212091</v>
      </c>
      <c r="P39" s="148"/>
      <c r="Q39" s="148">
        <f>Q74*(Q38-Q19)/10^6</f>
        <v>4424.8094206821879</v>
      </c>
      <c r="R39" s="148">
        <f>R74*(R38-R19)/10^6</f>
        <v>4524.5079424640408</v>
      </c>
    </row>
    <row r="40" spans="1:33">
      <c r="A40" s="3" t="s">
        <v>250</v>
      </c>
      <c r="B40" s="148">
        <f t="shared" ref="B40:I40" si="68">B39/(B39-B21)</f>
        <v>1.8436277249860247</v>
      </c>
      <c r="C40" s="148">
        <f t="shared" si="68"/>
        <v>2.39168830032642</v>
      </c>
      <c r="D40" s="148">
        <f t="shared" si="68"/>
        <v>5.0721320077782064</v>
      </c>
      <c r="E40" s="148">
        <f t="shared" si="68"/>
        <v>1.8437674793773196</v>
      </c>
      <c r="F40" s="148">
        <f t="shared" si="68"/>
        <v>2.0592023934146577</v>
      </c>
      <c r="G40" s="148">
        <f t="shared" si="68"/>
        <v>1.5157779733231227</v>
      </c>
      <c r="H40" s="148">
        <f t="shared" si="68"/>
        <v>0.82526867433114492</v>
      </c>
      <c r="I40" s="148">
        <f t="shared" si="68"/>
        <v>0.84987389399871138</v>
      </c>
      <c r="J40" s="148"/>
      <c r="K40" s="22"/>
      <c r="L40" s="148">
        <f>L39/(L39-L21)</f>
        <v>0.82756071379062468</v>
      </c>
      <c r="M40" s="148">
        <f>M39/(M39-M21)</f>
        <v>0.85246039796846829</v>
      </c>
      <c r="N40" s="148">
        <f>N39/(N39-N21)</f>
        <v>0.85707582671321203</v>
      </c>
      <c r="O40" s="148">
        <f>O39/(O39-O21)</f>
        <v>0.80083615309415257</v>
      </c>
      <c r="P40" s="148"/>
      <c r="Q40" s="148">
        <f>Q39/(Q39-Q21)</f>
        <v>0.82756071379062468</v>
      </c>
      <c r="R40" s="148">
        <f>R39/(R39-R21)</f>
        <v>0.79677760219892346</v>
      </c>
    </row>
    <row r="41" spans="1:33">
      <c r="A41" s="3" t="s">
        <v>252</v>
      </c>
      <c r="B41" s="148">
        <f t="shared" ref="B41:I41" si="69">B39-B21</f>
        <v>500.92000000000058</v>
      </c>
      <c r="C41" s="148">
        <f t="shared" si="69"/>
        <v>680.54031910583569</v>
      </c>
      <c r="D41" s="148">
        <f t="shared" si="69"/>
        <v>401.75514862363639</v>
      </c>
      <c r="E41" s="148">
        <f t="shared" si="69"/>
        <v>2252.9903634149223</v>
      </c>
      <c r="F41" s="148">
        <f t="shared" si="69"/>
        <v>2033.6056766789707</v>
      </c>
      <c r="G41" s="148">
        <f t="shared" si="69"/>
        <v>4501.9371126678989</v>
      </c>
      <c r="H41" s="148">
        <f t="shared" si="69"/>
        <v>16659.863300738805</v>
      </c>
      <c r="I41" s="148">
        <f t="shared" si="69"/>
        <v>24959.016787978489</v>
      </c>
      <c r="J41" s="148"/>
      <c r="K41" s="22"/>
      <c r="L41" s="148">
        <f>L39-L21</f>
        <v>5346.8094206821879</v>
      </c>
      <c r="M41" s="148">
        <f>M39-M21</f>
        <v>6479.616230737066</v>
      </c>
      <c r="N41" s="148">
        <f>N39-N21</f>
        <v>6919.7531618076819</v>
      </c>
      <c r="O41" s="148">
        <f>O39-O21</f>
        <v>5251.9572013212091</v>
      </c>
      <c r="P41" s="148"/>
      <c r="Q41" s="148">
        <f>Q39-Q21</f>
        <v>5346.8094206821879</v>
      </c>
      <c r="R41" s="148">
        <f>R39-R21</f>
        <v>5678.5079424640408</v>
      </c>
    </row>
    <row r="42" spans="1:33">
      <c r="A42" s="3" t="s">
        <v>258</v>
      </c>
      <c r="B42" s="148">
        <f t="shared" ref="B42:I42" si="70">B21/((B38-B19)/10^6)</f>
        <v>22879.557341014155</v>
      </c>
      <c r="C42" s="148">
        <f t="shared" si="70"/>
        <v>44159.276565160071</v>
      </c>
      <c r="D42" s="148">
        <f t="shared" si="70"/>
        <v>82709.014433769276</v>
      </c>
      <c r="E42" s="148">
        <f t="shared" si="70"/>
        <v>112083.2932354817</v>
      </c>
      <c r="F42" s="148">
        <f t="shared" si="70"/>
        <v>188878.52894193016</v>
      </c>
      <c r="G42" s="148">
        <f t="shared" si="70"/>
        <v>169983.26345163252</v>
      </c>
      <c r="H42" s="148">
        <f t="shared" si="70"/>
        <v>-198212.50909182863</v>
      </c>
      <c r="I42" s="148">
        <f t="shared" si="70"/>
        <v>-232085.41395224701</v>
      </c>
      <c r="J42" s="148"/>
      <c r="K42" s="22"/>
      <c r="L42" s="148">
        <f>L21/((L38-L19)/10^6)</f>
        <v>-53070.938807528495</v>
      </c>
      <c r="M42" s="148">
        <f>M21/((M38-M19)/10^6)</f>
        <v>-59508.384773526952</v>
      </c>
      <c r="N42" s="148">
        <f>N21/((N38-N19)/10^6)</f>
        <v>-67583.312113065724</v>
      </c>
      <c r="O42" s="148">
        <f>O21/((O38-O19)/10^6)</f>
        <v>-105166.84522159488</v>
      </c>
      <c r="P42" s="148"/>
      <c r="Q42" s="148">
        <f>Q21/((Q38-Q19)/10^6)</f>
        <v>-53070.938807528495</v>
      </c>
      <c r="R42" s="148">
        <f>R21/((R38-R19)/10^6)</f>
        <v>-118891.50529528003</v>
      </c>
    </row>
    <row r="43" spans="1:33">
      <c r="A43" s="3" t="s">
        <v>256</v>
      </c>
      <c r="B43" s="148">
        <v>118.85</v>
      </c>
      <c r="C43" s="148">
        <v>198.81</v>
      </c>
      <c r="D43" s="148">
        <v>471</v>
      </c>
      <c r="E43" s="148">
        <v>663</v>
      </c>
      <c r="F43" s="148">
        <v>685</v>
      </c>
      <c r="G43" s="148">
        <v>748</v>
      </c>
      <c r="H43" s="148">
        <v>371</v>
      </c>
      <c r="I43" s="148">
        <v>191</v>
      </c>
      <c r="J43" s="148"/>
      <c r="K43" s="22"/>
      <c r="L43" s="148">
        <v>44</v>
      </c>
      <c r="M43" s="148">
        <v>53</v>
      </c>
      <c r="N43" s="148">
        <v>33</v>
      </c>
      <c r="O43" s="148">
        <v>29</v>
      </c>
      <c r="P43" s="148"/>
      <c r="Q43" s="148">
        <v>44</v>
      </c>
      <c r="R43" s="148">
        <v>28</v>
      </c>
    </row>
    <row r="44" spans="1:33">
      <c r="A44" s="3" t="s">
        <v>253</v>
      </c>
      <c r="B44" s="148">
        <f>B41/(B41-B43)</f>
        <v>1.3110686523411934</v>
      </c>
      <c r="C44" s="148">
        <f t="shared" ref="C44:E44" si="71">C41/(C41-C43)</f>
        <v>1.4126997868206042</v>
      </c>
      <c r="D44" s="148">
        <f t="shared" si="71"/>
        <v>-5.8019497571017027</v>
      </c>
      <c r="E44" s="148">
        <f t="shared" si="71"/>
        <v>1.4169836593072382</v>
      </c>
      <c r="F44" s="148">
        <f t="shared" ref="F44:G44" si="72">F41/(F41-F43)</f>
        <v>1.5079320158927827</v>
      </c>
      <c r="G44" s="148">
        <f t="shared" si="72"/>
        <v>1.1992574669074307</v>
      </c>
      <c r="H44" s="148">
        <f t="shared" ref="H44" si="73">H41/(H41-H43)</f>
        <v>1.0227762977164387</v>
      </c>
      <c r="I44" s="148">
        <f>I41/(I41-I43)</f>
        <v>1.0077115580805285</v>
      </c>
      <c r="J44" s="148"/>
      <c r="K44" s="22"/>
      <c r="L44" s="148">
        <f t="shared" ref="L44:O44" si="74">L41/(L41-L43)</f>
        <v>1.0082974884649616</v>
      </c>
      <c r="M44" s="148">
        <f t="shared" si="74"/>
        <v>1.0082469526881834</v>
      </c>
      <c r="N44" s="148">
        <f t="shared" si="74"/>
        <v>1.0047918081604856</v>
      </c>
      <c r="O44" s="148">
        <f t="shared" si="74"/>
        <v>1.0055524100394053</v>
      </c>
      <c r="P44" s="148"/>
      <c r="Q44" s="148">
        <f t="shared" ref="Q44" si="75">Q41/(Q41-Q43)</f>
        <v>1.0082974884649616</v>
      </c>
      <c r="R44" s="148">
        <f t="shared" ref="R44" si="76">R41/(R41-R43)</f>
        <v>1.0049553067237686</v>
      </c>
    </row>
    <row r="45" spans="1:33">
      <c r="A45" s="3" t="s">
        <v>255</v>
      </c>
      <c r="B45" s="148">
        <f>B41-B43</f>
        <v>382.07000000000062</v>
      </c>
      <c r="C45" s="148">
        <f t="shared" ref="C45:E45" si="77">C41-C43</f>
        <v>481.73031910583569</v>
      </c>
      <c r="D45" s="148">
        <f t="shared" si="77"/>
        <v>-69.244851376363613</v>
      </c>
      <c r="E45" s="148">
        <f t="shared" si="77"/>
        <v>1589.9903634149223</v>
      </c>
      <c r="F45" s="148">
        <f t="shared" ref="F45:G45" si="78">F41-F43</f>
        <v>1348.6056766789707</v>
      </c>
      <c r="G45" s="148">
        <f t="shared" si="78"/>
        <v>3753.9371126678989</v>
      </c>
      <c r="H45" s="148">
        <f t="shared" ref="H45" si="79">H41-H43</f>
        <v>16288.863300738805</v>
      </c>
      <c r="I45" s="148">
        <f>I41-I43</f>
        <v>24768.016787978489</v>
      </c>
      <c r="J45" s="148"/>
      <c r="K45" s="22"/>
      <c r="L45" s="148">
        <f t="shared" ref="L45:O45" si="80">L41-L43</f>
        <v>5302.8094206821879</v>
      </c>
      <c r="M45" s="148">
        <f t="shared" si="80"/>
        <v>6426.616230737066</v>
      </c>
      <c r="N45" s="148">
        <f t="shared" si="80"/>
        <v>6886.7531618076819</v>
      </c>
      <c r="O45" s="148">
        <f t="shared" si="80"/>
        <v>5222.9572013212091</v>
      </c>
      <c r="P45" s="148"/>
      <c r="Q45" s="148">
        <f t="shared" ref="Q45" si="81">Q41-Q43</f>
        <v>5302.8094206821879</v>
      </c>
      <c r="R45" s="148">
        <f t="shared" ref="R45" si="82">R41-R43</f>
        <v>5650.5079424640408</v>
      </c>
    </row>
    <row r="46" spans="1:33">
      <c r="A46" s="3"/>
      <c r="B46" s="148"/>
      <c r="C46" s="148"/>
      <c r="D46" s="148"/>
      <c r="E46" s="148"/>
      <c r="F46" s="148"/>
      <c r="G46" s="148"/>
      <c r="H46" s="148"/>
      <c r="I46" s="148"/>
      <c r="J46" s="148"/>
      <c r="K46" s="22"/>
      <c r="L46" s="148"/>
      <c r="M46" s="148"/>
      <c r="N46" s="152">
        <f t="shared" ref="N46:O46" si="83">(N45-M45)/M45</f>
        <v>7.1598632087269201E-2</v>
      </c>
      <c r="O46" s="152">
        <f t="shared" si="83"/>
        <v>-0.24159366851036493</v>
      </c>
      <c r="P46" s="152"/>
      <c r="Q46" s="148"/>
      <c r="R46" s="152">
        <f t="shared" ref="R46" si="84">(R45-Q45)/Q45</f>
        <v>6.5568738040207117E-2</v>
      </c>
    </row>
    <row r="47" spans="1:33">
      <c r="A47" s="149" t="s">
        <v>257</v>
      </c>
      <c r="B47" s="150">
        <f t="shared" ref="B47:I47" si="85">(B43+B21)/((B38-B19)/10^6)</f>
        <v>29314.246732574611</v>
      </c>
      <c r="C47" s="150">
        <f t="shared" si="85"/>
        <v>53428.947955635711</v>
      </c>
      <c r="D47" s="150">
        <f t="shared" si="85"/>
        <v>106520.71724446936</v>
      </c>
      <c r="E47" s="150">
        <f t="shared" si="85"/>
        <v>151173.88945595743</v>
      </c>
      <c r="F47" s="150">
        <f t="shared" si="85"/>
        <v>248944.35639096549</v>
      </c>
      <c r="G47" s="150">
        <f t="shared" si="85"/>
        <v>224741.00723363989</v>
      </c>
      <c r="H47" s="150">
        <f t="shared" si="85"/>
        <v>-172950.7980395894</v>
      </c>
      <c r="I47" s="150">
        <f t="shared" si="85"/>
        <v>-220255.06592318931</v>
      </c>
      <c r="J47" s="150"/>
      <c r="K47" s="151"/>
      <c r="L47" s="150">
        <f>(L43+L21)/((L38-L19)/10^6)</f>
        <v>-50538.269276583531</v>
      </c>
      <c r="M47" s="150">
        <f>(M43+M21)/((M38-M19)/10^6)</f>
        <v>-56209.279759931844</v>
      </c>
      <c r="N47" s="150">
        <f>(N43+N21)/((N38-N19)/10^6)</f>
        <v>-65328.257209394178</v>
      </c>
      <c r="O47" s="150">
        <f>(O43+O21)/((O38-O19)/10^6)</f>
        <v>-102251.12962749712</v>
      </c>
      <c r="P47" s="150"/>
      <c r="Q47" s="150">
        <f>(Q43+Q21)/((Q38-Q19)/10^6)</f>
        <v>-50538.269276583531</v>
      </c>
      <c r="R47" s="150">
        <f>(R43+R21)/((R38-R19)/10^6)</f>
        <v>-116006.78939556786</v>
      </c>
    </row>
    <row r="48" spans="1:33">
      <c r="A48" s="149" t="s">
        <v>259</v>
      </c>
      <c r="B48" s="150">
        <f>B74-B47</f>
        <v>20685.753267425389</v>
      </c>
      <c r="C48" s="150">
        <f>C74-C47</f>
        <v>22461.052044364289</v>
      </c>
      <c r="D48" s="150">
        <f>D74-D47</f>
        <v>-3500.717244469357</v>
      </c>
      <c r="E48" s="150">
        <f>E74-E47</f>
        <v>93746.110544042574</v>
      </c>
      <c r="F48" s="150">
        <f t="shared" ref="F48:G48" si="86">F74-F47</f>
        <v>118255.64360903451</v>
      </c>
      <c r="G48" s="150">
        <f t="shared" si="86"/>
        <v>274808.99276636011</v>
      </c>
      <c r="H48" s="150">
        <f t="shared" ref="H48" si="87">H74-H47</f>
        <v>1109122.7980395893</v>
      </c>
      <c r="I48" s="150">
        <f>I74-I47</f>
        <v>1534106.0659231893</v>
      </c>
      <c r="J48" s="150"/>
      <c r="K48" s="151"/>
      <c r="L48" s="150">
        <f t="shared" ref="L48:O48" si="88">L74-L47</f>
        <v>305233.26927658351</v>
      </c>
      <c r="M48" s="150">
        <f t="shared" si="88"/>
        <v>400039.27975993184</v>
      </c>
      <c r="N48" s="150">
        <f t="shared" si="88"/>
        <v>470606.25720939419</v>
      </c>
      <c r="O48" s="150">
        <f t="shared" si="88"/>
        <v>525126.12962749717</v>
      </c>
      <c r="P48" s="150"/>
      <c r="Q48" s="150">
        <f t="shared" ref="Q48" si="89">Q74-Q47</f>
        <v>305233.26927658351</v>
      </c>
      <c r="R48" s="150">
        <f t="shared" ref="R48" si="90">R74-R47</f>
        <v>582146.78939556784</v>
      </c>
    </row>
    <row r="49" spans="1:42">
      <c r="A49" s="3" t="s">
        <v>254</v>
      </c>
      <c r="B49" s="148">
        <f>B44*B40</f>
        <v>2.4171225168162875</v>
      </c>
      <c r="C49" s="148">
        <f t="shared" ref="C49:E49" si="91">C44*C40</f>
        <v>3.3787375520124665</v>
      </c>
      <c r="D49" s="148">
        <f t="shared" si="91"/>
        <v>-29.428255070516535</v>
      </c>
      <c r="E49" s="148">
        <f t="shared" si="91"/>
        <v>2.6125883898397571</v>
      </c>
      <c r="F49" s="148">
        <f t="shared" ref="F49:G49" si="92">F44*F40</f>
        <v>3.105137216233008</v>
      </c>
      <c r="G49" s="148">
        <f t="shared" si="92"/>
        <v>1.8178080526815672</v>
      </c>
      <c r="H49" s="148">
        <f t="shared" ref="H49" si="93">H44*H40</f>
        <v>0.84406523935376176</v>
      </c>
      <c r="I49" s="148">
        <f>I44*I40</f>
        <v>0.85642774589340731</v>
      </c>
      <c r="J49" s="148"/>
      <c r="K49" s="22"/>
      <c r="L49" s="148">
        <f t="shared" ref="L49:O49" si="94">L44*L40</f>
        <v>0.83442738926735782</v>
      </c>
      <c r="M49" s="148">
        <f t="shared" si="94"/>
        <v>0.85949059853906429</v>
      </c>
      <c r="N49" s="148">
        <f t="shared" si="94"/>
        <v>0.86118276965381135</v>
      </c>
      <c r="O49" s="148">
        <f t="shared" si="94"/>
        <v>0.80528272379051125</v>
      </c>
      <c r="P49" s="148"/>
      <c r="Q49" s="148">
        <f t="shared" ref="Q49" si="95">Q44*Q40</f>
        <v>0.83442738926735782</v>
      </c>
      <c r="R49" s="148">
        <f t="shared" ref="R49" si="96">R44*R40</f>
        <v>0.8007258796084481</v>
      </c>
    </row>
    <row r="50" spans="1:42">
      <c r="A50" s="3" t="s">
        <v>260</v>
      </c>
      <c r="B50" s="148"/>
      <c r="C50" s="148"/>
      <c r="D50" s="148"/>
      <c r="E50" s="148"/>
      <c r="F50" s="148"/>
      <c r="G50" s="148"/>
      <c r="H50" s="148"/>
      <c r="I50" s="148"/>
      <c r="J50" s="148"/>
      <c r="K50" s="22"/>
      <c r="L50" s="148"/>
      <c r="M50" s="148"/>
      <c r="N50" s="148"/>
      <c r="O50" s="152">
        <f>N49*((O74-N74)/N74)</f>
        <v>3.7392193007264443E-2</v>
      </c>
      <c r="P50" s="152"/>
      <c r="Q50" s="148"/>
      <c r="R50" s="152">
        <f>Q49*((R74-Q74)/Q74)</f>
        <v>0.69273248129581055</v>
      </c>
    </row>
    <row r="51" spans="1:42" ht="15.75" thickBot="1">
      <c r="A51" s="11" t="s">
        <v>11</v>
      </c>
      <c r="B51" s="32">
        <v>923.5</v>
      </c>
      <c r="C51" s="33">
        <v>1599.26</v>
      </c>
      <c r="D51" s="33">
        <v>2223</v>
      </c>
      <c r="E51" s="33">
        <v>4042</v>
      </c>
      <c r="F51" s="34">
        <v>4069</v>
      </c>
      <c r="G51" s="34">
        <v>6630</v>
      </c>
      <c r="H51" s="34">
        <v>13606</v>
      </c>
      <c r="I51" s="34">
        <v>20853</v>
      </c>
      <c r="J51" s="34"/>
      <c r="K51" s="34"/>
      <c r="L51" s="224">
        <v>4234</v>
      </c>
      <c r="M51" s="224">
        <v>5382</v>
      </c>
      <c r="N51" s="224">
        <v>5777</v>
      </c>
      <c r="O51" s="224">
        <v>4511</v>
      </c>
      <c r="P51" s="224"/>
      <c r="Q51" s="224">
        <v>4234</v>
      </c>
      <c r="R51" s="224">
        <v>4533</v>
      </c>
    </row>
    <row r="52" spans="1:42">
      <c r="A52" s="11" t="s">
        <v>31</v>
      </c>
      <c r="B52" s="32"/>
      <c r="C52" s="33">
        <f>C51/C74*10^6</f>
        <v>21073.395704308867</v>
      </c>
      <c r="D52" s="33">
        <f>D51/D74*10^6</f>
        <v>21578.334304018637</v>
      </c>
      <c r="E52" s="33">
        <f>E51/E74*10^6</f>
        <v>16503.34803201045</v>
      </c>
      <c r="F52" s="33">
        <f>F51/F74*10^6</f>
        <v>11081.154684095862</v>
      </c>
      <c r="G52" s="33">
        <f>G51/G74*10^6</f>
        <v>13271.944750275246</v>
      </c>
      <c r="H52" s="33">
        <f t="shared" ref="H52:I52" si="97">H51/H74*10^6</f>
        <v>14533.654072114952</v>
      </c>
      <c r="I52" s="33">
        <f t="shared" si="97"/>
        <v>15871.662768457001</v>
      </c>
      <c r="J52" s="33"/>
      <c r="K52" s="34"/>
      <c r="L52" s="33">
        <f t="shared" ref="L52:O52" si="98">L51/L74*10^6</f>
        <v>16623.804943167317</v>
      </c>
      <c r="M52" s="33">
        <f t="shared" si="98"/>
        <v>15653.084373091355</v>
      </c>
      <c r="N52" s="33">
        <f t="shared" si="98"/>
        <v>14254.413020198481</v>
      </c>
      <c r="O52" s="33">
        <f t="shared" si="98"/>
        <v>10667.454921667158</v>
      </c>
      <c r="P52" s="33"/>
      <c r="Q52" s="33">
        <f t="shared" ref="Q52" si="99">Q51/Q74*10^6</f>
        <v>16623.804943167317</v>
      </c>
      <c r="R52" s="33">
        <f t="shared" ref="R52" si="100">R51/R74*10^6</f>
        <v>9724.5462736516929</v>
      </c>
    </row>
    <row r="53" spans="1:42" ht="18">
      <c r="A53" s="11" t="s">
        <v>43</v>
      </c>
      <c r="B53" s="35">
        <f t="shared" ref="B53:I53" si="101">B51/B28</f>
        <v>0.22824843117821667</v>
      </c>
      <c r="C53" s="35">
        <f t="shared" si="101"/>
        <v>0.22846147142981629</v>
      </c>
      <c r="D53" s="35">
        <f t="shared" si="101"/>
        <v>0.1890466876435071</v>
      </c>
      <c r="E53" s="35">
        <f t="shared" si="101"/>
        <v>0.18834164298028983</v>
      </c>
      <c r="F53" s="35">
        <f t="shared" si="101"/>
        <v>0.1655545609895028</v>
      </c>
      <c r="G53" s="35">
        <f t="shared" si="101"/>
        <v>0.2102359208523592</v>
      </c>
      <c r="H53" s="35">
        <f t="shared" si="101"/>
        <v>0.25279155751258753</v>
      </c>
      <c r="I53" s="35">
        <f t="shared" si="101"/>
        <v>0.25598438535759005</v>
      </c>
      <c r="J53" s="35"/>
      <c r="K53" s="34"/>
      <c r="L53" s="35">
        <f>L51/L28</f>
        <v>0.25002952639659853</v>
      </c>
      <c r="M53" s="35">
        <f>M51/M28</f>
        <v>0.25086231005873033</v>
      </c>
      <c r="N53" s="35">
        <f>N51/N28</f>
        <v>0.23756065465910026</v>
      </c>
      <c r="O53" s="35">
        <f>O51/O28</f>
        <v>0.19336448197522396</v>
      </c>
      <c r="P53" s="35"/>
      <c r="Q53" s="35">
        <f>Q51/Q28</f>
        <v>0.25002952639659853</v>
      </c>
      <c r="R53" s="35">
        <f>R51/R28</f>
        <v>0.18185100493440848</v>
      </c>
      <c r="AA53" s="26" t="s">
        <v>44</v>
      </c>
    </row>
    <row r="54" spans="1:42">
      <c r="A54" s="11" t="s">
        <v>41</v>
      </c>
      <c r="B54" s="32"/>
      <c r="C54" s="35">
        <f>(C51-B51)/B51</f>
        <v>0.73173795343800752</v>
      </c>
      <c r="D54" s="35">
        <f>(D51-C51)/C51</f>
        <v>0.39001788327101283</v>
      </c>
      <c r="E54" s="35">
        <f>(E51-D51)/D51</f>
        <v>0.8182636077372919</v>
      </c>
      <c r="F54" s="35">
        <f>(F51-E51)/E51</f>
        <v>6.6798614547253837E-3</v>
      </c>
      <c r="G54" s="35">
        <f>(G51-F51)/F51</f>
        <v>0.62939297124600635</v>
      </c>
      <c r="H54" s="35">
        <f t="shared" ref="H54:I54" si="102">(H51-G51)/G51</f>
        <v>1.0521870286576169</v>
      </c>
      <c r="I54" s="35">
        <f t="shared" si="102"/>
        <v>0.53263266206085547</v>
      </c>
      <c r="J54" s="35"/>
      <c r="K54" s="34"/>
      <c r="L54" s="35"/>
      <c r="M54" s="35">
        <f>(M51-L51)/L51</f>
        <v>0.27113840340103923</v>
      </c>
      <c r="N54" s="35">
        <f>(N51-M51)/M51</f>
        <v>7.3392790784095135E-2</v>
      </c>
      <c r="O54" s="35">
        <f>(O51-N51)/N51</f>
        <v>-0.21914488488835035</v>
      </c>
      <c r="P54" s="35"/>
      <c r="Q54" s="35"/>
      <c r="R54" s="35">
        <f>(R51-Q51)/Q51</f>
        <v>7.0618800188946618E-2</v>
      </c>
      <c r="V54" s="1"/>
      <c r="W54" s="1"/>
      <c r="X54" s="1"/>
      <c r="Y54" s="1"/>
      <c r="Z54" s="1"/>
    </row>
    <row r="55" spans="1:42" ht="15.75" thickBot="1">
      <c r="A55" s="11" t="s">
        <v>351</v>
      </c>
      <c r="B55" s="14">
        <v>-1634.85</v>
      </c>
      <c r="C55" s="14">
        <v>-1440.47</v>
      </c>
      <c r="D55" s="14">
        <v>-4081</v>
      </c>
      <c r="E55" s="14">
        <v>-2319</v>
      </c>
      <c r="F55" s="14">
        <v>-1437</v>
      </c>
      <c r="G55" s="14">
        <v>-3242</v>
      </c>
      <c r="H55" s="14">
        <v>-8014</v>
      </c>
      <c r="I55" s="14">
        <v>-7172</v>
      </c>
      <c r="J55" s="18"/>
      <c r="K55" s="34"/>
      <c r="L55" s="225">
        <v>-1730</v>
      </c>
      <c r="M55" s="225">
        <v>-1803</v>
      </c>
      <c r="N55" s="225">
        <v>-1858</v>
      </c>
      <c r="O55" s="225">
        <v>-2073</v>
      </c>
      <c r="P55" s="225"/>
      <c r="Q55" s="225">
        <v>-1730</v>
      </c>
      <c r="R55" s="225">
        <v>-2060</v>
      </c>
      <c r="V55" s="1"/>
      <c r="W55" s="1"/>
      <c r="X55" s="1"/>
      <c r="Y55" s="1"/>
      <c r="Z55" s="1"/>
    </row>
    <row r="56" spans="1:42" ht="15.75" thickBot="1">
      <c r="A56" s="11" t="s">
        <v>12</v>
      </c>
      <c r="B56" s="15">
        <v>-888.66</v>
      </c>
      <c r="C56" s="15">
        <v>-674.91</v>
      </c>
      <c r="D56" s="14">
        <v>-1962</v>
      </c>
      <c r="E56" s="15">
        <v>-976</v>
      </c>
      <c r="F56" s="15">
        <v>-862</v>
      </c>
      <c r="G56" s="209">
        <v>721</v>
      </c>
      <c r="H56" s="209">
        <v>5524</v>
      </c>
      <c r="I56" s="209">
        <v>12583</v>
      </c>
      <c r="J56" s="153"/>
      <c r="K56" s="34"/>
      <c r="L56" s="225">
        <v>2259</v>
      </c>
      <c r="M56" s="225">
        <v>3292</v>
      </c>
      <c r="N56" s="225">
        <v>3714</v>
      </c>
      <c r="O56" s="225">
        <v>2513</v>
      </c>
      <c r="P56" s="225"/>
      <c r="Q56" s="225">
        <v>2259</v>
      </c>
      <c r="R56" s="225">
        <v>2703</v>
      </c>
      <c r="V56" s="1"/>
      <c r="W56" s="1"/>
      <c r="X56" s="1"/>
      <c r="Y56" s="1"/>
      <c r="Z56" s="1"/>
    </row>
    <row r="57" spans="1:42" ht="15.75" thickBot="1">
      <c r="A57" s="11" t="s">
        <v>261</v>
      </c>
      <c r="B57" s="15">
        <v>-524.5</v>
      </c>
      <c r="C57" s="15">
        <v>-123.83</v>
      </c>
      <c r="D57" s="15">
        <v>-61</v>
      </c>
      <c r="E57" s="14">
        <v>2098</v>
      </c>
      <c r="F57" s="14">
        <v>2405</v>
      </c>
      <c r="G57" s="18">
        <v>5943</v>
      </c>
      <c r="H57" s="18">
        <v>11497</v>
      </c>
      <c r="I57" s="18">
        <v>14724</v>
      </c>
      <c r="J57" s="18"/>
      <c r="K57" s="34"/>
      <c r="L57" s="225">
        <v>2351</v>
      </c>
      <c r="M57" s="225">
        <v>5100</v>
      </c>
      <c r="N57" s="225">
        <v>3278</v>
      </c>
      <c r="O57" s="225">
        <v>2513</v>
      </c>
      <c r="P57" s="225"/>
      <c r="Q57" s="225">
        <v>2351</v>
      </c>
      <c r="R57" s="225">
        <v>3065</v>
      </c>
      <c r="V57" s="1"/>
      <c r="W57" s="1"/>
      <c r="X57" s="1"/>
      <c r="Y57" s="1"/>
      <c r="Z57" s="1"/>
    </row>
    <row r="58" spans="1:42" ht="180.75" thickBot="1">
      <c r="A58" s="11" t="s">
        <v>360</v>
      </c>
      <c r="B58" s="15">
        <v>-1.49</v>
      </c>
      <c r="C58" s="15">
        <v>-3.58</v>
      </c>
      <c r="D58" s="15">
        <v>-1.45</v>
      </c>
      <c r="E58" s="15">
        <v>-5.77</v>
      </c>
      <c r="F58" s="15">
        <v>-16.54</v>
      </c>
      <c r="G58" s="15">
        <v>25.3</v>
      </c>
      <c r="H58" s="15">
        <v>11.02</v>
      </c>
      <c r="I58" s="15">
        <v>8.25</v>
      </c>
      <c r="J58" s="153"/>
      <c r="K58" s="34"/>
      <c r="L58" s="226">
        <v>8.2899999999999991</v>
      </c>
      <c r="M58" s="226">
        <v>8.39</v>
      </c>
      <c r="N58" s="226">
        <v>6.93</v>
      </c>
      <c r="O58" s="226">
        <v>9.32</v>
      </c>
      <c r="P58" s="226"/>
      <c r="Q58" s="226">
        <v>8.2899999999999991</v>
      </c>
      <c r="R58" s="226">
        <v>11</v>
      </c>
      <c r="V58" s="212" t="s">
        <v>391</v>
      </c>
      <c r="W58" s="213">
        <v>1597</v>
      </c>
      <c r="X58" s="214" t="s">
        <v>392</v>
      </c>
      <c r="Y58" s="213">
        <v>16253</v>
      </c>
      <c r="Z58" s="214" t="s">
        <v>305</v>
      </c>
      <c r="AA58" s="215">
        <v>1502</v>
      </c>
    </row>
    <row r="59" spans="1:42" ht="15.75" thickBot="1">
      <c r="A59" s="11" t="s">
        <v>361</v>
      </c>
      <c r="B59" s="153"/>
      <c r="C59" s="15">
        <v>-1564.3</v>
      </c>
      <c r="D59" s="15">
        <v>-4142</v>
      </c>
      <c r="E59" s="15">
        <v>-221</v>
      </c>
      <c r="F59" s="15">
        <v>968</v>
      </c>
      <c r="G59" s="15">
        <v>2701</v>
      </c>
      <c r="H59" s="15">
        <v>3483</v>
      </c>
      <c r="I59" s="15">
        <v>7552</v>
      </c>
      <c r="J59" s="153"/>
      <c r="K59" s="34"/>
      <c r="L59" s="226">
        <v>621</v>
      </c>
      <c r="M59" s="225">
        <v>3297</v>
      </c>
      <c r="N59" s="225">
        <v>1420</v>
      </c>
      <c r="O59" s="226">
        <v>440</v>
      </c>
      <c r="P59" s="226"/>
      <c r="Q59" s="226">
        <v>621</v>
      </c>
      <c r="R59" s="225">
        <v>1005</v>
      </c>
      <c r="V59" s="9">
        <v>2019</v>
      </c>
      <c r="W59" s="216">
        <v>11634</v>
      </c>
      <c r="X59" s="217"/>
      <c r="Y59" s="216">
        <v>106</v>
      </c>
      <c r="Z59" s="216"/>
      <c r="AA59" s="218">
        <v>1785</v>
      </c>
    </row>
    <row r="60" spans="1:42" ht="16.5">
      <c r="A60" s="11" t="s">
        <v>267</v>
      </c>
      <c r="B60" s="153"/>
      <c r="C60" s="153"/>
      <c r="D60" s="153"/>
      <c r="E60" s="153"/>
      <c r="F60" s="153"/>
      <c r="G60" s="153"/>
      <c r="H60" s="153"/>
      <c r="I60" s="153"/>
      <c r="J60" s="153"/>
      <c r="K60" s="34"/>
      <c r="L60" s="155"/>
      <c r="M60" s="155"/>
      <c r="N60" s="156"/>
      <c r="O60" s="155"/>
      <c r="P60" s="155"/>
      <c r="Q60" s="155"/>
      <c r="R60" s="155"/>
      <c r="S60" s="156"/>
      <c r="T60" s="156"/>
      <c r="V60" s="160">
        <v>0</v>
      </c>
      <c r="W60" s="160">
        <f>1+V60</f>
        <v>1</v>
      </c>
      <c r="X60" s="160">
        <f>1+W60</f>
        <v>2</v>
      </c>
      <c r="Y60" s="160">
        <f t="shared" ref="Y60:AE60" si="103">1+X60</f>
        <v>3</v>
      </c>
      <c r="Z60" s="160">
        <f t="shared" si="103"/>
        <v>4</v>
      </c>
      <c r="AA60" s="160">
        <f t="shared" si="103"/>
        <v>5</v>
      </c>
      <c r="AB60" s="160">
        <f t="shared" si="103"/>
        <v>6</v>
      </c>
      <c r="AC60" s="160">
        <f t="shared" si="103"/>
        <v>7</v>
      </c>
      <c r="AD60" s="160">
        <f t="shared" si="103"/>
        <v>8</v>
      </c>
      <c r="AE60" s="160">
        <f t="shared" si="103"/>
        <v>9</v>
      </c>
      <c r="AF60" s="160">
        <f t="shared" ref="AF60" si="104">1+AE60</f>
        <v>10</v>
      </c>
      <c r="AG60" s="160">
        <v>10</v>
      </c>
      <c r="AH60" s="160" t="s">
        <v>273</v>
      </c>
      <c r="AI60" s="160" t="s">
        <v>274</v>
      </c>
      <c r="AJ60" s="160" t="s">
        <v>275</v>
      </c>
      <c r="AK60" s="160"/>
      <c r="AL60" s="160"/>
      <c r="AM60" s="160"/>
      <c r="AN60" s="160"/>
      <c r="AO60" s="160"/>
      <c r="AP60" s="160"/>
    </row>
    <row r="61" spans="1:42" ht="17.25" thickBot="1">
      <c r="A61" s="11" t="s">
        <v>262</v>
      </c>
      <c r="B61" s="153"/>
      <c r="C61" s="153"/>
      <c r="D61" s="153"/>
      <c r="E61" s="153"/>
      <c r="F61" s="153"/>
      <c r="G61" s="153"/>
      <c r="H61" s="153"/>
      <c r="I61" s="153"/>
      <c r="J61" s="153"/>
      <c r="K61" s="34"/>
      <c r="L61" s="155"/>
      <c r="M61" s="155"/>
      <c r="N61" s="156"/>
      <c r="O61" s="156">
        <f>SUM(L59:O59)</f>
        <v>5778</v>
      </c>
      <c r="P61" s="156"/>
      <c r="Q61" s="155"/>
      <c r="R61" s="156">
        <f>SUM(M59:R59)</f>
        <v>6783</v>
      </c>
      <c r="S61" s="156"/>
      <c r="T61" s="156"/>
      <c r="V61" s="2">
        <f>$I$62*V74/10^6</f>
        <v>7872.5078201409433</v>
      </c>
      <c r="W61" s="2">
        <f t="shared" ref="W61:AF61" si="105">$I$62*W74/10^6</f>
        <v>12060.51578487402</v>
      </c>
      <c r="X61" s="2">
        <f t="shared" si="105"/>
        <v>18476.455574304055</v>
      </c>
      <c r="Y61" s="2">
        <f t="shared" si="105"/>
        <v>28305.53988556446</v>
      </c>
      <c r="Z61" s="2">
        <f t="shared" si="105"/>
        <v>43363.489549778496</v>
      </c>
      <c r="AA61" s="2">
        <f t="shared" si="105"/>
        <v>54897.720049268843</v>
      </c>
      <c r="AB61" s="2">
        <f t="shared" si="105"/>
        <v>62198.827081002106</v>
      </c>
      <c r="AC61" s="2">
        <f t="shared" si="105"/>
        <v>66334.884947878076</v>
      </c>
      <c r="AD61" s="2">
        <f t="shared" si="105"/>
        <v>68540.432348150396</v>
      </c>
      <c r="AE61" s="2">
        <f t="shared" si="105"/>
        <v>69679.871818783242</v>
      </c>
      <c r="AF61" s="2">
        <f t="shared" si="105"/>
        <v>70259.062768846634</v>
      </c>
      <c r="AG61" s="2"/>
      <c r="AH61" s="2">
        <v>10.48</v>
      </c>
      <c r="AI61" s="2">
        <v>22.7</v>
      </c>
      <c r="AJ61" s="2">
        <v>8.93</v>
      </c>
      <c r="AK61" s="2"/>
      <c r="AL61" s="2"/>
      <c r="AM61" s="2"/>
      <c r="AN61" s="2"/>
      <c r="AO61" s="2"/>
      <c r="AP61" s="2"/>
    </row>
    <row r="62" spans="1:42" ht="16.5">
      <c r="A62" s="11" t="s">
        <v>266</v>
      </c>
      <c r="B62" s="153"/>
      <c r="C62" s="153"/>
      <c r="D62" s="153"/>
      <c r="E62" s="153"/>
      <c r="F62" s="156">
        <f>F59/F74 * 10^6</f>
        <v>2636.165577342048</v>
      </c>
      <c r="G62" s="156">
        <f>G59/G74 * 10^6</f>
        <v>5406.8661795616053</v>
      </c>
      <c r="H62" s="156">
        <f t="shared" ref="H62:I62" si="106">H59/H74 * 10^6</f>
        <v>3720.4701700114938</v>
      </c>
      <c r="I62" s="156">
        <f t="shared" si="106"/>
        <v>5747.9881660858036</v>
      </c>
      <c r="J62" s="156"/>
      <c r="K62" s="34"/>
      <c r="L62" s="155"/>
      <c r="M62" s="156">
        <f t="shared" ref="M62:R62" si="107">M59/M74 * 10^6</f>
        <v>9589.0410958904122</v>
      </c>
      <c r="N62" s="156">
        <f t="shared" si="107"/>
        <v>3503.767784088946</v>
      </c>
      <c r="O62" s="156">
        <f t="shared" si="107"/>
        <v>1040.4966006503105</v>
      </c>
      <c r="P62" s="156"/>
      <c r="Q62" s="155"/>
      <c r="R62" s="156">
        <f t="shared" si="107"/>
        <v>2156.0046338010038</v>
      </c>
      <c r="S62" s="156"/>
      <c r="T62" s="156"/>
      <c r="U62" s="5" t="s">
        <v>269</v>
      </c>
      <c r="V62" s="219"/>
      <c r="W62" s="1"/>
      <c r="X62" s="1"/>
      <c r="Y62" s="1"/>
      <c r="Z62" s="1"/>
      <c r="AA62" s="1"/>
      <c r="AB62" s="1"/>
      <c r="AC62" s="1"/>
      <c r="AD62" s="1"/>
      <c r="AE62" s="1"/>
      <c r="AF62" s="1" t="s">
        <v>270</v>
      </c>
      <c r="AG62" s="2">
        <f>$AF$61*(1+0.02)/($U63-0.02)</f>
        <v>774748.5840456601</v>
      </c>
      <c r="AH62" s="1"/>
      <c r="AI62" s="1"/>
      <c r="AJ62" s="1"/>
      <c r="AK62" s="1"/>
      <c r="AL62" s="1"/>
      <c r="AM62" s="1"/>
      <c r="AN62" s="1"/>
      <c r="AO62" s="1"/>
      <c r="AP62" s="1"/>
    </row>
    <row r="63" spans="1:42" ht="16.5">
      <c r="A63" s="11"/>
      <c r="B63" s="153"/>
      <c r="C63" s="153"/>
      <c r="D63" s="153"/>
      <c r="E63" s="153"/>
      <c r="F63" s="153"/>
      <c r="G63" s="153"/>
      <c r="H63" s="153"/>
      <c r="I63" s="153"/>
      <c r="J63" s="153"/>
      <c r="K63" s="34"/>
      <c r="L63" s="155"/>
      <c r="M63" s="155"/>
      <c r="N63" s="156"/>
      <c r="O63" s="156"/>
      <c r="P63" s="156"/>
      <c r="Q63" s="155"/>
      <c r="R63" s="156"/>
      <c r="S63" s="156"/>
      <c r="T63" s="156"/>
      <c r="U63" s="220">
        <f>WACC!B154</f>
        <v>0.1125</v>
      </c>
      <c r="V63" s="6"/>
      <c r="W63" s="2">
        <f xml:space="preserve"> W$61/POWER(1+$U63, W$60)</f>
        <v>10840.913065055298</v>
      </c>
      <c r="X63" s="2">
        <f xml:space="preserve"> X$61/POWER(1+$U63, X$60)</f>
        <v>14928.584228701671</v>
      </c>
      <c r="Y63" s="2">
        <f t="shared" ref="Y63:AF63" si="108" xml:space="preserve"> Y$61/POWER(1+$U63, Y$60)</f>
        <v>20557.551355320593</v>
      </c>
      <c r="Z63" s="2">
        <f t="shared" si="108"/>
        <v>28308.975000732393</v>
      </c>
      <c r="AA63" s="2">
        <f t="shared" si="108"/>
        <v>32214.708797496562</v>
      </c>
      <c r="AB63" s="2">
        <f t="shared" si="108"/>
        <v>32808.175323448406</v>
      </c>
      <c r="AC63" s="2">
        <f t="shared" si="108"/>
        <v>31451.534747207992</v>
      </c>
      <c r="AD63" s="2">
        <f t="shared" si="108"/>
        <v>29211.017329843289</v>
      </c>
      <c r="AE63" s="2">
        <f t="shared" si="108"/>
        <v>26693.601098430565</v>
      </c>
      <c r="AF63" s="2">
        <f t="shared" si="108"/>
        <v>24193.692451663825</v>
      </c>
      <c r="AG63" s="2">
        <f xml:space="preserve"> $AG62/POWER(1+$U63, AG$60)</f>
        <v>266784.50054807676</v>
      </c>
      <c r="AH63" s="2"/>
      <c r="AI63" s="2"/>
      <c r="AJ63" s="2"/>
      <c r="AK63" s="2"/>
      <c r="AL63" s="2"/>
      <c r="AM63" s="2"/>
      <c r="AN63" s="2"/>
      <c r="AO63" s="2"/>
      <c r="AP63" s="2"/>
    </row>
    <row r="64" spans="1:42" ht="16.5">
      <c r="A64" s="11"/>
      <c r="B64" s="153"/>
      <c r="C64" s="153"/>
      <c r="D64" s="153"/>
      <c r="E64" s="153"/>
      <c r="F64" s="153"/>
      <c r="G64" s="153"/>
      <c r="H64" s="153"/>
      <c r="I64" s="153"/>
      <c r="J64" s="153"/>
      <c r="K64" s="34"/>
      <c r="L64" s="155"/>
      <c r="M64" s="155"/>
      <c r="N64" s="156"/>
      <c r="O64" s="156"/>
      <c r="P64" s="156"/>
      <c r="Q64" s="155"/>
      <c r="R64" s="156"/>
      <c r="S64" s="156"/>
      <c r="T64" s="156"/>
      <c r="U64" s="221" t="s">
        <v>271</v>
      </c>
      <c r="V64" s="222">
        <f>(SUM($W63:$AF63) + $AG63)</f>
        <v>517993.25394597737</v>
      </c>
      <c r="W64" s="2"/>
      <c r="X64" s="2"/>
      <c r="Y64" s="2"/>
      <c r="Z64" s="2"/>
      <c r="AA64" s="2"/>
      <c r="AB64" s="2"/>
      <c r="AC64" s="2"/>
      <c r="AD64" s="2"/>
      <c r="AE64" s="2"/>
      <c r="AF64" s="1" t="s">
        <v>270</v>
      </c>
      <c r="AG64" s="2">
        <f>$AF$61*(1+0.02)/($U66-0.02)</f>
        <v>868657.50332392193</v>
      </c>
      <c r="AH64" s="2"/>
      <c r="AI64" s="2"/>
      <c r="AJ64" s="2"/>
      <c r="AK64" s="2"/>
      <c r="AL64" s="2"/>
      <c r="AM64" s="2"/>
      <c r="AN64" s="2"/>
      <c r="AO64" s="2"/>
      <c r="AP64" s="2"/>
    </row>
    <row r="65" spans="1:42" ht="16.5">
      <c r="A65" s="11"/>
      <c r="B65" s="153"/>
      <c r="C65" s="153"/>
      <c r="D65" s="153"/>
      <c r="E65" s="153"/>
      <c r="F65" s="153"/>
      <c r="G65" s="153"/>
      <c r="H65" s="153"/>
      <c r="I65" s="153"/>
      <c r="J65" s="153"/>
      <c r="K65" s="34"/>
      <c r="L65" s="155"/>
      <c r="M65" s="155"/>
      <c r="N65" s="156"/>
      <c r="O65" s="156"/>
      <c r="P65" s="156"/>
      <c r="Q65" s="155"/>
      <c r="R65" s="156"/>
      <c r="S65" s="156"/>
      <c r="T65" s="156"/>
      <c r="U65" s="221" t="s">
        <v>272</v>
      </c>
      <c r="V65" s="7">
        <f>(V64-$W$58-$AA$58+$Y$58)/$B$83</f>
        <v>167.8720777326098</v>
      </c>
      <c r="W65" s="2"/>
      <c r="X65" s="2"/>
      <c r="Y65" s="2"/>
      <c r="Z65" s="2"/>
      <c r="AA65" s="2"/>
      <c r="AB65" s="2"/>
      <c r="AC65" s="2"/>
      <c r="AD65" s="2"/>
      <c r="AE65" s="2"/>
      <c r="AF65" s="1"/>
      <c r="AG65" s="2"/>
      <c r="AH65" s="2"/>
      <c r="AI65" s="2"/>
      <c r="AJ65" s="2"/>
      <c r="AK65" s="2"/>
      <c r="AL65" s="2"/>
      <c r="AM65" s="2"/>
      <c r="AN65" s="2"/>
      <c r="AO65" s="2"/>
      <c r="AP65" s="2"/>
    </row>
    <row r="66" spans="1:42" ht="16.5">
      <c r="A66" s="11"/>
      <c r="B66" s="153"/>
      <c r="C66" s="153"/>
      <c r="D66" s="153"/>
      <c r="E66" s="153"/>
      <c r="F66" s="153"/>
      <c r="G66" s="153"/>
      <c r="H66" s="153"/>
      <c r="I66" s="153"/>
      <c r="J66" s="153"/>
      <c r="K66" s="34"/>
      <c r="L66" s="155"/>
      <c r="M66" s="155"/>
      <c r="N66" s="156"/>
      <c r="O66" s="156"/>
      <c r="P66" s="156"/>
      <c r="Q66" s="155"/>
      <c r="R66" s="156"/>
      <c r="S66" s="156"/>
      <c r="T66" s="156"/>
      <c r="U66" s="220">
        <f>U63-1%</f>
        <v>0.10250000000000001</v>
      </c>
      <c r="V66" s="222"/>
      <c r="W66" s="2">
        <f xml:space="preserve"> W$61/POWER(1+$U66, W$60)</f>
        <v>10939.243342289361</v>
      </c>
      <c r="X66" s="2">
        <f t="shared" ref="X66:AF69" si="109" xml:space="preserve"> X$61/POWER(1+$U66, X$60)</f>
        <v>15200.625726362208</v>
      </c>
      <c r="Y66" s="2">
        <f t="shared" si="109"/>
        <v>21122.029672720368</v>
      </c>
      <c r="Z66" s="2">
        <f t="shared" si="109"/>
        <v>29350.11660220972</v>
      </c>
      <c r="AA66" s="2">
        <f t="shared" si="109"/>
        <v>33702.437927416409</v>
      </c>
      <c r="AB66" s="2">
        <f t="shared" si="109"/>
        <v>34634.63428545768</v>
      </c>
      <c r="AC66" s="2">
        <f t="shared" si="109"/>
        <v>33503.624552818037</v>
      </c>
      <c r="AD66" s="2">
        <f t="shared" si="109"/>
        <v>31399.161780959781</v>
      </c>
      <c r="AE66" s="2">
        <f t="shared" si="109"/>
        <v>28953.425969223095</v>
      </c>
      <c r="AF66" s="2">
        <f t="shared" si="109"/>
        <v>26479.901834092296</v>
      </c>
      <c r="AG66" s="2">
        <f xml:space="preserve"> $AG64/POWER(1+$U66, AG$60)</f>
        <v>327387.87722150475</v>
      </c>
      <c r="AH66" s="2"/>
      <c r="AI66" s="2"/>
      <c r="AJ66" s="2"/>
      <c r="AK66" s="2"/>
      <c r="AL66" s="2"/>
      <c r="AM66" s="2"/>
      <c r="AN66" s="2"/>
      <c r="AO66" s="2"/>
      <c r="AP66" s="2"/>
    </row>
    <row r="67" spans="1:42" ht="16.5">
      <c r="A67" s="11"/>
      <c r="B67" s="153"/>
      <c r="C67" s="153"/>
      <c r="D67" s="153"/>
      <c r="E67" s="153"/>
      <c r="F67" s="153"/>
      <c r="G67" s="153"/>
      <c r="H67" s="153"/>
      <c r="I67" s="153"/>
      <c r="J67" s="153"/>
      <c r="K67" s="34"/>
      <c r="L67" s="155"/>
      <c r="M67" s="155"/>
      <c r="N67" s="156"/>
      <c r="O67" s="156"/>
      <c r="P67" s="156"/>
      <c r="Q67" s="155"/>
      <c r="R67" s="156"/>
      <c r="S67" s="156"/>
      <c r="T67" s="156"/>
      <c r="U67" s="221" t="s">
        <v>271</v>
      </c>
      <c r="V67" s="222">
        <f>(SUM($W66:$AF66) + $AG66)</f>
        <v>592673.07891505375</v>
      </c>
      <c r="W67" s="2"/>
      <c r="X67" s="2"/>
      <c r="Y67" s="2"/>
      <c r="Z67" s="2"/>
      <c r="AA67" s="2"/>
      <c r="AB67" s="2"/>
      <c r="AC67" s="2"/>
      <c r="AD67" s="2"/>
      <c r="AE67" s="2"/>
      <c r="AF67" s="1" t="s">
        <v>270</v>
      </c>
      <c r="AG67" s="2">
        <f>$AF$61*(1+0.02)/($U69-0.02)</f>
        <v>699163.35633388849</v>
      </c>
      <c r="AH67" s="2"/>
      <c r="AI67" s="2"/>
      <c r="AJ67" s="2"/>
      <c r="AK67" s="2"/>
      <c r="AL67" s="2"/>
      <c r="AM67" s="2"/>
      <c r="AN67" s="2"/>
      <c r="AO67" s="2"/>
      <c r="AP67" s="2"/>
    </row>
    <row r="68" spans="1:42" ht="16.5">
      <c r="A68" s="11"/>
      <c r="B68" s="153"/>
      <c r="C68" s="153"/>
      <c r="D68" s="153"/>
      <c r="E68" s="153"/>
      <c r="F68" s="153"/>
      <c r="G68" s="153"/>
      <c r="H68" s="153"/>
      <c r="I68" s="153"/>
      <c r="J68" s="153"/>
      <c r="K68" s="34"/>
      <c r="L68" s="155"/>
      <c r="M68" s="155"/>
      <c r="N68" s="156"/>
      <c r="O68" s="156"/>
      <c r="P68" s="156"/>
      <c r="Q68" s="155"/>
      <c r="R68" s="156"/>
      <c r="S68" s="156"/>
      <c r="T68" s="156"/>
      <c r="U68" s="221" t="s">
        <v>272</v>
      </c>
      <c r="V68" s="7">
        <f>(V67-$W$58-$AA$58+$Y$58)/$B$83</f>
        <v>191.47505654710926</v>
      </c>
      <c r="W68" s="2"/>
      <c r="X68" s="2"/>
      <c r="Y68" s="2"/>
      <c r="Z68" s="2"/>
      <c r="AA68" s="2"/>
      <c r="AB68" s="2"/>
      <c r="AC68" s="2"/>
      <c r="AD68" s="2"/>
      <c r="AE68" s="2"/>
      <c r="AF68" s="1"/>
      <c r="AG68" s="2"/>
      <c r="AH68" s="2"/>
      <c r="AI68" s="2"/>
      <c r="AJ68" s="2"/>
      <c r="AK68" s="2"/>
      <c r="AL68" s="2"/>
      <c r="AM68" s="2"/>
      <c r="AN68" s="2"/>
      <c r="AO68" s="2"/>
      <c r="AP68" s="2"/>
    </row>
    <row r="69" spans="1:42" ht="17.25" thickBot="1">
      <c r="A69" s="154" t="s">
        <v>264</v>
      </c>
      <c r="B69" s="153"/>
      <c r="C69" s="153"/>
      <c r="D69" s="153"/>
      <c r="E69" s="153"/>
      <c r="F69" s="153"/>
      <c r="G69" s="153"/>
      <c r="H69" s="153"/>
      <c r="I69" s="153"/>
      <c r="J69" s="153"/>
      <c r="K69" s="34"/>
      <c r="L69" s="225">
        <v>36376</v>
      </c>
      <c r="M69" s="225">
        <v>39851</v>
      </c>
      <c r="N69" s="225">
        <v>44704</v>
      </c>
      <c r="O69" s="225">
        <v>48054</v>
      </c>
      <c r="P69" s="225"/>
      <c r="Q69" s="225">
        <v>36376</v>
      </c>
      <c r="R69" s="225">
        <v>51130</v>
      </c>
      <c r="S69" s="156"/>
      <c r="T69" s="156"/>
      <c r="U69" s="220">
        <f>U63+1%</f>
        <v>0.1225</v>
      </c>
      <c r="V69" s="6"/>
      <c r="W69" s="2">
        <f xml:space="preserve"> W$61/POWER(1+$U69, W$60)</f>
        <v>10744.334774943447</v>
      </c>
      <c r="X69" s="2">
        <f t="shared" si="109"/>
        <v>14663.78089339164</v>
      </c>
      <c r="Y69" s="2">
        <f t="shared" si="109"/>
        <v>20013.009143279374</v>
      </c>
      <c r="Z69" s="2">
        <f t="shared" si="109"/>
        <v>27313.592441188332</v>
      </c>
      <c r="AA69" s="2">
        <f t="shared" si="109"/>
        <v>30805.095522079209</v>
      </c>
      <c r="AB69" s="2">
        <f t="shared" si="109"/>
        <v>31093.10525241273</v>
      </c>
      <c r="AC69" s="2">
        <f t="shared" si="109"/>
        <v>29541.839377585329</v>
      </c>
      <c r="AD69" s="2">
        <f t="shared" si="109"/>
        <v>27192.93234610033</v>
      </c>
      <c r="AE69" s="2">
        <f t="shared" si="109"/>
        <v>24628.059605137965</v>
      </c>
      <c r="AF69" s="2">
        <f t="shared" si="109"/>
        <v>22122.736950427457</v>
      </c>
      <c r="AG69" s="2">
        <f xml:space="preserve"> $AG67/POWER(1+$U69, AG$60)</f>
        <v>220148.21160425371</v>
      </c>
      <c r="AH69" s="1"/>
      <c r="AI69" s="1"/>
      <c r="AJ69" s="1"/>
      <c r="AK69" s="1"/>
      <c r="AL69" s="1"/>
      <c r="AM69" s="1"/>
      <c r="AN69" s="1"/>
      <c r="AO69" s="1"/>
      <c r="AP69" s="1"/>
    </row>
    <row r="70" spans="1:42" ht="17.25" thickBot="1">
      <c r="A70" s="154" t="s">
        <v>394</v>
      </c>
      <c r="B70" s="153"/>
      <c r="C70" s="153"/>
      <c r="D70" s="153"/>
      <c r="E70" s="153"/>
      <c r="F70" s="153"/>
      <c r="G70" s="153"/>
      <c r="H70" s="153"/>
      <c r="I70" s="153"/>
      <c r="J70" s="153"/>
      <c r="K70" s="34"/>
      <c r="L70" s="225">
        <v>1282</v>
      </c>
      <c r="M70" s="225">
        <v>1273</v>
      </c>
      <c r="N70" s="225">
        <v>1194</v>
      </c>
      <c r="O70" s="225">
        <v>1181</v>
      </c>
      <c r="P70" s="225"/>
      <c r="Q70" s="225">
        <v>1282</v>
      </c>
      <c r="R70" s="225">
        <v>1052</v>
      </c>
      <c r="S70" s="156"/>
      <c r="T70" s="156"/>
      <c r="U70" s="221" t="s">
        <v>271</v>
      </c>
      <c r="V70" s="222">
        <f>(SUM($W69:$AF69) + $AG69)</f>
        <v>458266.69791079953</v>
      </c>
      <c r="W70" s="1"/>
      <c r="X70" s="1"/>
      <c r="Y70" s="1"/>
      <c r="Z70" s="1"/>
      <c r="AA70" s="1"/>
      <c r="AB70" s="1"/>
      <c r="AC70" s="1"/>
      <c r="AD70" s="1"/>
      <c r="AE70" s="1"/>
      <c r="AF70" s="1"/>
      <c r="AG70" s="1"/>
      <c r="AH70" s="1"/>
      <c r="AI70" s="1"/>
      <c r="AJ70" s="1"/>
      <c r="AK70" s="1"/>
      <c r="AL70" s="1"/>
      <c r="AM70" s="1"/>
      <c r="AN70" s="1"/>
      <c r="AO70" s="1"/>
      <c r="AP70" s="1"/>
    </row>
    <row r="71" spans="1:42" ht="17.25" thickBot="1">
      <c r="A71" s="11" t="s">
        <v>265</v>
      </c>
      <c r="B71" s="153"/>
      <c r="C71" s="153"/>
      <c r="D71" s="153"/>
      <c r="E71" s="153"/>
      <c r="F71" s="153"/>
      <c r="G71" s="153"/>
      <c r="H71" s="153"/>
      <c r="I71" s="153"/>
      <c r="J71" s="153"/>
      <c r="K71" s="34"/>
      <c r="L71" s="155"/>
      <c r="M71" s="155">
        <f>SUM(M69:M70)</f>
        <v>41124</v>
      </c>
      <c r="N71" s="155">
        <f t="shared" ref="N71:O71" si="110">SUM(N69:N70)</f>
        <v>45898</v>
      </c>
      <c r="O71" s="155">
        <f t="shared" si="110"/>
        <v>49235</v>
      </c>
      <c r="P71" s="155"/>
      <c r="Q71" s="155"/>
      <c r="R71" s="155">
        <f t="shared" ref="R71" si="111">SUM(R69:R70)</f>
        <v>52182</v>
      </c>
      <c r="S71" s="155"/>
      <c r="T71" s="155"/>
      <c r="U71" s="223" t="s">
        <v>272</v>
      </c>
      <c r="V71" s="8">
        <f>(V70-$W$58-$AA$58+$Y$58)/$B$83</f>
        <v>148.99516368862186</v>
      </c>
      <c r="W71" s="1"/>
      <c r="X71" s="1"/>
      <c r="Y71" s="1"/>
      <c r="Z71" s="1"/>
      <c r="AA71" s="1"/>
      <c r="AB71" s="1"/>
      <c r="AC71" s="1"/>
      <c r="AD71" s="1"/>
      <c r="AE71" s="1"/>
      <c r="AF71" s="1"/>
      <c r="AG71" s="1"/>
      <c r="AH71" s="1"/>
      <c r="AI71" s="1"/>
      <c r="AJ71" s="1"/>
      <c r="AK71" s="1"/>
      <c r="AL71" s="1"/>
      <c r="AM71" s="1"/>
      <c r="AN71" s="1"/>
      <c r="AO71" s="1"/>
      <c r="AP71" s="1"/>
    </row>
    <row r="72" spans="1:42" ht="16.5">
      <c r="A72" s="11" t="s">
        <v>263</v>
      </c>
      <c r="B72" s="153"/>
      <c r="C72" s="153"/>
      <c r="D72" s="153"/>
      <c r="E72" s="153"/>
      <c r="F72" s="153"/>
      <c r="G72" s="153"/>
      <c r="H72" s="153"/>
      <c r="I72" s="153"/>
      <c r="J72" s="153"/>
      <c r="K72" s="34"/>
      <c r="L72" s="155"/>
      <c r="M72" s="157">
        <f>M56/M71</f>
        <v>8.0050578737476896E-2</v>
      </c>
      <c r="N72" s="157">
        <f>N56/N71</f>
        <v>8.0918558542855901E-2</v>
      </c>
      <c r="O72" s="157">
        <f>O56/O71</f>
        <v>5.104092617040723E-2</v>
      </c>
      <c r="P72" s="157"/>
      <c r="Q72" s="155"/>
      <c r="R72" s="157">
        <f>R56/R71</f>
        <v>5.1799471081982296E-2</v>
      </c>
      <c r="S72" s="157"/>
      <c r="T72" s="157"/>
      <c r="V72" s="1"/>
      <c r="W72" s="1"/>
      <c r="X72" s="1"/>
      <c r="Y72" s="1"/>
      <c r="Z72" s="1"/>
      <c r="AA72" s="1"/>
      <c r="AB72" s="1"/>
      <c r="AC72" s="1"/>
      <c r="AD72" s="1"/>
      <c r="AE72" s="1"/>
      <c r="AF72" s="1"/>
      <c r="AG72" s="1"/>
      <c r="AH72" s="1"/>
      <c r="AI72" s="1"/>
      <c r="AJ72" s="1"/>
      <c r="AK72" s="1"/>
      <c r="AL72" s="1"/>
      <c r="AM72" s="1"/>
      <c r="AN72" s="1"/>
      <c r="AO72" s="1"/>
      <c r="AP72" s="1"/>
    </row>
    <row r="73" spans="1:42" ht="20.25" customHeight="1">
      <c r="A73" t="s">
        <v>25</v>
      </c>
      <c r="B73" s="69">
        <v>50000</v>
      </c>
      <c r="C73" s="69">
        <f>D113</f>
        <v>83922</v>
      </c>
      <c r="D73" s="69">
        <f>D109</f>
        <v>101027</v>
      </c>
      <c r="E73" s="69">
        <f>D105</f>
        <v>254530</v>
      </c>
      <c r="F73" s="69">
        <f>D101</f>
        <v>365284</v>
      </c>
      <c r="G73" s="69">
        <f>D97</f>
        <v>509737</v>
      </c>
      <c r="H73" s="69">
        <f>D93</f>
        <v>930422</v>
      </c>
      <c r="I73" s="69">
        <f>D89</f>
        <v>1369611</v>
      </c>
      <c r="J73" s="69"/>
      <c r="K73" s="69"/>
      <c r="L73" s="69">
        <f>$C91</f>
        <v>258580</v>
      </c>
      <c r="M73" s="69">
        <f>$C90</f>
        <v>365923</v>
      </c>
      <c r="N73" s="69">
        <f>$C89</f>
        <v>439701</v>
      </c>
      <c r="O73" s="69">
        <f>$C88</f>
        <v>440808</v>
      </c>
      <c r="P73" s="69"/>
      <c r="Q73" s="69">
        <f>$C91</f>
        <v>258580</v>
      </c>
      <c r="R73" s="69">
        <f>$C87</f>
        <v>479700</v>
      </c>
      <c r="S73" s="69"/>
      <c r="T73" s="69"/>
      <c r="U73" s="69"/>
      <c r="V73" s="25">
        <f>I73</f>
        <v>1369611</v>
      </c>
      <c r="W73" s="25">
        <f>V73*(1+W76)</f>
        <v>2098215.1383040939</v>
      </c>
      <c r="X73" s="25">
        <f t="shared" ref="X73:AA73" si="112">W73*(1+X76)</f>
        <v>3214421.2967101373</v>
      </c>
      <c r="Y73" s="25">
        <f t="shared" si="112"/>
        <v>4924425.5672919434</v>
      </c>
      <c r="Z73" s="25">
        <f t="shared" si="112"/>
        <v>7544116.0101252692</v>
      </c>
      <c r="AA73" s="25">
        <f t="shared" si="112"/>
        <v>9550771.2373479772</v>
      </c>
      <c r="AB73" s="25">
        <f t="shared" ref="AB73" si="113">AA73*(1+AB76)</f>
        <v>10820973.405614633</v>
      </c>
      <c r="AC73" s="25">
        <f t="shared" ref="AC73" si="114">AB73*(1+AC76)</f>
        <v>11540539.582051717</v>
      </c>
      <c r="AD73" s="25">
        <f t="shared" ref="AD73" si="115">AC73*(1+AD76)</f>
        <v>11924247.296219511</v>
      </c>
      <c r="AE73" s="25">
        <f t="shared" ref="AE73:AF73" si="116">AD73*(1+AE76)</f>
        <v>12122480.040913692</v>
      </c>
      <c r="AF73" s="25">
        <f t="shared" si="116"/>
        <v>12223244.157562491</v>
      </c>
      <c r="AG73" s="25">
        <f t="shared" ref="AG73" si="117">AF73*(1+AG76)</f>
        <v>12324845.84269313</v>
      </c>
      <c r="AH73" s="25">
        <f t="shared" ref="AH73" si="118">AG73*(1+AH76)</f>
        <v>12427292.058317335</v>
      </c>
      <c r="AI73" s="25">
        <f t="shared" ref="AI73" si="119">AH73*(1+AI76)</f>
        <v>12530589.824316263</v>
      </c>
      <c r="AJ73" s="25">
        <f t="shared" ref="AJ73" si="120">AI73*(1+AJ76)</f>
        <v>12634746.218921511</v>
      </c>
      <c r="AK73" s="25">
        <f t="shared" ref="AK73" si="121">AJ73*(1+AK76)</f>
        <v>12739768.379200144</v>
      </c>
      <c r="AL73" s="25">
        <f t="shared" ref="AL73" si="122">AK73*(1+AL76)</f>
        <v>12845663.501543744</v>
      </c>
      <c r="AM73" s="25">
        <f t="shared" ref="AM73" si="123">AL73*(1+AM76)</f>
        <v>12952438.842161521</v>
      </c>
      <c r="AN73" s="25">
        <f t="shared" ref="AN73:AP73" si="124">AM73*(1+AN76)</f>
        <v>13060101.717577534</v>
      </c>
      <c r="AO73" s="25">
        <f t="shared" si="124"/>
        <v>13168659.505132033</v>
      </c>
      <c r="AP73" s="25">
        <f t="shared" si="124"/>
        <v>13278119.643486975</v>
      </c>
    </row>
    <row r="74" spans="1:42">
      <c r="A74" t="s">
        <v>28</v>
      </c>
      <c r="B74" s="69">
        <v>50000</v>
      </c>
      <c r="C74" s="69">
        <f>D147</f>
        <v>75890</v>
      </c>
      <c r="D74" s="69">
        <f>D143</f>
        <v>103020</v>
      </c>
      <c r="E74" s="69">
        <f>D139</f>
        <v>244920</v>
      </c>
      <c r="F74" s="69">
        <f>D135</f>
        <v>367200</v>
      </c>
      <c r="G74" s="69">
        <f>D131</f>
        <v>499550</v>
      </c>
      <c r="H74" s="69">
        <f>D127</f>
        <v>936172</v>
      </c>
      <c r="I74" s="69">
        <f>D123</f>
        <v>1313851</v>
      </c>
      <c r="J74" s="69"/>
      <c r="K74" s="69"/>
      <c r="L74" s="69">
        <f>$C125</f>
        <v>254695</v>
      </c>
      <c r="M74" s="69">
        <f>$C124</f>
        <v>343830</v>
      </c>
      <c r="N74" s="69">
        <f>$C123</f>
        <v>405278</v>
      </c>
      <c r="O74" s="69">
        <f>$C122</f>
        <v>422875</v>
      </c>
      <c r="P74" s="69"/>
      <c r="Q74" s="69">
        <f>$C125</f>
        <v>254695</v>
      </c>
      <c r="R74" s="69">
        <f>$C121</f>
        <v>466140</v>
      </c>
      <c r="S74" s="69"/>
      <c r="T74" s="69"/>
      <c r="U74" s="69"/>
      <c r="V74" s="25">
        <f>V73</f>
        <v>1369611</v>
      </c>
      <c r="W74" s="25">
        <f>W73</f>
        <v>2098215.1383040939</v>
      </c>
      <c r="X74" s="25">
        <f t="shared" ref="X74:Z74" si="125">X73</f>
        <v>3214421.2967101373</v>
      </c>
      <c r="Y74" s="25">
        <f t="shared" si="125"/>
        <v>4924425.5672919434</v>
      </c>
      <c r="Z74" s="25">
        <f t="shared" si="125"/>
        <v>7544116.0101252692</v>
      </c>
      <c r="AA74" s="25">
        <f t="shared" ref="AA74:AB74" si="126">AA73</f>
        <v>9550771.2373479772</v>
      </c>
      <c r="AB74" s="25">
        <f t="shared" si="126"/>
        <v>10820973.405614633</v>
      </c>
      <c r="AC74" s="25">
        <f t="shared" ref="AC74:AE74" si="127">AC73</f>
        <v>11540539.582051717</v>
      </c>
      <c r="AD74" s="25">
        <f t="shared" si="127"/>
        <v>11924247.296219511</v>
      </c>
      <c r="AE74" s="25">
        <f t="shared" si="127"/>
        <v>12122480.040913692</v>
      </c>
      <c r="AF74" s="25">
        <f t="shared" ref="AF74:AN74" si="128">AF73</f>
        <v>12223244.157562491</v>
      </c>
      <c r="AG74" s="25">
        <f t="shared" si="128"/>
        <v>12324845.84269313</v>
      </c>
      <c r="AH74" s="25">
        <f t="shared" si="128"/>
        <v>12427292.058317335</v>
      </c>
      <c r="AI74" s="25">
        <f t="shared" si="128"/>
        <v>12530589.824316263</v>
      </c>
      <c r="AJ74" s="25">
        <f t="shared" si="128"/>
        <v>12634746.218921511</v>
      </c>
      <c r="AK74" s="25">
        <f t="shared" si="128"/>
        <v>12739768.379200144</v>
      </c>
      <c r="AL74" s="25">
        <f t="shared" si="128"/>
        <v>12845663.501543744</v>
      </c>
      <c r="AM74" s="25">
        <f t="shared" si="128"/>
        <v>12952438.842161521</v>
      </c>
      <c r="AN74" s="25">
        <f t="shared" si="128"/>
        <v>13060101.717577534</v>
      </c>
      <c r="AO74" s="25">
        <f t="shared" ref="AO74:AP74" si="129">AO73</f>
        <v>13168659.505132033</v>
      </c>
      <c r="AP74" s="25">
        <f t="shared" si="129"/>
        <v>13278119.643486975</v>
      </c>
    </row>
    <row r="75" spans="1:42">
      <c r="A75" t="s">
        <v>32</v>
      </c>
      <c r="B75" t="s">
        <v>190</v>
      </c>
      <c r="C75">
        <f>C73-C74</f>
        <v>8032</v>
      </c>
      <c r="D75">
        <f t="shared" ref="D75:E75" si="130">D73-D74</f>
        <v>-1993</v>
      </c>
      <c r="E75">
        <f t="shared" si="130"/>
        <v>9610</v>
      </c>
      <c r="F75" s="69">
        <f>F73-F74</f>
        <v>-1916</v>
      </c>
      <c r="G75" s="69">
        <f>G73-G74</f>
        <v>10187</v>
      </c>
      <c r="H75" s="69">
        <f t="shared" ref="H75:I75" si="131">H73-H74</f>
        <v>-5750</v>
      </c>
      <c r="I75" s="69">
        <f t="shared" si="131"/>
        <v>55760</v>
      </c>
      <c r="J75" s="69"/>
      <c r="L75" s="69">
        <f>L73-L74</f>
        <v>3885</v>
      </c>
      <c r="M75" s="69">
        <f t="shared" ref="M75:R75" si="132">M73-M74</f>
        <v>22093</v>
      </c>
      <c r="N75" s="69">
        <f t="shared" si="132"/>
        <v>34423</v>
      </c>
      <c r="O75" s="69">
        <f t="shared" si="132"/>
        <v>17933</v>
      </c>
      <c r="P75" s="69"/>
      <c r="Q75" s="69">
        <f>Q73-Q74</f>
        <v>3885</v>
      </c>
      <c r="R75" s="69">
        <f t="shared" si="132"/>
        <v>13560</v>
      </c>
      <c r="V75" s="1"/>
      <c r="W75" s="1"/>
      <c r="X75" s="1"/>
      <c r="Y75" s="1"/>
      <c r="Z75" s="1"/>
      <c r="AA75" s="1"/>
      <c r="AB75" s="1"/>
      <c r="AC75" s="1"/>
      <c r="AD75" s="1"/>
      <c r="AE75" s="1"/>
      <c r="AF75" s="1"/>
      <c r="AG75" s="1"/>
      <c r="AH75" s="1"/>
      <c r="AI75" s="1"/>
      <c r="AJ75" s="1"/>
      <c r="AK75" s="1"/>
      <c r="AL75" s="1"/>
      <c r="AM75" s="1"/>
      <c r="AN75" s="1"/>
      <c r="AO75" s="1"/>
      <c r="AP75" s="1"/>
    </row>
    <row r="76" spans="1:42">
      <c r="A76" t="s">
        <v>41</v>
      </c>
      <c r="C76" s="1">
        <f>(C73-B73)/B73</f>
        <v>0.67844000000000004</v>
      </c>
      <c r="D76" s="1">
        <f>(D73-C73)/C73</f>
        <v>0.20382021400824576</v>
      </c>
      <c r="E76" s="1">
        <f t="shared" ref="E76:G76" si="133">(E73-D73)/D73</f>
        <v>1.519425500113831</v>
      </c>
      <c r="F76" s="1">
        <f t="shared" si="133"/>
        <v>0.43513141869327782</v>
      </c>
      <c r="G76" s="1">
        <f t="shared" si="133"/>
        <v>0.39545394816088303</v>
      </c>
      <c r="H76" s="1">
        <f t="shared" ref="H76" si="134">(H73-G73)/G73</f>
        <v>0.8252981439448186</v>
      </c>
      <c r="I76" s="1">
        <f t="shared" ref="I76" si="135">(I73-H73)/H73</f>
        <v>0.4720320456738985</v>
      </c>
      <c r="J76" s="1"/>
      <c r="L76" s="1" t="e">
        <f t="shared" ref="L76" si="136">(L73-K73)/K73</f>
        <v>#DIV/0!</v>
      </c>
      <c r="M76" s="1">
        <f t="shared" ref="M76" si="137">(M73-L73)/L73</f>
        <v>0.41512491298630982</v>
      </c>
      <c r="N76" s="1">
        <f t="shared" ref="N76" si="138">(N73-M73)/M73</f>
        <v>0.2016216526427691</v>
      </c>
      <c r="O76" s="1">
        <f t="shared" ref="O76:Q76" si="139">(O73-N73)/N73</f>
        <v>2.5176199280874958E-3</v>
      </c>
      <c r="P76" s="1"/>
      <c r="Q76" s="1" t="e">
        <f t="shared" si="139"/>
        <v>#DIV/0!</v>
      </c>
      <c r="R76" s="1">
        <f t="shared" ref="R76" si="140">(R73-Q73)/Q73</f>
        <v>0.85513187408152214</v>
      </c>
      <c r="U76" t="s">
        <v>352</v>
      </c>
      <c r="V76" s="1">
        <f>$B$78</f>
        <v>0.53197888911821944</v>
      </c>
      <c r="W76" s="1">
        <f>$B$78</f>
        <v>0.53197888911821944</v>
      </c>
      <c r="X76" s="1">
        <f>$B$78</f>
        <v>0.53197888911821944</v>
      </c>
      <c r="Y76" s="1">
        <f>$B$78</f>
        <v>0.53197888911821944</v>
      </c>
      <c r="Z76" s="1">
        <f t="shared" ref="Z76" si="141">Y76</f>
        <v>0.53197888911821944</v>
      </c>
      <c r="AA76" s="1">
        <f>Z76/2</f>
        <v>0.26598944455910972</v>
      </c>
      <c r="AB76" s="1">
        <f>AA76/2</f>
        <v>0.13299472227955486</v>
      </c>
      <c r="AC76" s="1">
        <f t="shared" ref="AC76:AF76" si="142">AB76/2</f>
        <v>6.6497361139777431E-2</v>
      </c>
      <c r="AD76" s="1">
        <f t="shared" si="142"/>
        <v>3.3248680569888715E-2</v>
      </c>
      <c r="AE76" s="1">
        <f t="shared" si="142"/>
        <v>1.6624340284944358E-2</v>
      </c>
      <c r="AF76" s="1">
        <f t="shared" si="142"/>
        <v>8.3121701424721788E-3</v>
      </c>
      <c r="AG76" s="1">
        <f>AF76</f>
        <v>8.3121701424721788E-3</v>
      </c>
      <c r="AH76" s="1">
        <f t="shared" ref="AH76:AN76" si="143">AG76</f>
        <v>8.3121701424721788E-3</v>
      </c>
      <c r="AI76" s="1">
        <f t="shared" si="143"/>
        <v>8.3121701424721788E-3</v>
      </c>
      <c r="AJ76" s="1">
        <f t="shared" si="143"/>
        <v>8.3121701424721788E-3</v>
      </c>
      <c r="AK76" s="1">
        <f t="shared" si="143"/>
        <v>8.3121701424721788E-3</v>
      </c>
      <c r="AL76" s="1">
        <f t="shared" si="143"/>
        <v>8.3121701424721788E-3</v>
      </c>
      <c r="AM76" s="1">
        <f t="shared" si="143"/>
        <v>8.3121701424721788E-3</v>
      </c>
      <c r="AN76" s="1">
        <f t="shared" si="143"/>
        <v>8.3121701424721788E-3</v>
      </c>
      <c r="AO76" s="1">
        <f>AN76</f>
        <v>8.3121701424721788E-3</v>
      </c>
      <c r="AP76" s="1">
        <f>AO76</f>
        <v>8.3121701424721788E-3</v>
      </c>
    </row>
    <row r="77" spans="1:42">
      <c r="A77" t="s">
        <v>186</v>
      </c>
      <c r="B77">
        <v>107000</v>
      </c>
      <c r="C77" s="69">
        <f>B77+C73</f>
        <v>190922</v>
      </c>
      <c r="D77" s="69">
        <f t="shared" ref="D77:F77" si="144">C77+D73</f>
        <v>291949</v>
      </c>
      <c r="E77" s="69">
        <f t="shared" si="144"/>
        <v>546479</v>
      </c>
      <c r="F77" s="69">
        <f t="shared" si="144"/>
        <v>911763</v>
      </c>
      <c r="G77" s="69">
        <f>F77+G73</f>
        <v>1421500</v>
      </c>
      <c r="H77" s="69">
        <f t="shared" ref="H77:I77" si="145">G77+H73</f>
        <v>2351922</v>
      </c>
      <c r="I77" s="69">
        <f t="shared" si="145"/>
        <v>3721533</v>
      </c>
      <c r="J77" s="69"/>
      <c r="V77" s="69"/>
      <c r="W77" s="69"/>
      <c r="X77" s="69"/>
      <c r="Y77" s="69"/>
      <c r="Z77" s="69"/>
    </row>
    <row r="78" spans="1:42">
      <c r="A78" t="s">
        <v>185</v>
      </c>
      <c r="B78" s="1">
        <f>AVERAGE(F76:I76)</f>
        <v>0.53197888911821944</v>
      </c>
      <c r="C78" s="1"/>
    </row>
    <row r="79" spans="1:42">
      <c r="A79" t="s">
        <v>191</v>
      </c>
      <c r="B79" s="1">
        <f>AVERAGE(F20:I20)</f>
        <v>-9.6679839331122577E-2</v>
      </c>
      <c r="C79" s="1"/>
    </row>
    <row r="80" spans="1:42">
      <c r="A80" t="s">
        <v>192</v>
      </c>
      <c r="B80" s="1">
        <f>AVERAGE(F23:I23)</f>
        <v>-0.56258909054582784</v>
      </c>
      <c r="C80" s="1"/>
    </row>
    <row r="81" spans="1:4">
      <c r="A81" t="s">
        <v>183</v>
      </c>
      <c r="B81" s="1">
        <f>AVERAGE(F27:I27)</f>
        <v>0.20783549689543845</v>
      </c>
    </row>
    <row r="82" spans="1:4">
      <c r="A82" t="s">
        <v>184</v>
      </c>
      <c r="B82" s="1">
        <f>AVERAGE(F30:I30)</f>
        <v>0.20996527648546554</v>
      </c>
    </row>
    <row r="83" spans="1:4" ht="45">
      <c r="A83" s="159" t="s">
        <v>362</v>
      </c>
      <c r="B83" s="2">
        <v>3164</v>
      </c>
    </row>
    <row r="84" spans="1:4">
      <c r="A84" t="s">
        <v>268</v>
      </c>
      <c r="B84" s="1">
        <f>AVERAGE(F54:I54)</f>
        <v>0.55522313085480102</v>
      </c>
    </row>
    <row r="85" spans="1:4">
      <c r="A85" t="s">
        <v>26</v>
      </c>
    </row>
    <row r="86" spans="1:4">
      <c r="A86" t="s">
        <v>21</v>
      </c>
      <c r="B86" t="s">
        <v>22</v>
      </c>
      <c r="C86" t="s">
        <v>23</v>
      </c>
      <c r="D86" t="s">
        <v>24</v>
      </c>
    </row>
    <row r="87" spans="1:4" ht="16.5">
      <c r="A87" t="s">
        <v>17</v>
      </c>
      <c r="B87">
        <v>2023</v>
      </c>
      <c r="C87" s="227">
        <v>479700</v>
      </c>
    </row>
    <row r="88" spans="1:4" ht="16.5">
      <c r="A88" t="s">
        <v>18</v>
      </c>
      <c r="B88">
        <v>2023</v>
      </c>
      <c r="C88" s="228">
        <v>440808</v>
      </c>
    </row>
    <row r="89" spans="1:4">
      <c r="A89" t="s">
        <v>349</v>
      </c>
      <c r="B89">
        <v>2022</v>
      </c>
      <c r="C89" s="208">
        <v>439701</v>
      </c>
      <c r="D89" s="24">
        <f>SUM(C89:C92)</f>
        <v>1369611</v>
      </c>
    </row>
    <row r="90" spans="1:4">
      <c r="A90" t="s">
        <v>40</v>
      </c>
      <c r="B90">
        <v>2022</v>
      </c>
      <c r="C90" s="208">
        <v>365923</v>
      </c>
    </row>
    <row r="91" spans="1:4">
      <c r="A91" t="s">
        <v>17</v>
      </c>
      <c r="B91">
        <v>2022</v>
      </c>
      <c r="C91" s="206">
        <v>258580</v>
      </c>
      <c r="D91" s="207"/>
    </row>
    <row r="92" spans="1:4">
      <c r="A92" t="s">
        <v>18</v>
      </c>
      <c r="B92">
        <v>2022</v>
      </c>
      <c r="C92" s="206">
        <v>305407</v>
      </c>
      <c r="D92" s="207"/>
    </row>
    <row r="93" spans="1:4">
      <c r="A93" t="s">
        <v>349</v>
      </c>
      <c r="B93">
        <v>2021</v>
      </c>
      <c r="C93" s="208">
        <v>305840</v>
      </c>
      <c r="D93" s="24">
        <f>SUM(C93:C96)</f>
        <v>930422</v>
      </c>
    </row>
    <row r="94" spans="1:4">
      <c r="A94" t="s">
        <v>40</v>
      </c>
      <c r="B94">
        <v>2021</v>
      </c>
      <c r="C94" s="206">
        <v>237823</v>
      </c>
      <c r="D94" s="207"/>
    </row>
    <row r="95" spans="1:4">
      <c r="A95" t="s">
        <v>17</v>
      </c>
      <c r="B95">
        <v>2021</v>
      </c>
      <c r="C95" s="206">
        <v>206421</v>
      </c>
      <c r="D95" s="207"/>
    </row>
    <row r="96" spans="1:4">
      <c r="A96" t="s">
        <v>18</v>
      </c>
      <c r="B96">
        <v>2021</v>
      </c>
      <c r="C96" s="206">
        <v>180338</v>
      </c>
      <c r="D96" s="207"/>
    </row>
    <row r="97" spans="1:4">
      <c r="A97" t="s">
        <v>349</v>
      </c>
      <c r="B97">
        <v>2020</v>
      </c>
      <c r="C97" s="25">
        <v>179757</v>
      </c>
      <c r="D97" s="24">
        <f>SUM(C97:C100)</f>
        <v>509737</v>
      </c>
    </row>
    <row r="98" spans="1:4">
      <c r="A98" t="s">
        <v>40</v>
      </c>
      <c r="B98">
        <v>2020</v>
      </c>
      <c r="C98" s="25">
        <v>145036</v>
      </c>
      <c r="D98" s="24">
        <f>SUM(C98:C100)</f>
        <v>329980</v>
      </c>
    </row>
    <row r="99" spans="1:4">
      <c r="A99" t="s">
        <v>17</v>
      </c>
      <c r="B99">
        <v>2020</v>
      </c>
      <c r="C99">
        <v>82272</v>
      </c>
    </row>
    <row r="100" spans="1:4">
      <c r="A100" t="s">
        <v>18</v>
      </c>
      <c r="B100">
        <v>2020</v>
      </c>
      <c r="C100">
        <v>102672</v>
      </c>
    </row>
    <row r="101" spans="1:4">
      <c r="A101" t="s">
        <v>19</v>
      </c>
      <c r="B101">
        <v>2019</v>
      </c>
      <c r="C101">
        <v>104981</v>
      </c>
      <c r="D101">
        <f>SUM(C101:C104)</f>
        <v>365284</v>
      </c>
    </row>
    <row r="102" spans="1:4">
      <c r="A102" t="s">
        <v>20</v>
      </c>
      <c r="B102">
        <v>2019</v>
      </c>
      <c r="C102">
        <v>96155</v>
      </c>
    </row>
    <row r="103" spans="1:4">
      <c r="A103" t="s">
        <v>17</v>
      </c>
      <c r="B103">
        <v>2019</v>
      </c>
      <c r="C103">
        <v>87048</v>
      </c>
    </row>
    <row r="104" spans="1:4">
      <c r="A104" t="s">
        <v>18</v>
      </c>
      <c r="B104">
        <v>2019</v>
      </c>
      <c r="C104">
        <v>77100</v>
      </c>
    </row>
    <row r="105" spans="1:4">
      <c r="A105" t="s">
        <v>19</v>
      </c>
      <c r="B105">
        <v>2018</v>
      </c>
      <c r="C105">
        <v>86555</v>
      </c>
      <c r="D105">
        <f>SUM(C105:C108)</f>
        <v>254530</v>
      </c>
    </row>
    <row r="106" spans="1:4">
      <c r="A106" t="s">
        <v>20</v>
      </c>
      <c r="B106">
        <v>2018</v>
      </c>
      <c r="C106">
        <v>80142</v>
      </c>
    </row>
    <row r="107" spans="1:4">
      <c r="A107" t="s">
        <v>17</v>
      </c>
      <c r="B107">
        <v>2018</v>
      </c>
      <c r="C107">
        <v>53339</v>
      </c>
    </row>
    <row r="108" spans="1:4">
      <c r="A108" t="s">
        <v>18</v>
      </c>
      <c r="B108">
        <v>2018</v>
      </c>
      <c r="C108">
        <v>34494</v>
      </c>
    </row>
    <row r="109" spans="1:4">
      <c r="A109" t="s">
        <v>19</v>
      </c>
      <c r="B109">
        <v>2017</v>
      </c>
      <c r="C109">
        <v>24565</v>
      </c>
      <c r="D109">
        <f>SUM(C109:C112)</f>
        <v>101027</v>
      </c>
    </row>
    <row r="110" spans="1:4">
      <c r="A110" t="s">
        <v>20</v>
      </c>
      <c r="B110">
        <v>2017</v>
      </c>
      <c r="C110">
        <v>25336</v>
      </c>
    </row>
    <row r="111" spans="1:4">
      <c r="A111" t="s">
        <v>17</v>
      </c>
      <c r="B111">
        <v>2017</v>
      </c>
      <c r="C111">
        <v>25708</v>
      </c>
    </row>
    <row r="112" spans="1:4">
      <c r="A112" t="s">
        <v>18</v>
      </c>
      <c r="B112">
        <v>2017</v>
      </c>
      <c r="C112">
        <v>25418</v>
      </c>
    </row>
    <row r="113" spans="1:4">
      <c r="A113" t="s">
        <v>19</v>
      </c>
      <c r="B113">
        <v>2016</v>
      </c>
      <c r="C113">
        <v>24882</v>
      </c>
      <c r="D113">
        <f>SUM(C113:C116)</f>
        <v>83922</v>
      </c>
    </row>
    <row r="114" spans="1:4">
      <c r="A114" t="s">
        <v>20</v>
      </c>
      <c r="B114">
        <v>2016</v>
      </c>
      <c r="C114">
        <v>25185</v>
      </c>
    </row>
    <row r="115" spans="1:4">
      <c r="A115" t="s">
        <v>17</v>
      </c>
      <c r="B115">
        <v>2016</v>
      </c>
      <c r="C115">
        <v>18345</v>
      </c>
    </row>
    <row r="116" spans="1:4">
      <c r="A116" t="s">
        <v>18</v>
      </c>
      <c r="B116">
        <v>2016</v>
      </c>
      <c r="C116">
        <v>15510</v>
      </c>
    </row>
    <row r="119" spans="1:4">
      <c r="A119" t="s">
        <v>27</v>
      </c>
    </row>
    <row r="120" spans="1:4">
      <c r="A120" t="s">
        <v>21</v>
      </c>
      <c r="B120" t="s">
        <v>22</v>
      </c>
      <c r="C120" t="s">
        <v>23</v>
      </c>
      <c r="D120" t="s">
        <v>24</v>
      </c>
    </row>
    <row r="121" spans="1:4">
      <c r="A121" t="s">
        <v>17</v>
      </c>
      <c r="B121">
        <v>2023</v>
      </c>
      <c r="C121" s="24">
        <v>466140</v>
      </c>
    </row>
    <row r="122" spans="1:4">
      <c r="A122" t="s">
        <v>18</v>
      </c>
      <c r="B122">
        <v>2023</v>
      </c>
      <c r="C122" s="24">
        <v>422875</v>
      </c>
    </row>
    <row r="123" spans="1:4">
      <c r="A123" t="s">
        <v>349</v>
      </c>
      <c r="B123">
        <v>2022</v>
      </c>
      <c r="C123" s="24">
        <v>405278</v>
      </c>
      <c r="D123" s="24">
        <f>SUM(C123:C126)</f>
        <v>1313851</v>
      </c>
    </row>
    <row r="124" spans="1:4">
      <c r="A124" t="s">
        <v>40</v>
      </c>
      <c r="B124">
        <v>2022</v>
      </c>
      <c r="C124" s="24">
        <v>343830</v>
      </c>
    </row>
    <row r="125" spans="1:4">
      <c r="A125" t="s">
        <v>17</v>
      </c>
      <c r="B125">
        <v>2022</v>
      </c>
      <c r="C125" s="24">
        <v>254695</v>
      </c>
    </row>
    <row r="126" spans="1:4">
      <c r="A126" t="s">
        <v>18</v>
      </c>
      <c r="B126">
        <v>2022</v>
      </c>
      <c r="C126" s="24">
        <v>310048</v>
      </c>
      <c r="D126" s="207"/>
    </row>
    <row r="127" spans="1:4">
      <c r="A127" t="s">
        <v>349</v>
      </c>
      <c r="B127">
        <v>2021</v>
      </c>
      <c r="C127" s="24">
        <v>308600</v>
      </c>
      <c r="D127" s="24">
        <v>936172</v>
      </c>
    </row>
    <row r="128" spans="1:4">
      <c r="A128" t="s">
        <v>40</v>
      </c>
      <c r="B128">
        <v>2021</v>
      </c>
      <c r="C128" s="24">
        <v>241300</v>
      </c>
    </row>
    <row r="129" spans="1:4">
      <c r="A129" t="s">
        <v>17</v>
      </c>
      <c r="B129">
        <v>2021</v>
      </c>
      <c r="C129" s="24">
        <v>201250</v>
      </c>
    </row>
    <row r="130" spans="1:4">
      <c r="A130" t="s">
        <v>18</v>
      </c>
      <c r="B130">
        <v>2021</v>
      </c>
      <c r="C130" s="24">
        <v>184800</v>
      </c>
    </row>
    <row r="131" spans="1:4">
      <c r="A131" t="s">
        <v>349</v>
      </c>
      <c r="B131">
        <v>2020</v>
      </c>
      <c r="C131" s="24">
        <v>180570</v>
      </c>
      <c r="D131" s="24">
        <v>499550</v>
      </c>
    </row>
    <row r="132" spans="1:4">
      <c r="A132" t="s">
        <v>40</v>
      </c>
      <c r="B132">
        <v>2020</v>
      </c>
      <c r="C132" s="24">
        <v>139300</v>
      </c>
      <c r="D132" s="24">
        <f>SUM(C132:C134)</f>
        <v>318350</v>
      </c>
    </row>
    <row r="133" spans="1:4">
      <c r="A133" t="s">
        <v>17</v>
      </c>
      <c r="B133">
        <v>2020</v>
      </c>
      <c r="C133" s="24">
        <v>90650</v>
      </c>
    </row>
    <row r="134" spans="1:4">
      <c r="A134" t="s">
        <v>18</v>
      </c>
      <c r="B134">
        <v>2020</v>
      </c>
      <c r="C134" s="24">
        <v>88400</v>
      </c>
    </row>
    <row r="135" spans="1:4">
      <c r="A135" t="s">
        <v>19</v>
      </c>
      <c r="B135">
        <v>2019</v>
      </c>
      <c r="C135" s="24">
        <v>112000</v>
      </c>
      <c r="D135">
        <f>SUM(C135:C138)</f>
        <v>367200</v>
      </c>
    </row>
    <row r="136" spans="1:4">
      <c r="A136" t="s">
        <v>20</v>
      </c>
      <c r="B136">
        <v>2019</v>
      </c>
      <c r="C136" s="24">
        <v>97000</v>
      </c>
    </row>
    <row r="137" spans="1:4">
      <c r="A137" t="s">
        <v>17</v>
      </c>
      <c r="B137">
        <v>2019</v>
      </c>
      <c r="C137" s="24">
        <v>95200</v>
      </c>
    </row>
    <row r="138" spans="1:4">
      <c r="A138" t="s">
        <v>18</v>
      </c>
      <c r="B138">
        <v>2019</v>
      </c>
      <c r="C138" s="24">
        <v>63000</v>
      </c>
    </row>
    <row r="139" spans="1:4">
      <c r="A139" t="s">
        <v>19</v>
      </c>
      <c r="B139">
        <v>2018</v>
      </c>
      <c r="C139" s="24">
        <v>90700</v>
      </c>
      <c r="D139">
        <f>SUM(C139:C142)</f>
        <v>244920</v>
      </c>
    </row>
    <row r="140" spans="1:4">
      <c r="A140" t="s">
        <v>20</v>
      </c>
      <c r="B140">
        <v>2018</v>
      </c>
      <c r="C140" s="24">
        <v>83500</v>
      </c>
    </row>
    <row r="141" spans="1:4">
      <c r="A141" t="s">
        <v>17</v>
      </c>
      <c r="B141">
        <v>2018</v>
      </c>
      <c r="C141" s="24">
        <v>40740</v>
      </c>
    </row>
    <row r="142" spans="1:4">
      <c r="A142" t="s">
        <v>18</v>
      </c>
      <c r="B142">
        <v>2018</v>
      </c>
      <c r="C142" s="24">
        <v>29980</v>
      </c>
    </row>
    <row r="143" spans="1:4">
      <c r="A143" t="s">
        <v>19</v>
      </c>
      <c r="B143">
        <v>2017</v>
      </c>
      <c r="C143" s="24">
        <v>29870</v>
      </c>
      <c r="D143">
        <f>SUM(C143:C146)</f>
        <v>103020</v>
      </c>
    </row>
    <row r="144" spans="1:4">
      <c r="A144" t="s">
        <v>20</v>
      </c>
      <c r="B144">
        <v>2017</v>
      </c>
      <c r="C144" s="24">
        <v>26150</v>
      </c>
    </row>
    <row r="145" spans="1:4">
      <c r="A145" t="s">
        <v>17</v>
      </c>
      <c r="B145">
        <v>2017</v>
      </c>
      <c r="C145" s="24">
        <v>22000</v>
      </c>
    </row>
    <row r="146" spans="1:4">
      <c r="A146" t="s">
        <v>18</v>
      </c>
      <c r="B146">
        <v>2017</v>
      </c>
      <c r="C146" s="24">
        <v>25000</v>
      </c>
    </row>
    <row r="147" spans="1:4">
      <c r="A147" t="s">
        <v>19</v>
      </c>
      <c r="B147">
        <v>2016</v>
      </c>
      <c r="C147" s="24">
        <v>22200</v>
      </c>
      <c r="D147">
        <f>SUM(C147:C150)</f>
        <v>75890</v>
      </c>
    </row>
    <row r="148" spans="1:4">
      <c r="A148" t="s">
        <v>20</v>
      </c>
      <c r="B148">
        <v>2016</v>
      </c>
      <c r="C148" s="24">
        <v>24500</v>
      </c>
    </row>
    <row r="149" spans="1:4">
      <c r="A149" t="s">
        <v>17</v>
      </c>
      <c r="B149">
        <v>2016</v>
      </c>
      <c r="C149" s="24">
        <v>14370</v>
      </c>
    </row>
    <row r="150" spans="1:4">
      <c r="A150" t="s">
        <v>18</v>
      </c>
      <c r="B150">
        <v>2016</v>
      </c>
      <c r="C150" s="24">
        <v>14820</v>
      </c>
    </row>
    <row r="155" spans="1:4">
      <c r="A155" s="30" t="s">
        <v>70</v>
      </c>
    </row>
    <row r="158" spans="1:4">
      <c r="A158" s="244" t="s">
        <v>69</v>
      </c>
      <c r="B158" s="245"/>
      <c r="C158" s="245"/>
    </row>
    <row r="159" spans="1:4">
      <c r="A159" s="27" t="s">
        <v>1</v>
      </c>
      <c r="B159" s="28" t="s">
        <v>0</v>
      </c>
      <c r="C159" s="29" t="s">
        <v>42</v>
      </c>
    </row>
    <row r="160" spans="1:4">
      <c r="A160" t="s">
        <v>45</v>
      </c>
      <c r="B160" t="s">
        <v>46</v>
      </c>
      <c r="C160" s="1">
        <v>-3.4000000000000002E-2</v>
      </c>
    </row>
    <row r="161" spans="1:4">
      <c r="A161" t="s">
        <v>47</v>
      </c>
      <c r="B161" t="s">
        <v>48</v>
      </c>
      <c r="C161" s="1">
        <v>4.7E-2</v>
      </c>
    </row>
    <row r="162" spans="1:4">
      <c r="A162" t="s">
        <v>49</v>
      </c>
      <c r="B162" t="s">
        <v>50</v>
      </c>
      <c r="C162" s="1">
        <v>8.3000000000000004E-2</v>
      </c>
    </row>
    <row r="163" spans="1:4">
      <c r="A163" t="s">
        <v>51</v>
      </c>
      <c r="B163" t="s">
        <v>52</v>
      </c>
      <c r="C163" s="1">
        <v>9.9000000000000005E-2</v>
      </c>
    </row>
    <row r="164" spans="1:4">
      <c r="A164" t="s">
        <v>53</v>
      </c>
      <c r="B164" t="s">
        <v>54</v>
      </c>
      <c r="C164" s="1">
        <v>0.16800000000000001</v>
      </c>
    </row>
    <row r="165" spans="1:4">
      <c r="A165" s="3" t="s">
        <v>55</v>
      </c>
      <c r="B165" s="3" t="s">
        <v>56</v>
      </c>
      <c r="C165" s="31">
        <v>0.19800000000000001</v>
      </c>
    </row>
    <row r="166" spans="1:4">
      <c r="A166" t="s">
        <v>57</v>
      </c>
      <c r="B166" t="s">
        <v>58</v>
      </c>
      <c r="C166" s="1">
        <v>0.19900000000000001</v>
      </c>
    </row>
    <row r="167" spans="1:4">
      <c r="A167" t="s">
        <v>59</v>
      </c>
      <c r="B167" t="s">
        <v>60</v>
      </c>
      <c r="C167" s="1">
        <v>0.33800000000000002</v>
      </c>
    </row>
    <row r="168" spans="1:4">
      <c r="A168" t="s">
        <v>61</v>
      </c>
      <c r="B168" t="s">
        <v>62</v>
      </c>
      <c r="C168" s="1">
        <v>0.38200000000000001</v>
      </c>
    </row>
    <row r="169" spans="1:4">
      <c r="A169" t="s">
        <v>63</v>
      </c>
      <c r="B169" t="s">
        <v>64</v>
      </c>
      <c r="C169" s="1">
        <v>0.39</v>
      </c>
    </row>
    <row r="170" spans="1:4">
      <c r="A170" t="s">
        <v>65</v>
      </c>
      <c r="B170" t="s">
        <v>66</v>
      </c>
      <c r="C170" s="1">
        <v>0.40300000000000002</v>
      </c>
    </row>
    <row r="171" spans="1:4">
      <c r="A171" t="s">
        <v>67</v>
      </c>
      <c r="B171" t="s">
        <v>68</v>
      </c>
      <c r="C171" s="1">
        <v>0.81499999999999995</v>
      </c>
    </row>
    <row r="173" spans="1:4">
      <c r="A173" s="243" t="s">
        <v>90</v>
      </c>
      <c r="B173" s="243"/>
      <c r="C173" s="243"/>
      <c r="D173" s="243"/>
    </row>
    <row r="174" spans="1:4">
      <c r="A174" t="s">
        <v>75</v>
      </c>
      <c r="B174" t="s">
        <v>76</v>
      </c>
      <c r="C174" t="s">
        <v>77</v>
      </c>
      <c r="D174" t="s">
        <v>78</v>
      </c>
    </row>
    <row r="175" spans="1:4">
      <c r="A175" t="s">
        <v>79</v>
      </c>
      <c r="B175">
        <v>4.29</v>
      </c>
      <c r="C175">
        <v>6.32</v>
      </c>
      <c r="D175">
        <v>7.32</v>
      </c>
    </row>
    <row r="176" spans="1:4">
      <c r="A176" t="s">
        <v>80</v>
      </c>
      <c r="B176">
        <v>4</v>
      </c>
      <c r="C176">
        <v>4.9000000000000004</v>
      </c>
      <c r="D176">
        <v>5.7</v>
      </c>
    </row>
    <row r="177" spans="1:11">
      <c r="A177" t="s">
        <v>81</v>
      </c>
      <c r="B177">
        <v>4.9800000000000004</v>
      </c>
      <c r="C177">
        <v>6.07</v>
      </c>
      <c r="D177">
        <v>6.77</v>
      </c>
    </row>
    <row r="178" spans="1:11">
      <c r="A178" t="s">
        <v>82</v>
      </c>
      <c r="B178">
        <v>5.09</v>
      </c>
      <c r="C178">
        <v>6.22</v>
      </c>
      <c r="D178">
        <v>6.88</v>
      </c>
    </row>
    <row r="179" spans="1:11">
      <c r="A179" t="s">
        <v>83</v>
      </c>
      <c r="B179">
        <v>4.8899999999999997</v>
      </c>
      <c r="C179">
        <v>5.95</v>
      </c>
      <c r="D179">
        <v>6.61</v>
      </c>
    </row>
    <row r="180" spans="1:11">
      <c r="A180" t="s">
        <v>84</v>
      </c>
      <c r="B180">
        <v>5.55</v>
      </c>
      <c r="C180">
        <v>6.5</v>
      </c>
      <c r="D180">
        <v>7.25</v>
      </c>
    </row>
    <row r="181" spans="1:11">
      <c r="A181" t="s">
        <v>85</v>
      </c>
      <c r="B181">
        <v>5.5</v>
      </c>
      <c r="C181">
        <v>6.58</v>
      </c>
      <c r="D181">
        <v>7.33</v>
      </c>
    </row>
    <row r="182" spans="1:11">
      <c r="A182" t="s">
        <v>86</v>
      </c>
      <c r="B182">
        <v>5.49</v>
      </c>
      <c r="C182">
        <v>6.62</v>
      </c>
      <c r="D182">
        <v>7.24</v>
      </c>
    </row>
    <row r="183" spans="1:11">
      <c r="A183" t="s">
        <v>87</v>
      </c>
      <c r="B183">
        <v>4.3899999999999997</v>
      </c>
      <c r="C183">
        <v>5.24</v>
      </c>
      <c r="D183">
        <v>5.7</v>
      </c>
    </row>
    <row r="184" spans="1:11">
      <c r="A184" t="s">
        <v>88</v>
      </c>
      <c r="B184">
        <v>5.88</v>
      </c>
      <c r="C184">
        <v>7.06</v>
      </c>
      <c r="D184">
        <v>7.49</v>
      </c>
    </row>
    <row r="185" spans="1:11">
      <c r="A185" t="s">
        <v>89</v>
      </c>
      <c r="B185">
        <v>4.6500000000000004</v>
      </c>
      <c r="C185">
        <v>5.68</v>
      </c>
      <c r="D185">
        <v>6.2</v>
      </c>
    </row>
    <row r="186" spans="1:11">
      <c r="A186" s="36"/>
    </row>
    <row r="187" spans="1:11" ht="15.75" thickBot="1"/>
    <row r="188" spans="1:11" ht="30.75" thickBot="1">
      <c r="A188" s="58" t="s">
        <v>143</v>
      </c>
      <c r="B188" s="58" t="s">
        <v>1</v>
      </c>
      <c r="C188" s="58" t="s">
        <v>144</v>
      </c>
      <c r="D188" s="58" t="s">
        <v>145</v>
      </c>
      <c r="E188" s="58" t="s">
        <v>146</v>
      </c>
      <c r="F188" s="58" t="s">
        <v>140</v>
      </c>
      <c r="G188" s="58"/>
      <c r="H188" s="58"/>
      <c r="I188" s="58"/>
      <c r="J188" s="58"/>
      <c r="K188" s="58" t="s">
        <v>147</v>
      </c>
    </row>
    <row r="189" spans="1:11" ht="57.75" thickBot="1">
      <c r="A189" s="59">
        <v>3</v>
      </c>
      <c r="B189" s="60" t="s">
        <v>148</v>
      </c>
      <c r="C189" s="60" t="s">
        <v>149</v>
      </c>
      <c r="D189" s="60" t="s">
        <v>150</v>
      </c>
      <c r="E189" s="61" t="s">
        <v>151</v>
      </c>
      <c r="F189" s="62">
        <v>1487</v>
      </c>
      <c r="G189" s="62"/>
      <c r="H189" s="62"/>
      <c r="I189" s="62"/>
      <c r="J189" s="62"/>
      <c r="K189" s="61" t="s">
        <v>152</v>
      </c>
    </row>
    <row r="190" spans="1:11" ht="143.25" thickBot="1">
      <c r="A190" s="59">
        <v>1</v>
      </c>
      <c r="B190" s="61"/>
      <c r="C190" s="60" t="s">
        <v>153</v>
      </c>
      <c r="D190" s="60" t="s">
        <v>150</v>
      </c>
      <c r="E190" s="61"/>
      <c r="F190" s="61"/>
      <c r="G190" s="61"/>
      <c r="H190" s="61"/>
      <c r="I190" s="61"/>
      <c r="J190" s="61"/>
      <c r="K190" s="61" t="s">
        <v>154</v>
      </c>
    </row>
    <row r="191" spans="1:11" ht="15.75" customHeight="1">
      <c r="A191" s="239" t="s">
        <v>7</v>
      </c>
      <c r="B191" s="236" t="s">
        <v>155</v>
      </c>
      <c r="C191" s="236" t="s">
        <v>156</v>
      </c>
      <c r="D191" s="63" t="s">
        <v>157</v>
      </c>
      <c r="E191" s="233">
        <v>2010</v>
      </c>
      <c r="F191" s="241">
        <v>10000</v>
      </c>
      <c r="G191" s="200"/>
      <c r="H191" s="200"/>
      <c r="I191" s="200"/>
      <c r="J191" s="200"/>
      <c r="K191" s="233"/>
    </row>
    <row r="192" spans="1:11" ht="30">
      <c r="A192" s="246"/>
      <c r="B192" s="237"/>
      <c r="C192" s="237"/>
      <c r="D192" s="64" t="s">
        <v>158</v>
      </c>
      <c r="E192" s="234"/>
      <c r="F192" s="247"/>
      <c r="G192" s="201"/>
      <c r="H192" s="201"/>
      <c r="I192" s="201"/>
      <c r="J192" s="201"/>
      <c r="K192" s="234"/>
    </row>
    <row r="193" spans="1:17" ht="30">
      <c r="A193" s="246"/>
      <c r="B193" s="237"/>
      <c r="C193" s="237"/>
      <c r="D193" s="64" t="s">
        <v>159</v>
      </c>
      <c r="E193" s="234"/>
      <c r="F193" s="247"/>
      <c r="G193" s="201"/>
      <c r="H193" s="201"/>
      <c r="I193" s="201"/>
      <c r="J193" s="201"/>
      <c r="K193" s="234"/>
    </row>
    <row r="194" spans="1:17" ht="30">
      <c r="A194" s="246"/>
      <c r="B194" s="237"/>
      <c r="C194" s="237"/>
      <c r="D194" s="64" t="s">
        <v>160</v>
      </c>
      <c r="E194" s="234"/>
      <c r="F194" s="247"/>
      <c r="G194" s="201"/>
      <c r="H194" s="201"/>
      <c r="I194" s="201"/>
      <c r="J194" s="201"/>
      <c r="K194" s="234"/>
    </row>
    <row r="195" spans="1:17" ht="45.75" thickBot="1">
      <c r="A195" s="240"/>
      <c r="B195" s="238"/>
      <c r="C195" s="238"/>
      <c r="D195" s="65" t="s">
        <v>161</v>
      </c>
      <c r="E195" s="235"/>
      <c r="F195" s="242"/>
      <c r="G195" s="202"/>
      <c r="H195" s="202"/>
      <c r="I195" s="202"/>
      <c r="J195" s="202"/>
      <c r="K195" s="235"/>
    </row>
    <row r="196" spans="1:17" ht="69" customHeight="1">
      <c r="A196" s="233"/>
      <c r="B196" s="236" t="s">
        <v>162</v>
      </c>
      <c r="C196" s="236" t="s">
        <v>163</v>
      </c>
      <c r="D196" s="63" t="s">
        <v>157</v>
      </c>
      <c r="E196" s="233">
        <v>2013</v>
      </c>
      <c r="F196" s="233"/>
      <c r="G196" s="197"/>
      <c r="H196" s="197"/>
      <c r="I196" s="197"/>
      <c r="J196" s="197"/>
      <c r="K196" s="233" t="s">
        <v>164</v>
      </c>
    </row>
    <row r="197" spans="1:17" ht="30.75" thickBot="1">
      <c r="A197" s="235"/>
      <c r="B197" s="238"/>
      <c r="C197" s="238"/>
      <c r="D197" s="65" t="s">
        <v>158</v>
      </c>
      <c r="E197" s="235"/>
      <c r="F197" s="235"/>
      <c r="G197" s="198"/>
      <c r="H197" s="198"/>
      <c r="I197" s="198"/>
      <c r="J197" s="198"/>
      <c r="K197" s="235"/>
    </row>
    <row r="198" spans="1:17" ht="140.25" customHeight="1">
      <c r="A198" s="239" t="s">
        <v>165</v>
      </c>
      <c r="B198" s="236" t="s">
        <v>166</v>
      </c>
      <c r="C198" s="236" t="s">
        <v>167</v>
      </c>
      <c r="D198" s="63" t="s">
        <v>159</v>
      </c>
      <c r="E198" s="233">
        <v>2019</v>
      </c>
      <c r="F198" s="241">
        <v>2000</v>
      </c>
      <c r="G198" s="200"/>
      <c r="H198" s="200"/>
      <c r="I198" s="200"/>
      <c r="J198" s="200"/>
      <c r="K198" s="233" t="s">
        <v>168</v>
      </c>
      <c r="L198" s="68" t="s">
        <v>181</v>
      </c>
      <c r="Q198" s="68" t="s">
        <v>181</v>
      </c>
    </row>
    <row r="199" spans="1:17" ht="30.75" thickBot="1">
      <c r="A199" s="240"/>
      <c r="B199" s="238"/>
      <c r="C199" s="238"/>
      <c r="D199" s="65" t="s">
        <v>160</v>
      </c>
      <c r="E199" s="235"/>
      <c r="F199" s="242"/>
      <c r="G199" s="202"/>
      <c r="H199" s="202"/>
      <c r="I199" s="202"/>
      <c r="J199" s="202"/>
      <c r="K199" s="235"/>
    </row>
    <row r="200" spans="1:17" ht="180" customHeight="1">
      <c r="A200" s="233"/>
      <c r="B200" s="236" t="s">
        <v>169</v>
      </c>
      <c r="C200" s="236" t="s">
        <v>170</v>
      </c>
      <c r="D200" s="63" t="s">
        <v>160</v>
      </c>
      <c r="E200" s="233" t="s">
        <v>172</v>
      </c>
      <c r="F200" s="233" t="s">
        <v>173</v>
      </c>
      <c r="G200" s="197"/>
      <c r="H200" s="197"/>
      <c r="I200" s="197"/>
      <c r="J200" s="197"/>
      <c r="K200" s="233" t="s">
        <v>174</v>
      </c>
      <c r="L200" s="68" t="s">
        <v>182</v>
      </c>
      <c r="Q200" s="68" t="s">
        <v>182</v>
      </c>
    </row>
    <row r="201" spans="1:17" ht="30">
      <c r="A201" s="234"/>
      <c r="B201" s="237"/>
      <c r="C201" s="237"/>
      <c r="D201" s="64" t="s">
        <v>159</v>
      </c>
      <c r="E201" s="234"/>
      <c r="F201" s="234"/>
      <c r="G201" s="199"/>
      <c r="H201" s="199"/>
      <c r="I201" s="199"/>
      <c r="J201" s="199"/>
      <c r="K201" s="234"/>
    </row>
    <row r="202" spans="1:17" ht="30.75" thickBot="1">
      <c r="A202" s="235"/>
      <c r="B202" s="238"/>
      <c r="C202" s="238"/>
      <c r="D202" s="65" t="s">
        <v>171</v>
      </c>
      <c r="E202" s="235"/>
      <c r="F202" s="235"/>
      <c r="G202" s="198"/>
      <c r="H202" s="198"/>
      <c r="I202" s="198"/>
      <c r="J202" s="198"/>
      <c r="K202" s="235"/>
    </row>
    <row r="203" spans="1:17" ht="15.75" customHeight="1">
      <c r="A203" s="233"/>
      <c r="B203" s="236" t="s">
        <v>175</v>
      </c>
      <c r="C203" s="236" t="s">
        <v>176</v>
      </c>
      <c r="D203" s="63" t="s">
        <v>177</v>
      </c>
      <c r="E203" s="233" t="s">
        <v>172</v>
      </c>
      <c r="F203" s="233"/>
      <c r="G203" s="197"/>
      <c r="H203" s="197"/>
      <c r="I203" s="197"/>
      <c r="J203" s="197"/>
      <c r="K203" s="233" t="s">
        <v>180</v>
      </c>
    </row>
    <row r="204" spans="1:17">
      <c r="A204" s="234"/>
      <c r="B204" s="237"/>
      <c r="C204" s="237"/>
      <c r="D204" s="64" t="s">
        <v>178</v>
      </c>
      <c r="E204" s="234"/>
      <c r="F204" s="234"/>
      <c r="G204" s="199"/>
      <c r="H204" s="199"/>
      <c r="I204" s="199"/>
      <c r="J204" s="199"/>
      <c r="K204" s="234"/>
    </row>
    <row r="205" spans="1:17" ht="30">
      <c r="A205" s="234"/>
      <c r="B205" s="237"/>
      <c r="C205" s="237"/>
      <c r="D205" s="64" t="s">
        <v>179</v>
      </c>
      <c r="E205" s="234"/>
      <c r="F205" s="234"/>
      <c r="G205" s="199"/>
      <c r="H205" s="199"/>
      <c r="I205" s="199"/>
      <c r="J205" s="199"/>
      <c r="K205" s="234"/>
    </row>
    <row r="206" spans="1:17" ht="30">
      <c r="A206" s="234"/>
      <c r="B206" s="237"/>
      <c r="C206" s="237"/>
      <c r="D206" s="64" t="s">
        <v>159</v>
      </c>
      <c r="E206" s="234"/>
      <c r="F206" s="234"/>
      <c r="G206" s="199"/>
      <c r="H206" s="199"/>
      <c r="I206" s="199"/>
      <c r="J206" s="199"/>
      <c r="K206" s="234"/>
    </row>
    <row r="207" spans="1:17" ht="30.75" thickBot="1">
      <c r="A207" s="235"/>
      <c r="B207" s="238"/>
      <c r="C207" s="238"/>
      <c r="D207" s="65" t="s">
        <v>160</v>
      </c>
      <c r="E207" s="235"/>
      <c r="F207" s="235"/>
      <c r="G207" s="198"/>
      <c r="H207" s="198"/>
      <c r="I207" s="198"/>
      <c r="J207" s="198"/>
      <c r="K207" s="235"/>
    </row>
    <row r="211" spans="1:4">
      <c r="B211">
        <v>2019</v>
      </c>
      <c r="C211" t="s">
        <v>310</v>
      </c>
    </row>
    <row r="212" spans="1:4">
      <c r="A212" s="12" t="s">
        <v>304</v>
      </c>
      <c r="B212" s="12">
        <v>12736</v>
      </c>
      <c r="C212" s="12">
        <v>21574</v>
      </c>
    </row>
    <row r="213" spans="1:4">
      <c r="A213" s="232" t="s">
        <v>321</v>
      </c>
      <c r="B213" s="229">
        <v>-6083</v>
      </c>
      <c r="C213" s="229">
        <v>-5669</v>
      </c>
      <c r="D213" s="174" t="s">
        <v>299</v>
      </c>
    </row>
    <row r="214" spans="1:4">
      <c r="A214" s="232"/>
      <c r="B214" s="230"/>
      <c r="C214" s="230"/>
      <c r="D214" s="174" t="s">
        <v>300</v>
      </c>
    </row>
    <row r="215" spans="1:4">
      <c r="A215" s="232"/>
      <c r="B215" s="230"/>
      <c r="C215" s="230"/>
      <c r="D215" s="17" t="s">
        <v>301</v>
      </c>
    </row>
    <row r="216" spans="1:4">
      <c r="A216" s="232"/>
      <c r="B216" s="230"/>
      <c r="C216" s="230"/>
      <c r="D216" s="17" t="s">
        <v>302</v>
      </c>
    </row>
    <row r="217" spans="1:4">
      <c r="A217" s="232"/>
      <c r="B217" s="231"/>
      <c r="C217" s="231"/>
      <c r="D217" s="174" t="s">
        <v>303</v>
      </c>
    </row>
    <row r="218" spans="1:4">
      <c r="A218" s="12" t="s">
        <v>298</v>
      </c>
      <c r="B218" s="12">
        <v>6618</v>
      </c>
      <c r="C218" s="12">
        <v>16031</v>
      </c>
      <c r="D218" s="174"/>
    </row>
    <row r="219" spans="1:4">
      <c r="A219" s="173" t="s">
        <v>317</v>
      </c>
      <c r="B219" s="178">
        <v>849</v>
      </c>
      <c r="C219" s="2">
        <v>861</v>
      </c>
    </row>
    <row r="220" spans="1:4">
      <c r="A220" t="s">
        <v>306</v>
      </c>
      <c r="B220" s="2">
        <f>W59+AA59</f>
        <v>13419</v>
      </c>
      <c r="C220" s="2">
        <f>W58+AA58</f>
        <v>3099</v>
      </c>
    </row>
    <row r="221" spans="1:4">
      <c r="A221" t="s">
        <v>308</v>
      </c>
      <c r="B221" s="2">
        <f>Y59</f>
        <v>106</v>
      </c>
      <c r="C221" s="2">
        <f>Y58</f>
        <v>16253</v>
      </c>
    </row>
    <row r="222" spans="1:4">
      <c r="A222" t="s">
        <v>307</v>
      </c>
      <c r="B222" s="2">
        <f>B212+B220</f>
        <v>26155</v>
      </c>
      <c r="C222" s="2">
        <f>C212+C220</f>
        <v>24673</v>
      </c>
    </row>
    <row r="223" spans="1:4">
      <c r="A223" t="s">
        <v>318</v>
      </c>
      <c r="B223" s="175">
        <f>B218+B219+B220-B221</f>
        <v>20780</v>
      </c>
      <c r="C223" s="175">
        <f>C218+C219+C220-C221</f>
        <v>3738</v>
      </c>
    </row>
    <row r="224" spans="1:4">
      <c r="A224" t="s">
        <v>309</v>
      </c>
      <c r="C224" s="24">
        <v>1419</v>
      </c>
    </row>
    <row r="225" spans="1:3">
      <c r="A225" t="s">
        <v>312</v>
      </c>
      <c r="C225" s="173">
        <v>24</v>
      </c>
    </row>
    <row r="226" spans="1:3">
      <c r="A226" t="s">
        <v>311</v>
      </c>
      <c r="C226" s="176">
        <v>0.27</v>
      </c>
    </row>
    <row r="227" spans="1:3">
      <c r="A227" t="s">
        <v>313</v>
      </c>
      <c r="C227" s="24">
        <f>C224*(1-C226)</f>
        <v>1035.8699999999999</v>
      </c>
    </row>
    <row r="228" spans="1:3">
      <c r="A228" t="s">
        <v>320</v>
      </c>
      <c r="C228" s="24">
        <f>(C224+C225)*(1-C226)</f>
        <v>1053.3899999999999</v>
      </c>
    </row>
    <row r="229" spans="1:3">
      <c r="A229" s="4" t="s">
        <v>314</v>
      </c>
      <c r="B229" s="4"/>
      <c r="C229" s="177">
        <f>C227/B222</f>
        <v>3.9605046836168986E-2</v>
      </c>
    </row>
    <row r="230" spans="1:3">
      <c r="A230" s="4" t="s">
        <v>319</v>
      </c>
      <c r="B230" s="4"/>
      <c r="C230" s="177">
        <f>C228/B223</f>
        <v>5.0692492781520687E-2</v>
      </c>
    </row>
    <row r="231" spans="1:3">
      <c r="A231" t="s">
        <v>315</v>
      </c>
      <c r="C231" s="173">
        <v>566</v>
      </c>
    </row>
    <row r="232" spans="1:3">
      <c r="A232" s="4" t="s">
        <v>316</v>
      </c>
      <c r="B232" s="4"/>
      <c r="C232" s="177">
        <f>C231/B218</f>
        <v>8.5524327591417343E-2</v>
      </c>
    </row>
  </sheetData>
  <mergeCells count="37">
    <mergeCell ref="E196:E197"/>
    <mergeCell ref="F196:F197"/>
    <mergeCell ref="V1:Z1"/>
    <mergeCell ref="A158:C158"/>
    <mergeCell ref="A173:D173"/>
    <mergeCell ref="A191:A195"/>
    <mergeCell ref="B191:B195"/>
    <mergeCell ref="C191:C195"/>
    <mergeCell ref="E191:E195"/>
    <mergeCell ref="F191:F195"/>
    <mergeCell ref="K191:K195"/>
    <mergeCell ref="K196:K197"/>
    <mergeCell ref="A196:A197"/>
    <mergeCell ref="B196:B197"/>
    <mergeCell ref="C196:C197"/>
    <mergeCell ref="Q1:R1"/>
    <mergeCell ref="K198:K199"/>
    <mergeCell ref="A200:A202"/>
    <mergeCell ref="B200:B202"/>
    <mergeCell ref="C200:C202"/>
    <mergeCell ref="E200:E202"/>
    <mergeCell ref="F200:F202"/>
    <mergeCell ref="K200:K202"/>
    <mergeCell ref="A198:A199"/>
    <mergeCell ref="B198:B199"/>
    <mergeCell ref="C198:C199"/>
    <mergeCell ref="E198:E199"/>
    <mergeCell ref="F198:F199"/>
    <mergeCell ref="C213:C217"/>
    <mergeCell ref="B213:B217"/>
    <mergeCell ref="A213:A217"/>
    <mergeCell ref="K203:K207"/>
    <mergeCell ref="A203:A207"/>
    <mergeCell ref="B203:B207"/>
    <mergeCell ref="C203:C207"/>
    <mergeCell ref="E203:E207"/>
    <mergeCell ref="F203:F207"/>
  </mergeCells>
  <phoneticPr fontId="1" type="noConversion"/>
  <conditionalFormatting sqref="C160:C171">
    <cfRule type="colorScale" priority="1">
      <colorScale>
        <cfvo type="min"/>
        <cfvo type="max"/>
        <color rgb="FFFCFCFF"/>
        <color rgb="FF63BE7B"/>
      </colorScale>
    </cfRule>
  </conditionalFormatting>
  <hyperlinks>
    <hyperlink ref="B189" r:id="rId1" tooltip="Lotus Cars" display="https://en.wikipedia.org/wiki/Lotus_Cars" xr:uid="{661CE910-9B27-4861-B052-4B43CC382010}"/>
    <hyperlink ref="C189" r:id="rId2" tooltip="Hethel" display="https://en.wikipedia.org/wiki/Hethel" xr:uid="{F2C77EA8-B8E8-41FB-9A10-90915B23FA91}"/>
    <hyperlink ref="D189" r:id="rId3" tooltip="Tesla Roadster (2008)" display="https://en.wikipedia.org/wiki/Tesla_Roadster_(2008)" xr:uid="{E9D5AA9E-638C-4DBD-A56D-1E4B76DB817B}"/>
    <hyperlink ref="C190" r:id="rId4" tooltip="Menlo Park, California" display="https://en.wikipedia.org/wiki/Menlo_Park,_California" xr:uid="{D1CAAC23-10B8-4637-BE91-FF80394C78E4}"/>
    <hyperlink ref="D190" r:id="rId5" tooltip="Tesla Roadster (2008)" display="https://en.wikipedia.org/wiki/Tesla_Roadster_(2008)" xr:uid="{756978D6-3C3C-40DB-AECF-650D9DFCF5C1}"/>
    <hyperlink ref="B191" r:id="rId6" tooltip="Tesla Factory" display="https://en.wikipedia.org/wiki/Tesla_Factory" xr:uid="{846463F2-E1A5-4037-9042-926F225058FC}"/>
    <hyperlink ref="C191" r:id="rId7" tooltip="Fremont, California" display="https://en.wikipedia.org/wiki/Fremont,_California" xr:uid="{E91C5C4C-46B6-4FCF-A84E-7A61F25821E6}"/>
    <hyperlink ref="D191" r:id="rId8" tooltip="Tesla Model S" display="https://en.wikipedia.org/wiki/Tesla_Model_S" xr:uid="{C0FC7E85-9258-4E30-A1A7-6762883C20E0}"/>
    <hyperlink ref="D192" r:id="rId9" tooltip="Tesla Model X" display="https://en.wikipedia.org/wiki/Tesla_Model_X" xr:uid="{26F645FD-3059-491F-8986-44EF87E0313B}"/>
    <hyperlink ref="D193" r:id="rId10" tooltip="Tesla Model 3" display="https://en.wikipedia.org/wiki/Tesla_Model_3" xr:uid="{8AAA77BA-1DF7-433D-B4E1-2688A49BC143}"/>
    <hyperlink ref="D194" r:id="rId11" tooltip="Tesla Model Y" display="https://en.wikipedia.org/wiki/Tesla_Model_Y" xr:uid="{DAB45DD1-739D-46C1-8EC3-4093303EC196}"/>
    <hyperlink ref="D195" r:id="rId12" tooltip="Tesla Roadster (2020)" display="https://en.wikipedia.org/wiki/Tesla_Roadster_(2020)" xr:uid="{EABABC3D-2F71-4A29-87C6-441026AD8CB7}"/>
    <hyperlink ref="B196" r:id="rId13" tooltip="Tesla facilities in Tilburg" display="https://en.wikipedia.org/wiki/Tesla_facilities_in_Tilburg" xr:uid="{328DA81C-6EE9-4C00-91B7-3BB8CA611A91}"/>
    <hyperlink ref="C196" r:id="rId14" tooltip="Tilburg" display="https://en.wikipedia.org/wiki/Tilburg" xr:uid="{09C10BFC-853B-42DC-8641-5C0FB92697F4}"/>
    <hyperlink ref="D196" r:id="rId15" tooltip="Tesla Model S" display="https://en.wikipedia.org/wiki/Tesla_Model_S" xr:uid="{B38D2750-2BD8-4D97-8DF0-8A2ADDF16F54}"/>
    <hyperlink ref="D197" r:id="rId16" tooltip="Tesla Model X" display="https://en.wikipedia.org/wiki/Tesla_Model_X" xr:uid="{5B5A1154-F07B-46B0-8AAF-91BFA49ADA07}"/>
    <hyperlink ref="B198" r:id="rId17" tooltip="Tesla Gigafactory 3" display="https://en.wikipedia.org/wiki/Tesla_Gigafactory_3" xr:uid="{5DF51822-9F71-4C92-8857-1E4D5B8DC983}"/>
    <hyperlink ref="C198" r:id="rId18" tooltip="Shanghai" display="https://en.wikipedia.org/wiki/Shanghai" xr:uid="{BCD1032F-61D5-4BFD-9E2D-14D22B10A989}"/>
    <hyperlink ref="D198" r:id="rId19" tooltip="Tesla Model 3" display="https://en.wikipedia.org/wiki/Tesla_Model_3" xr:uid="{D2A7E7D6-8427-45DC-9FCD-7114D5C1C816}"/>
    <hyperlink ref="D199" r:id="rId20" tooltip="Tesla Model Y" display="https://en.wikipedia.org/wiki/Tesla_Model_Y" xr:uid="{2BEF33CF-9B0B-4DB4-BE8D-669CCD069F04}"/>
    <hyperlink ref="B200" r:id="rId21" tooltip="Tesla Gigafactory 4" display="https://en.wikipedia.org/wiki/Tesla_Gigafactory_4" xr:uid="{C4D3911A-1902-4A44-9E5E-F3E00E865105}"/>
    <hyperlink ref="C200" r:id="rId22" tooltip="Grünheide (Mark)" display="https://en.wikipedia.org/wiki/Gr%C3%BCnheide_(Mark)" xr:uid="{18BC02F3-3293-4B6D-B25A-CF5A62330747}"/>
    <hyperlink ref="D200" r:id="rId23" tooltip="Tesla Model Y" display="https://en.wikipedia.org/wiki/Tesla_Model_Y" xr:uid="{C80D51D2-E3B4-4733-88C9-DCBF3B0016D1}"/>
    <hyperlink ref="D201" r:id="rId24" tooltip="Tesla Model 3" display="https://en.wikipedia.org/wiki/Tesla_Model_3" xr:uid="{0899BFC6-4924-43E4-B3E0-D51A07F2737B}"/>
    <hyperlink ref="D202" r:id="rId25" tooltip="Tesla &quot;Model 2&quot; (page does not exist)" display="https://en.wikipedia.org/w/index.php?title=Tesla_%22Model_2%22&amp;action=edit&amp;redlink=1" xr:uid="{B6B188FE-0569-4C71-BF94-77EB93C5CB92}"/>
    <hyperlink ref="B203" r:id="rId26" tooltip="Giga Texas" display="https://en.wikipedia.org/wiki/Giga_Texas" xr:uid="{4C4571EA-3AC8-4697-95DD-DA9976FCDD29}"/>
    <hyperlink ref="C203" r:id="rId27" tooltip="Austin,Texas" display="https://en.wikipedia.org/wiki/Austin,Texas" xr:uid="{955618A0-8C16-405D-BB2E-BE51EEE1C51E}"/>
    <hyperlink ref="D203" r:id="rId28" tooltip="Tesla Semi" display="https://en.wikipedia.org/wiki/Tesla_Semi" xr:uid="{528793B4-102A-41EB-81A8-6822E8784401}"/>
    <hyperlink ref="D204" r:id="rId29" tooltip="Tesla city bus (page does not exist)" display="https://en.wikipedia.org/w/index.php?title=Tesla_city_bus&amp;action=edit&amp;redlink=1" xr:uid="{B34B5B89-BB3A-4BB7-992D-7F3025F43C91}"/>
    <hyperlink ref="D205" r:id="rId30" tooltip="Tesla Cybertruck" display="https://en.wikipedia.org/wiki/Tesla_Cybertruck" xr:uid="{4BC99A40-471E-47E4-B82D-E0173A3D262F}"/>
    <hyperlink ref="D206" r:id="rId31" tooltip="Tesla Model 3" display="https://en.wikipedia.org/wiki/Tesla_Model_3" xr:uid="{A1D5F801-CCDD-494D-845D-4061B967F6BC}"/>
    <hyperlink ref="D207" r:id="rId32" tooltip="Tesla Model Y" display="https://en.wikipedia.org/wiki/Tesla_Model_Y" xr:uid="{FF6F50EA-A0DD-4643-BE4B-1A2D4A04B68F}"/>
  </hyperlinks>
  <pageMargins left="0.7" right="0.7" top="0.75" bottom="0.75" header="0.3" footer="0.3"/>
  <pageSetup paperSize="9" orientation="portrait" r:id="rId33"/>
  <drawing r:id="rId34"/>
  <tableParts count="3">
    <tablePart r:id="rId35"/>
    <tablePart r:id="rId36"/>
    <tablePart r:id="rId3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3CBC4-610F-4512-89C3-4E2CE93D28DD}">
  <dimension ref="A1:R103"/>
  <sheetViews>
    <sheetView workbookViewId="0">
      <selection activeCell="V2" sqref="V2"/>
    </sheetView>
  </sheetViews>
  <sheetFormatPr defaultRowHeight="15"/>
  <cols>
    <col min="1" max="1" width="7.28515625" bestFit="1" customWidth="1"/>
    <col min="2" max="2" width="10.28515625" bestFit="1" customWidth="1"/>
    <col min="3" max="3" width="9.85546875" bestFit="1" customWidth="1"/>
    <col min="4" max="6" width="12.28515625" bestFit="1" customWidth="1"/>
    <col min="7" max="7" width="10.28515625" bestFit="1" customWidth="1"/>
    <col min="8" max="8" width="9.85546875" bestFit="1" customWidth="1"/>
    <col min="9" max="9" width="9" bestFit="1" customWidth="1"/>
    <col min="10" max="10" width="10.28515625" customWidth="1"/>
    <col min="11" max="11" width="15.140625" customWidth="1"/>
    <col min="12" max="12" width="10.7109375" bestFit="1" customWidth="1"/>
    <col min="13" max="13" width="15" bestFit="1" customWidth="1"/>
    <col min="14" max="14" width="13.28515625" bestFit="1" customWidth="1"/>
    <col min="15" max="17" width="12" bestFit="1" customWidth="1"/>
    <col min="18" max="18" width="15.140625" bestFit="1" customWidth="1"/>
  </cols>
  <sheetData>
    <row r="1" spans="1:18" ht="139.5" customHeight="1">
      <c r="A1" s="161" t="s">
        <v>276</v>
      </c>
      <c r="B1" s="161" t="s">
        <v>277</v>
      </c>
      <c r="C1" s="161" t="s">
        <v>278</v>
      </c>
      <c r="D1" s="161" t="s">
        <v>279</v>
      </c>
      <c r="E1" s="161" t="s">
        <v>280</v>
      </c>
      <c r="F1" s="161" t="s">
        <v>281</v>
      </c>
      <c r="G1" s="161" t="s">
        <v>282</v>
      </c>
      <c r="H1" s="161" t="s">
        <v>283</v>
      </c>
      <c r="I1" s="161" t="s">
        <v>284</v>
      </c>
      <c r="J1" s="161" t="s">
        <v>285</v>
      </c>
      <c r="K1" s="161" t="s">
        <v>286</v>
      </c>
      <c r="M1" s="255" t="s">
        <v>291</v>
      </c>
      <c r="N1" s="255"/>
      <c r="O1" s="255"/>
      <c r="P1" s="255"/>
      <c r="Q1" s="255"/>
      <c r="R1" s="255"/>
    </row>
    <row r="2" spans="1:18" ht="28.5">
      <c r="A2" s="249">
        <v>2020</v>
      </c>
      <c r="B2" s="249" t="s">
        <v>3</v>
      </c>
      <c r="C2" s="249" t="s">
        <v>3</v>
      </c>
      <c r="D2" s="164">
        <v>44151</v>
      </c>
      <c r="E2" s="164">
        <v>44084</v>
      </c>
      <c r="F2" s="164">
        <v>44126</v>
      </c>
      <c r="G2" s="165">
        <v>0.44</v>
      </c>
      <c r="H2" s="163" t="s">
        <v>287</v>
      </c>
      <c r="I2" s="163" t="s">
        <v>288</v>
      </c>
      <c r="J2" s="163" t="s">
        <v>289</v>
      </c>
      <c r="K2" s="166">
        <v>8</v>
      </c>
    </row>
    <row r="3" spans="1:18" ht="66.75" customHeight="1">
      <c r="A3" s="249"/>
      <c r="B3" s="249"/>
      <c r="C3" s="249"/>
      <c r="D3" s="164">
        <v>44057</v>
      </c>
      <c r="E3" s="164">
        <v>43993</v>
      </c>
      <c r="F3" s="164">
        <v>44029</v>
      </c>
      <c r="G3" s="165">
        <v>0.44</v>
      </c>
      <c r="H3" s="163" t="s">
        <v>287</v>
      </c>
      <c r="I3" s="163" t="s">
        <v>288</v>
      </c>
      <c r="J3" s="163" t="s">
        <v>289</v>
      </c>
      <c r="K3" s="166">
        <v>0</v>
      </c>
      <c r="M3" s="172" t="s">
        <v>292</v>
      </c>
      <c r="N3" s="172" t="s">
        <v>293</v>
      </c>
      <c r="O3" s="172" t="s">
        <v>294</v>
      </c>
      <c r="P3" s="172" t="s">
        <v>295</v>
      </c>
      <c r="Q3" s="172" t="s">
        <v>296</v>
      </c>
      <c r="R3" s="172" t="s">
        <v>297</v>
      </c>
    </row>
    <row r="4" spans="1:18" ht="28.5">
      <c r="A4" s="249"/>
      <c r="B4" s="249"/>
      <c r="C4" s="249"/>
      <c r="D4" s="164">
        <v>43966</v>
      </c>
      <c r="E4" s="164">
        <v>43901</v>
      </c>
      <c r="F4" s="164">
        <v>43938</v>
      </c>
      <c r="G4" s="165">
        <v>0.44</v>
      </c>
      <c r="H4" s="163" t="s">
        <v>287</v>
      </c>
      <c r="I4" s="163" t="s">
        <v>288</v>
      </c>
      <c r="J4" s="163" t="s">
        <v>289</v>
      </c>
      <c r="K4" s="166">
        <v>0</v>
      </c>
      <c r="M4" s="171">
        <v>3.0099999999999998E-2</v>
      </c>
      <c r="N4" s="171">
        <v>0.1032</v>
      </c>
      <c r="O4" s="171">
        <v>0.20419999999999999</v>
      </c>
      <c r="P4" s="171">
        <v>0.98839999999999995</v>
      </c>
      <c r="Q4" s="171">
        <v>4.7965999999999998</v>
      </c>
      <c r="R4" s="162">
        <v>58</v>
      </c>
    </row>
    <row r="5" spans="1:18" ht="28.5">
      <c r="A5" s="249"/>
      <c r="B5" s="249"/>
      <c r="C5" s="249"/>
      <c r="D5" s="164">
        <v>43875</v>
      </c>
      <c r="E5" s="164">
        <v>43839</v>
      </c>
      <c r="F5" s="164">
        <v>43852</v>
      </c>
      <c r="G5" s="165">
        <v>0.43</v>
      </c>
      <c r="H5" s="163" t="s">
        <v>287</v>
      </c>
      <c r="I5" s="163" t="s">
        <v>288</v>
      </c>
      <c r="J5" s="163" t="s">
        <v>289</v>
      </c>
      <c r="K5" s="166">
        <v>7</v>
      </c>
      <c r="M5" s="17" t="s">
        <v>330</v>
      </c>
    </row>
    <row r="6" spans="1:18" ht="28.5">
      <c r="A6" s="250">
        <v>2019</v>
      </c>
      <c r="B6" s="251">
        <v>1.71</v>
      </c>
      <c r="C6" s="252">
        <v>3.0120000000000001E-2</v>
      </c>
      <c r="D6" s="169">
        <v>43784</v>
      </c>
      <c r="E6" s="169">
        <v>43719</v>
      </c>
      <c r="F6" s="169">
        <v>43760</v>
      </c>
      <c r="G6" s="168">
        <v>0.43</v>
      </c>
      <c r="H6" s="167" t="s">
        <v>287</v>
      </c>
      <c r="I6" s="167" t="s">
        <v>288</v>
      </c>
      <c r="J6" s="167" t="s">
        <v>289</v>
      </c>
      <c r="K6" s="170">
        <v>2</v>
      </c>
      <c r="M6" s="167" t="s">
        <v>322</v>
      </c>
      <c r="N6" s="1">
        <v>4.5199999999999997E-2</v>
      </c>
      <c r="O6" s="1">
        <f>N6+0.5%</f>
        <v>5.0199999999999995E-2</v>
      </c>
      <c r="P6" s="1">
        <f t="shared" ref="P6:R6" si="0">O6+0.5%</f>
        <v>5.5199999999999992E-2</v>
      </c>
      <c r="Q6" s="1">
        <f t="shared" si="0"/>
        <v>6.019999999999999E-2</v>
      </c>
      <c r="R6" s="1">
        <f t="shared" si="0"/>
        <v>6.5199999999999994E-2</v>
      </c>
    </row>
    <row r="7" spans="1:18" ht="30">
      <c r="A7" s="250"/>
      <c r="B7" s="251"/>
      <c r="C7" s="252"/>
      <c r="D7" s="169">
        <v>43692</v>
      </c>
      <c r="E7" s="169">
        <v>43636</v>
      </c>
      <c r="F7" s="169">
        <v>43663</v>
      </c>
      <c r="G7" s="168">
        <v>0.43</v>
      </c>
      <c r="H7" s="167" t="s">
        <v>287</v>
      </c>
      <c r="I7" s="167" t="s">
        <v>288</v>
      </c>
      <c r="J7" s="167" t="s">
        <v>289</v>
      </c>
      <c r="K7" s="170">
        <v>8</v>
      </c>
      <c r="M7" s="167" t="s">
        <v>323</v>
      </c>
      <c r="N7" s="1">
        <f>M4</f>
        <v>3.0099999999999998E-2</v>
      </c>
      <c r="O7" t="s">
        <v>333</v>
      </c>
      <c r="P7" s="182">
        <f>SUM(G2:G5)</f>
        <v>1.75</v>
      </c>
      <c r="Q7" s="159" t="s">
        <v>334</v>
      </c>
      <c r="R7" s="182">
        <f>P7*(1+N7)</f>
        <v>1.802675</v>
      </c>
    </row>
    <row r="8" spans="1:18" ht="28.5">
      <c r="A8" s="250"/>
      <c r="B8" s="251"/>
      <c r="C8" s="252"/>
      <c r="D8" s="169">
        <v>43600</v>
      </c>
      <c r="E8" s="169">
        <v>43538</v>
      </c>
      <c r="F8" s="169">
        <v>43572</v>
      </c>
      <c r="G8" s="168">
        <v>0.43</v>
      </c>
      <c r="H8" s="167" t="s">
        <v>287</v>
      </c>
      <c r="I8" s="167" t="s">
        <v>288</v>
      </c>
      <c r="J8" s="167" t="s">
        <v>289</v>
      </c>
      <c r="K8" s="170">
        <v>1</v>
      </c>
      <c r="M8" s="167" t="s">
        <v>324</v>
      </c>
      <c r="N8" s="1">
        <v>0.55589999999999995</v>
      </c>
      <c r="O8" t="s">
        <v>327</v>
      </c>
      <c r="P8" s="1">
        <v>1.0832999999999999</v>
      </c>
      <c r="Q8" t="s">
        <v>340</v>
      </c>
      <c r="R8" s="179">
        <f>P8*(1-N8)</f>
        <v>0.48109353000000005</v>
      </c>
    </row>
    <row r="9" spans="1:18" ht="28.5">
      <c r="A9" s="250"/>
      <c r="B9" s="251"/>
      <c r="C9" s="252"/>
      <c r="D9" s="169">
        <v>43511</v>
      </c>
      <c r="E9" s="169">
        <v>43475</v>
      </c>
      <c r="F9" s="169">
        <v>43487</v>
      </c>
      <c r="G9" s="168">
        <v>0.42</v>
      </c>
      <c r="H9" s="167" t="s">
        <v>287</v>
      </c>
      <c r="I9" s="167" t="s">
        <v>288</v>
      </c>
      <c r="J9" s="167" t="s">
        <v>289</v>
      </c>
      <c r="K9" s="170">
        <v>4</v>
      </c>
      <c r="M9" s="167" t="s">
        <v>325</v>
      </c>
      <c r="N9">
        <f>N16</f>
        <v>29.865999999999996</v>
      </c>
    </row>
    <row r="10" spans="1:18" ht="28.5">
      <c r="A10" s="249">
        <v>2018</v>
      </c>
      <c r="B10" s="253">
        <v>1.66</v>
      </c>
      <c r="C10" s="254">
        <v>4.403E-2</v>
      </c>
      <c r="D10" s="164">
        <v>43419</v>
      </c>
      <c r="E10" s="164">
        <v>43356</v>
      </c>
      <c r="F10" s="164">
        <v>43391</v>
      </c>
      <c r="G10" s="165">
        <v>0.42</v>
      </c>
      <c r="H10" s="163" t="s">
        <v>287</v>
      </c>
      <c r="I10" s="163" t="s">
        <v>288</v>
      </c>
      <c r="J10" s="163" t="s">
        <v>289</v>
      </c>
      <c r="K10" s="166">
        <v>1</v>
      </c>
      <c r="M10" s="183" t="s">
        <v>335</v>
      </c>
      <c r="N10" s="184">
        <f>$R$7/(N6-$N$7)</f>
        <v>119.38245033112584</v>
      </c>
      <c r="O10" s="184">
        <f t="shared" ref="O10:R10" si="1">$R$7/(O6-$N$7)</f>
        <v>89.685323383084594</v>
      </c>
      <c r="P10" s="184">
        <f t="shared" si="1"/>
        <v>71.819721115537874</v>
      </c>
      <c r="Q10" s="184">
        <f>$R$7/(Q6-$N$7)</f>
        <v>59.889534883720948</v>
      </c>
      <c r="R10" s="184">
        <f t="shared" si="1"/>
        <v>51.358262108262117</v>
      </c>
    </row>
    <row r="11" spans="1:18" ht="28.5">
      <c r="A11" s="249"/>
      <c r="B11" s="253"/>
      <c r="C11" s="254"/>
      <c r="D11" s="164">
        <v>43327</v>
      </c>
      <c r="E11" s="164">
        <v>43269</v>
      </c>
      <c r="F11" s="164">
        <v>43298</v>
      </c>
      <c r="G11" s="165">
        <v>0.42</v>
      </c>
      <c r="H11" s="163" t="s">
        <v>287</v>
      </c>
      <c r="I11" s="163" t="s">
        <v>288</v>
      </c>
      <c r="J11" s="163" t="s">
        <v>289</v>
      </c>
      <c r="K11" s="166">
        <v>2</v>
      </c>
      <c r="L11" s="163"/>
      <c r="M11" s="163" t="s">
        <v>337</v>
      </c>
      <c r="N11" s="1">
        <f>$R$7/N10</f>
        <v>1.5099999999999999E-2</v>
      </c>
      <c r="O11" s="1">
        <f t="shared" ref="O11:R11" si="2">$R$7/O10</f>
        <v>2.0099999999999996E-2</v>
      </c>
      <c r="P11" s="1">
        <f t="shared" si="2"/>
        <v>2.509999999999999E-2</v>
      </c>
      <c r="Q11" s="1">
        <f t="shared" si="2"/>
        <v>3.0099999999999991E-2</v>
      </c>
      <c r="R11" s="1">
        <f t="shared" si="2"/>
        <v>3.5099999999999992E-2</v>
      </c>
    </row>
    <row r="12" spans="1:18" ht="28.5">
      <c r="A12" s="249"/>
      <c r="B12" s="253"/>
      <c r="C12" s="254"/>
      <c r="D12" s="164">
        <v>43235</v>
      </c>
      <c r="E12" s="164">
        <v>43166</v>
      </c>
      <c r="F12" s="164">
        <v>43209</v>
      </c>
      <c r="G12" s="165">
        <v>0.42</v>
      </c>
      <c r="H12" s="163" t="s">
        <v>287</v>
      </c>
      <c r="I12" s="163" t="s">
        <v>288</v>
      </c>
      <c r="J12" s="163" t="s">
        <v>289</v>
      </c>
      <c r="K12" s="166" t="s">
        <v>3</v>
      </c>
      <c r="M12" s="167" t="s">
        <v>338</v>
      </c>
      <c r="N12" s="10">
        <f>$R$7*POWER(1+$N$7,20)</f>
        <v>3.2621594073779199</v>
      </c>
      <c r="O12" s="10">
        <f t="shared" ref="O12:R12" si="3">$R$7*POWER(1+$N$7,20)</f>
        <v>3.2621594073779199</v>
      </c>
      <c r="P12" s="10">
        <f t="shared" si="3"/>
        <v>3.2621594073779199</v>
      </c>
      <c r="Q12" s="10">
        <f t="shared" si="3"/>
        <v>3.2621594073779199</v>
      </c>
      <c r="R12" s="10">
        <f t="shared" si="3"/>
        <v>3.2621594073779199</v>
      </c>
    </row>
    <row r="13" spans="1:18" ht="28.5">
      <c r="A13" s="249"/>
      <c r="B13" s="253"/>
      <c r="C13" s="254"/>
      <c r="D13" s="164">
        <v>43146</v>
      </c>
      <c r="E13" s="164">
        <v>43111</v>
      </c>
      <c r="F13" s="164">
        <v>43122</v>
      </c>
      <c r="G13" s="165">
        <v>0.4</v>
      </c>
      <c r="H13" s="163" t="s">
        <v>287</v>
      </c>
      <c r="I13" s="163" t="s">
        <v>288</v>
      </c>
      <c r="J13" s="163" t="s">
        <v>289</v>
      </c>
      <c r="K13" s="166" t="s">
        <v>3</v>
      </c>
      <c r="M13" s="167" t="s">
        <v>339</v>
      </c>
      <c r="N13" s="1">
        <f>N12/N10</f>
        <v>2.7325284397579478E-2</v>
      </c>
      <c r="O13" s="1">
        <f t="shared" ref="O13:R13" si="4">O12/O10</f>
        <v>3.6373391813996521E-2</v>
      </c>
      <c r="P13" s="1">
        <f t="shared" si="4"/>
        <v>4.542149923041356E-2</v>
      </c>
      <c r="Q13" s="1">
        <f t="shared" si="4"/>
        <v>5.4469606646830607E-2</v>
      </c>
      <c r="R13" s="1">
        <f t="shared" si="4"/>
        <v>6.351771406324766E-2</v>
      </c>
    </row>
    <row r="14" spans="1:18" ht="29.25" thickBot="1">
      <c r="A14" s="250">
        <v>2017</v>
      </c>
      <c r="B14" s="251">
        <v>1.59</v>
      </c>
      <c r="C14" s="252">
        <v>2.581E-2</v>
      </c>
      <c r="D14" s="169">
        <v>43054</v>
      </c>
      <c r="E14" s="169">
        <v>43004</v>
      </c>
      <c r="F14" s="169">
        <v>43028</v>
      </c>
      <c r="G14" s="168">
        <v>0.4</v>
      </c>
      <c r="H14" s="167" t="s">
        <v>287</v>
      </c>
      <c r="I14" s="167" t="s">
        <v>288</v>
      </c>
      <c r="J14" s="167" t="s">
        <v>289</v>
      </c>
      <c r="K14" s="170">
        <v>13</v>
      </c>
      <c r="L14" s="163" t="s">
        <v>328</v>
      </c>
      <c r="M14" s="13">
        <v>42339</v>
      </c>
      <c r="N14" s="13">
        <v>42705</v>
      </c>
      <c r="O14" s="13">
        <v>43070</v>
      </c>
      <c r="P14" s="13">
        <v>43435</v>
      </c>
      <c r="Q14" s="13">
        <v>43800</v>
      </c>
    </row>
    <row r="15" spans="1:18" ht="29.25" thickBot="1">
      <c r="A15" s="250"/>
      <c r="B15" s="251"/>
      <c r="C15" s="252"/>
      <c r="D15" s="169">
        <v>42962</v>
      </c>
      <c r="E15" s="169">
        <v>42894</v>
      </c>
      <c r="F15" s="169">
        <v>42930</v>
      </c>
      <c r="G15" s="168">
        <v>0.4</v>
      </c>
      <c r="H15" s="167" t="s">
        <v>287</v>
      </c>
      <c r="I15" s="167" t="s">
        <v>288</v>
      </c>
      <c r="J15" s="167" t="s">
        <v>289</v>
      </c>
      <c r="K15" s="170">
        <v>0</v>
      </c>
      <c r="L15" s="163" t="s">
        <v>325</v>
      </c>
      <c r="M15" s="15">
        <v>25.49</v>
      </c>
      <c r="N15" s="15">
        <v>34.630000000000003</v>
      </c>
      <c r="O15" s="15">
        <v>28.86</v>
      </c>
      <c r="P15" s="15">
        <v>32.74</v>
      </c>
      <c r="Q15" s="15">
        <v>27.61</v>
      </c>
    </row>
    <row r="16" spans="1:18" ht="28.5">
      <c r="A16" s="250"/>
      <c r="B16" s="251"/>
      <c r="C16" s="252"/>
      <c r="D16" s="169">
        <v>42870</v>
      </c>
      <c r="E16" s="169">
        <v>42803</v>
      </c>
      <c r="F16" s="169">
        <v>42844</v>
      </c>
      <c r="G16" s="168">
        <v>0.4</v>
      </c>
      <c r="H16" s="167" t="s">
        <v>287</v>
      </c>
      <c r="I16" s="167" t="s">
        <v>288</v>
      </c>
      <c r="J16" s="167" t="s">
        <v>289</v>
      </c>
      <c r="K16" s="170">
        <v>20</v>
      </c>
      <c r="M16" s="163" t="s">
        <v>326</v>
      </c>
      <c r="N16">
        <f>AVERAGE(M15:Q15)</f>
        <v>29.865999999999996</v>
      </c>
    </row>
    <row r="17" spans="1:18" ht="28.5">
      <c r="A17" s="250"/>
      <c r="B17" s="251"/>
      <c r="C17" s="252"/>
      <c r="D17" s="169">
        <v>42781</v>
      </c>
      <c r="E17" s="169">
        <v>42747</v>
      </c>
      <c r="F17" s="169">
        <v>42754</v>
      </c>
      <c r="G17" s="168">
        <v>0.39</v>
      </c>
      <c r="H17" s="167" t="s">
        <v>287</v>
      </c>
      <c r="I17" s="167" t="s">
        <v>288</v>
      </c>
      <c r="J17" s="167" t="s">
        <v>289</v>
      </c>
      <c r="K17" s="170">
        <v>1</v>
      </c>
    </row>
    <row r="18" spans="1:18" ht="28.5">
      <c r="A18" s="249">
        <v>2016</v>
      </c>
      <c r="B18" s="253">
        <v>1.55</v>
      </c>
      <c r="C18" s="254">
        <v>3.3329999999999999E-2</v>
      </c>
      <c r="D18" s="164">
        <v>42689</v>
      </c>
      <c r="E18" s="164">
        <v>42621</v>
      </c>
      <c r="F18" s="164">
        <v>42663</v>
      </c>
      <c r="G18" s="165">
        <v>0.39</v>
      </c>
      <c r="H18" s="163" t="s">
        <v>287</v>
      </c>
      <c r="I18" s="163" t="s">
        <v>288</v>
      </c>
      <c r="J18" s="163" t="s">
        <v>289</v>
      </c>
      <c r="K18" s="166" t="s">
        <v>3</v>
      </c>
    </row>
    <row r="19" spans="1:18" ht="36.75">
      <c r="A19" s="249"/>
      <c r="B19" s="253"/>
      <c r="C19" s="254"/>
      <c r="D19" s="164">
        <v>42597</v>
      </c>
      <c r="E19" s="164">
        <v>42530</v>
      </c>
      <c r="F19" s="164">
        <v>42571</v>
      </c>
      <c r="G19" s="165">
        <v>0.39</v>
      </c>
      <c r="H19" s="163" t="s">
        <v>287</v>
      </c>
      <c r="I19" s="163" t="s">
        <v>288</v>
      </c>
      <c r="J19" s="163" t="s">
        <v>289</v>
      </c>
      <c r="K19" s="166">
        <v>2</v>
      </c>
      <c r="L19" s="180" t="s">
        <v>329</v>
      </c>
      <c r="M19" s="1">
        <v>0.99</v>
      </c>
      <c r="N19" s="1">
        <v>0.56999999999999995</v>
      </c>
      <c r="O19" s="1">
        <v>0.7</v>
      </c>
      <c r="P19" s="1">
        <v>0.6</v>
      </c>
      <c r="Q19" s="1">
        <v>0.62</v>
      </c>
    </row>
    <row r="20" spans="1:18" ht="28.5">
      <c r="A20" s="249"/>
      <c r="B20" s="253"/>
      <c r="C20" s="254"/>
      <c r="D20" s="164">
        <v>42506</v>
      </c>
      <c r="E20" s="164">
        <v>42439</v>
      </c>
      <c r="F20" s="164">
        <v>42480</v>
      </c>
      <c r="G20" s="165">
        <v>0.39</v>
      </c>
      <c r="H20" s="163" t="s">
        <v>287</v>
      </c>
      <c r="I20" s="163" t="s">
        <v>288</v>
      </c>
      <c r="J20" s="163" t="s">
        <v>289</v>
      </c>
      <c r="K20" s="166">
        <v>8</v>
      </c>
      <c r="M20" s="163" t="s">
        <v>326</v>
      </c>
      <c r="N20" s="1">
        <f>AVERAGE(M19:Q19)</f>
        <v>0.69599999999999995</v>
      </c>
    </row>
    <row r="21" spans="1:18" ht="28.5">
      <c r="A21" s="249"/>
      <c r="B21" s="253"/>
      <c r="C21" s="254"/>
      <c r="D21" s="164">
        <v>42416</v>
      </c>
      <c r="E21" s="164">
        <v>42383</v>
      </c>
      <c r="F21" s="164">
        <v>42390</v>
      </c>
      <c r="G21" s="165">
        <v>0.38</v>
      </c>
      <c r="H21" s="163" t="s">
        <v>287</v>
      </c>
      <c r="I21" s="163" t="s">
        <v>288</v>
      </c>
      <c r="J21" s="163" t="s">
        <v>289</v>
      </c>
      <c r="K21" s="166">
        <v>0</v>
      </c>
      <c r="R21" s="181">
        <v>44075</v>
      </c>
    </row>
    <row r="22" spans="1:18" ht="29.25" thickBot="1">
      <c r="A22" s="250">
        <v>2015</v>
      </c>
      <c r="B22" s="251">
        <v>1.5</v>
      </c>
      <c r="C22" s="252">
        <v>5.6340000000000001E-2</v>
      </c>
      <c r="D22" s="169">
        <v>42324</v>
      </c>
      <c r="E22" s="169">
        <v>42257</v>
      </c>
      <c r="F22" s="169">
        <v>42298</v>
      </c>
      <c r="G22" s="168">
        <v>0.38</v>
      </c>
      <c r="H22" s="167" t="s">
        <v>287</v>
      </c>
      <c r="I22" s="167" t="s">
        <v>288</v>
      </c>
      <c r="J22" s="167" t="s">
        <v>289</v>
      </c>
      <c r="K22" s="170">
        <v>1</v>
      </c>
      <c r="L22" s="180" t="s">
        <v>331</v>
      </c>
      <c r="M22" s="15">
        <v>-0.03</v>
      </c>
      <c r="N22" s="15">
        <v>-0.02</v>
      </c>
      <c r="O22" s="15">
        <v>-0.01</v>
      </c>
      <c r="P22" s="15">
        <v>-0.01</v>
      </c>
      <c r="Q22" s="15">
        <v>0.01</v>
      </c>
      <c r="R22" s="17">
        <v>0.04</v>
      </c>
    </row>
    <row r="23" spans="1:18" ht="28.5">
      <c r="A23" s="250"/>
      <c r="B23" s="251"/>
      <c r="C23" s="252"/>
      <c r="D23" s="169">
        <v>42230</v>
      </c>
      <c r="E23" s="169">
        <v>42166</v>
      </c>
      <c r="F23" s="169">
        <v>42206</v>
      </c>
      <c r="G23" s="168">
        <v>0.38</v>
      </c>
      <c r="H23" s="167" t="s">
        <v>287</v>
      </c>
      <c r="I23" s="167" t="s">
        <v>288</v>
      </c>
      <c r="J23" s="167" t="s">
        <v>289</v>
      </c>
      <c r="K23" s="170">
        <v>5</v>
      </c>
      <c r="L23" s="163" t="s">
        <v>332</v>
      </c>
      <c r="M23" s="163">
        <f>1/M22</f>
        <v>-33.333333333333336</v>
      </c>
      <c r="N23" s="163">
        <f t="shared" ref="N23:R23" si="5">1/N22</f>
        <v>-50</v>
      </c>
      <c r="O23" s="163">
        <f t="shared" si="5"/>
        <v>-100</v>
      </c>
      <c r="P23" s="163">
        <f t="shared" si="5"/>
        <v>-100</v>
      </c>
      <c r="Q23" s="163">
        <f t="shared" si="5"/>
        <v>100</v>
      </c>
      <c r="R23" s="163">
        <f t="shared" si="5"/>
        <v>25</v>
      </c>
    </row>
    <row r="24" spans="1:18" ht="28.5">
      <c r="A24" s="250"/>
      <c r="B24" s="251"/>
      <c r="C24" s="252"/>
      <c r="D24" s="169">
        <v>42139</v>
      </c>
      <c r="E24" s="169">
        <v>42054</v>
      </c>
      <c r="F24" s="169">
        <v>42115</v>
      </c>
      <c r="G24" s="168">
        <v>0.38</v>
      </c>
      <c r="H24" s="167" t="s">
        <v>287</v>
      </c>
      <c r="I24" s="167" t="s">
        <v>288</v>
      </c>
      <c r="J24" s="167" t="s">
        <v>289</v>
      </c>
      <c r="K24" s="170">
        <v>0</v>
      </c>
    </row>
    <row r="25" spans="1:18" ht="28.5">
      <c r="A25" s="250"/>
      <c r="B25" s="251"/>
      <c r="C25" s="252"/>
      <c r="D25" s="169">
        <v>42051</v>
      </c>
      <c r="E25" s="169">
        <v>42012</v>
      </c>
      <c r="F25" s="169">
        <v>42025</v>
      </c>
      <c r="G25" s="168">
        <v>0.36</v>
      </c>
      <c r="H25" s="167" t="s">
        <v>287</v>
      </c>
      <c r="I25" s="167" t="s">
        <v>288</v>
      </c>
      <c r="J25" s="167" t="s">
        <v>289</v>
      </c>
      <c r="K25" s="170">
        <v>1</v>
      </c>
    </row>
    <row r="26" spans="1:18" ht="29.25" thickBot="1">
      <c r="A26" s="249">
        <v>2014</v>
      </c>
      <c r="B26" s="253">
        <v>1.42</v>
      </c>
      <c r="C26" s="254">
        <v>6.7669999999999994E-2</v>
      </c>
      <c r="D26" s="164">
        <v>41957</v>
      </c>
      <c r="E26" s="164">
        <v>41892</v>
      </c>
      <c r="F26" s="164">
        <v>41927</v>
      </c>
      <c r="G26" s="165">
        <v>0.36</v>
      </c>
      <c r="H26" s="163" t="s">
        <v>287</v>
      </c>
      <c r="I26" s="163" t="s">
        <v>288</v>
      </c>
      <c r="J26" s="163" t="s">
        <v>289</v>
      </c>
      <c r="K26" s="166">
        <v>3</v>
      </c>
      <c r="L26" s="17" t="s">
        <v>9</v>
      </c>
      <c r="M26" s="15">
        <v>-44</v>
      </c>
      <c r="N26" s="15">
        <v>17</v>
      </c>
      <c r="O26" s="15">
        <v>243</v>
      </c>
      <c r="P26" s="15">
        <v>197</v>
      </c>
      <c r="Q26" s="15">
        <v>558</v>
      </c>
    </row>
    <row r="27" spans="1:18" ht="28.5">
      <c r="A27" s="249"/>
      <c r="B27" s="253"/>
      <c r="C27" s="254"/>
      <c r="D27" s="164">
        <v>41866</v>
      </c>
      <c r="E27" s="164">
        <v>41802</v>
      </c>
      <c r="F27" s="164">
        <v>41836</v>
      </c>
      <c r="G27" s="165">
        <v>0.36</v>
      </c>
      <c r="H27" s="163" t="s">
        <v>287</v>
      </c>
      <c r="I27" s="163" t="s">
        <v>288</v>
      </c>
      <c r="J27" s="163" t="s">
        <v>289</v>
      </c>
      <c r="K27" s="166" t="s">
        <v>3</v>
      </c>
    </row>
    <row r="28" spans="1:18" ht="29.25" thickBot="1">
      <c r="A28" s="249"/>
      <c r="B28" s="253"/>
      <c r="C28" s="254"/>
      <c r="D28" s="164">
        <v>41774</v>
      </c>
      <c r="E28" s="164">
        <v>41711</v>
      </c>
      <c r="F28" s="164">
        <v>41746</v>
      </c>
      <c r="G28" s="165">
        <v>0.36</v>
      </c>
      <c r="H28" s="163" t="s">
        <v>287</v>
      </c>
      <c r="I28" s="163" t="s">
        <v>288</v>
      </c>
      <c r="J28" s="163" t="s">
        <v>289</v>
      </c>
      <c r="K28" s="166">
        <v>7</v>
      </c>
      <c r="L28" s="167" t="s">
        <v>336</v>
      </c>
      <c r="M28" s="15">
        <v>2.25</v>
      </c>
      <c r="N28" s="15">
        <v>2.37</v>
      </c>
      <c r="O28" s="15">
        <v>2.11</v>
      </c>
      <c r="P28" s="15">
        <v>2.79</v>
      </c>
      <c r="Q28" s="15">
        <v>2.48</v>
      </c>
    </row>
    <row r="29" spans="1:18" ht="28.5">
      <c r="A29" s="249"/>
      <c r="B29" s="253"/>
      <c r="C29" s="254"/>
      <c r="D29" s="164">
        <v>41684</v>
      </c>
      <c r="E29" s="164">
        <v>41648</v>
      </c>
      <c r="F29" s="164">
        <v>41661</v>
      </c>
      <c r="G29" s="165">
        <v>0.34</v>
      </c>
      <c r="H29" s="163" t="s">
        <v>287</v>
      </c>
      <c r="I29" s="163" t="s">
        <v>288</v>
      </c>
      <c r="J29" s="163" t="s">
        <v>289</v>
      </c>
      <c r="K29" s="166">
        <v>48</v>
      </c>
    </row>
    <row r="30" spans="1:18" ht="28.5">
      <c r="A30" s="250">
        <v>2013</v>
      </c>
      <c r="B30" s="251">
        <v>1.33</v>
      </c>
      <c r="C30" s="252">
        <v>9.0160000000000004E-2</v>
      </c>
      <c r="D30" s="169">
        <v>41593</v>
      </c>
      <c r="E30" s="169">
        <v>41529</v>
      </c>
      <c r="F30" s="169">
        <v>41565</v>
      </c>
      <c r="G30" s="168">
        <v>0.34</v>
      </c>
      <c r="H30" s="167" t="s">
        <v>287</v>
      </c>
      <c r="I30" s="167" t="s">
        <v>288</v>
      </c>
      <c r="J30" s="167" t="s">
        <v>289</v>
      </c>
      <c r="K30" s="170">
        <v>2</v>
      </c>
    </row>
    <row r="31" spans="1:18" ht="28.5">
      <c r="A31" s="250"/>
      <c r="B31" s="251"/>
      <c r="C31" s="252"/>
      <c r="D31" s="169">
        <v>41501</v>
      </c>
      <c r="E31" s="169">
        <v>41445</v>
      </c>
      <c r="F31" s="169">
        <v>41474</v>
      </c>
      <c r="G31" s="168">
        <v>0.34</v>
      </c>
      <c r="H31" s="167" t="s">
        <v>287</v>
      </c>
      <c r="I31" s="167" t="s">
        <v>288</v>
      </c>
      <c r="J31" s="167" t="s">
        <v>289</v>
      </c>
      <c r="K31" s="170">
        <v>0</v>
      </c>
    </row>
    <row r="32" spans="1:18" ht="28.5">
      <c r="A32" s="250"/>
      <c r="B32" s="251"/>
      <c r="C32" s="252"/>
      <c r="D32" s="169">
        <v>41409</v>
      </c>
      <c r="E32" s="169">
        <v>41340</v>
      </c>
      <c r="F32" s="169">
        <v>41383</v>
      </c>
      <c r="G32" s="168">
        <v>0.34</v>
      </c>
      <c r="H32" s="167" t="s">
        <v>287</v>
      </c>
      <c r="I32" s="167" t="s">
        <v>288</v>
      </c>
      <c r="J32" s="167" t="s">
        <v>289</v>
      </c>
      <c r="K32" s="170">
        <v>0</v>
      </c>
    </row>
    <row r="33" spans="1:11" ht="28.5">
      <c r="A33" s="250"/>
      <c r="B33" s="251"/>
      <c r="C33" s="252"/>
      <c r="D33" s="169">
        <v>41320</v>
      </c>
      <c r="E33" s="169">
        <v>41284</v>
      </c>
      <c r="F33" s="169">
        <v>41296</v>
      </c>
      <c r="G33" s="168">
        <v>0.31</v>
      </c>
      <c r="H33" s="167" t="s">
        <v>287</v>
      </c>
      <c r="I33" s="167" t="s">
        <v>288</v>
      </c>
      <c r="J33" s="167" t="s">
        <v>289</v>
      </c>
      <c r="K33" s="170">
        <v>2</v>
      </c>
    </row>
    <row r="34" spans="1:11" ht="28.5">
      <c r="A34" s="249">
        <v>2012</v>
      </c>
      <c r="B34" s="253">
        <v>1.22</v>
      </c>
      <c r="C34" s="254">
        <v>7.4889999999999998E-2</v>
      </c>
      <c r="D34" s="164">
        <v>41228</v>
      </c>
      <c r="E34" s="164">
        <v>41193</v>
      </c>
      <c r="F34" s="164">
        <v>41201</v>
      </c>
      <c r="G34" s="165">
        <v>0.31</v>
      </c>
      <c r="H34" s="163" t="s">
        <v>287</v>
      </c>
      <c r="I34" s="163" t="s">
        <v>288</v>
      </c>
      <c r="J34" s="163" t="s">
        <v>289</v>
      </c>
      <c r="K34" s="166" t="s">
        <v>3</v>
      </c>
    </row>
    <row r="35" spans="1:11" ht="28.5">
      <c r="A35" s="249"/>
      <c r="B35" s="253"/>
      <c r="C35" s="254"/>
      <c r="D35" s="164">
        <v>41136</v>
      </c>
      <c r="E35" s="164">
        <v>41102</v>
      </c>
      <c r="F35" s="164">
        <v>41110</v>
      </c>
      <c r="G35" s="165">
        <v>0.31</v>
      </c>
      <c r="H35" s="163" t="s">
        <v>287</v>
      </c>
      <c r="I35" s="163" t="s">
        <v>288</v>
      </c>
      <c r="J35" s="163" t="s">
        <v>289</v>
      </c>
      <c r="K35" s="166">
        <v>4</v>
      </c>
    </row>
    <row r="36" spans="1:11" ht="28.5">
      <c r="A36" s="249"/>
      <c r="B36" s="253"/>
      <c r="C36" s="254"/>
      <c r="D36" s="164">
        <v>41044</v>
      </c>
      <c r="E36" s="164">
        <v>40976</v>
      </c>
      <c r="F36" s="164">
        <v>41019</v>
      </c>
      <c r="G36" s="165">
        <v>0.31</v>
      </c>
      <c r="H36" s="163" t="s">
        <v>287</v>
      </c>
      <c r="I36" s="163" t="s">
        <v>288</v>
      </c>
      <c r="J36" s="163" t="s">
        <v>289</v>
      </c>
      <c r="K36" s="166">
        <v>0</v>
      </c>
    </row>
    <row r="37" spans="1:11" ht="28.5">
      <c r="A37" s="249"/>
      <c r="B37" s="253"/>
      <c r="C37" s="254"/>
      <c r="D37" s="164">
        <v>40954</v>
      </c>
      <c r="E37" s="164">
        <v>40920</v>
      </c>
      <c r="F37" s="164">
        <v>40928</v>
      </c>
      <c r="G37" s="165">
        <v>0.28999999999999998</v>
      </c>
      <c r="H37" s="163" t="s">
        <v>287</v>
      </c>
      <c r="I37" s="163" t="s">
        <v>288</v>
      </c>
      <c r="J37" s="163" t="s">
        <v>289</v>
      </c>
      <c r="K37" s="166">
        <v>4</v>
      </c>
    </row>
    <row r="38" spans="1:11" ht="28.5">
      <c r="A38" s="250">
        <v>2011</v>
      </c>
      <c r="B38" s="251">
        <v>1.135</v>
      </c>
      <c r="C38" s="252">
        <v>0.11823</v>
      </c>
      <c r="D38" s="169">
        <v>40862</v>
      </c>
      <c r="E38" s="169">
        <v>40829</v>
      </c>
      <c r="F38" s="169">
        <v>40837</v>
      </c>
      <c r="G38" s="168">
        <v>0.28999999999999998</v>
      </c>
      <c r="H38" s="167" t="s">
        <v>287</v>
      </c>
      <c r="I38" s="167" t="s">
        <v>288</v>
      </c>
      <c r="J38" s="167" t="s">
        <v>289</v>
      </c>
      <c r="K38" s="170">
        <v>0</v>
      </c>
    </row>
    <row r="39" spans="1:11" ht="28.5">
      <c r="A39" s="250"/>
      <c r="B39" s="251"/>
      <c r="C39" s="252"/>
      <c r="D39" s="169">
        <v>40770</v>
      </c>
      <c r="E39" s="169">
        <v>40738</v>
      </c>
      <c r="F39" s="169">
        <v>40746</v>
      </c>
      <c r="G39" s="168">
        <v>0.28999999999999998</v>
      </c>
      <c r="H39" s="167" t="s">
        <v>287</v>
      </c>
      <c r="I39" s="167" t="s">
        <v>288</v>
      </c>
      <c r="J39" s="167" t="s">
        <v>289</v>
      </c>
      <c r="K39" s="170">
        <v>26</v>
      </c>
    </row>
    <row r="40" spans="1:11" ht="28.5">
      <c r="A40" s="250"/>
      <c r="B40" s="251"/>
      <c r="C40" s="252"/>
      <c r="D40" s="169">
        <v>40679</v>
      </c>
      <c r="E40" s="169">
        <v>40598</v>
      </c>
      <c r="F40" s="169">
        <v>40654</v>
      </c>
      <c r="G40" s="168">
        <v>0.28999999999999998</v>
      </c>
      <c r="H40" s="167" t="s">
        <v>287</v>
      </c>
      <c r="I40" s="167" t="s">
        <v>288</v>
      </c>
      <c r="J40" s="167" t="s">
        <v>289</v>
      </c>
      <c r="K40" s="170">
        <v>5</v>
      </c>
    </row>
    <row r="41" spans="1:11" ht="28.5">
      <c r="A41" s="250"/>
      <c r="B41" s="251"/>
      <c r="C41" s="252"/>
      <c r="D41" s="169">
        <v>40589</v>
      </c>
      <c r="E41" s="169">
        <v>40556</v>
      </c>
      <c r="F41" s="169">
        <v>40564</v>
      </c>
      <c r="G41" s="168">
        <v>0.26500000000000001</v>
      </c>
      <c r="H41" s="167" t="s">
        <v>287</v>
      </c>
      <c r="I41" s="167" t="s">
        <v>288</v>
      </c>
      <c r="J41" s="167" t="s">
        <v>289</v>
      </c>
      <c r="K41" s="170">
        <v>0</v>
      </c>
    </row>
    <row r="42" spans="1:11" ht="28.5">
      <c r="A42" s="249">
        <v>2010</v>
      </c>
      <c r="B42" s="253">
        <v>1.0149999999999999</v>
      </c>
      <c r="C42" s="254">
        <v>0.18023</v>
      </c>
      <c r="D42" s="164">
        <v>40497</v>
      </c>
      <c r="E42" s="164">
        <v>40465</v>
      </c>
      <c r="F42" s="164">
        <v>40472</v>
      </c>
      <c r="G42" s="165">
        <v>0.26500000000000001</v>
      </c>
      <c r="H42" s="163" t="s">
        <v>287</v>
      </c>
      <c r="I42" s="163" t="s">
        <v>288</v>
      </c>
      <c r="J42" s="163" t="s">
        <v>289</v>
      </c>
      <c r="K42" s="166">
        <v>7</v>
      </c>
    </row>
    <row r="43" spans="1:11" ht="28.5">
      <c r="A43" s="249"/>
      <c r="B43" s="253"/>
      <c r="C43" s="254"/>
      <c r="D43" s="164">
        <v>40403</v>
      </c>
      <c r="E43" s="164">
        <v>40367</v>
      </c>
      <c r="F43" s="164">
        <v>40381</v>
      </c>
      <c r="G43" s="165">
        <v>0.26500000000000001</v>
      </c>
      <c r="H43" s="163" t="s">
        <v>287</v>
      </c>
      <c r="I43" s="163" t="s">
        <v>288</v>
      </c>
      <c r="J43" s="163" t="s">
        <v>289</v>
      </c>
      <c r="K43" s="166">
        <v>1</v>
      </c>
    </row>
    <row r="44" spans="1:11" ht="28.5">
      <c r="A44" s="249"/>
      <c r="B44" s="253"/>
      <c r="C44" s="254"/>
      <c r="D44" s="164">
        <v>40312</v>
      </c>
      <c r="E44" s="164">
        <v>40213</v>
      </c>
      <c r="F44" s="164">
        <v>40290</v>
      </c>
      <c r="G44" s="165">
        <v>0.26500000000000001</v>
      </c>
      <c r="H44" s="163" t="s">
        <v>287</v>
      </c>
      <c r="I44" s="163" t="s">
        <v>288</v>
      </c>
      <c r="J44" s="163" t="s">
        <v>289</v>
      </c>
      <c r="K44" s="166">
        <v>4</v>
      </c>
    </row>
    <row r="45" spans="1:11" ht="28.5">
      <c r="A45" s="249"/>
      <c r="B45" s="253"/>
      <c r="C45" s="254"/>
      <c r="D45" s="164">
        <v>40225</v>
      </c>
      <c r="E45" s="164">
        <v>40185</v>
      </c>
      <c r="F45" s="164">
        <v>40199</v>
      </c>
      <c r="G45" s="165">
        <v>0.22</v>
      </c>
      <c r="H45" s="163" t="s">
        <v>287</v>
      </c>
      <c r="I45" s="163" t="s">
        <v>288</v>
      </c>
      <c r="J45" s="163" t="s">
        <v>289</v>
      </c>
      <c r="K45" s="166">
        <v>1</v>
      </c>
    </row>
    <row r="46" spans="1:11" ht="28.5">
      <c r="A46" s="250">
        <v>2009</v>
      </c>
      <c r="B46" s="251">
        <v>0.86</v>
      </c>
      <c r="C46" s="252">
        <v>0.10256</v>
      </c>
      <c r="D46" s="169">
        <v>40130</v>
      </c>
      <c r="E46" s="169">
        <v>40094</v>
      </c>
      <c r="F46" s="169">
        <v>40108</v>
      </c>
      <c r="G46" s="168">
        <v>0.22</v>
      </c>
      <c r="H46" s="167" t="s">
        <v>287</v>
      </c>
      <c r="I46" s="167" t="s">
        <v>288</v>
      </c>
      <c r="J46" s="167" t="s">
        <v>289</v>
      </c>
      <c r="K46" s="170">
        <v>0</v>
      </c>
    </row>
    <row r="47" spans="1:11" ht="28.5">
      <c r="A47" s="250"/>
      <c r="B47" s="251"/>
      <c r="C47" s="252"/>
      <c r="D47" s="169">
        <v>40039</v>
      </c>
      <c r="E47" s="169">
        <v>40003</v>
      </c>
      <c r="F47" s="169">
        <v>40016</v>
      </c>
      <c r="G47" s="168">
        <v>0.22</v>
      </c>
      <c r="H47" s="167" t="s">
        <v>287</v>
      </c>
      <c r="I47" s="167" t="s">
        <v>288</v>
      </c>
      <c r="J47" s="167" t="s">
        <v>289</v>
      </c>
      <c r="K47" s="170">
        <v>1</v>
      </c>
    </row>
    <row r="48" spans="1:11" ht="28.5">
      <c r="A48" s="250"/>
      <c r="B48" s="251"/>
      <c r="C48" s="252"/>
      <c r="D48" s="169">
        <v>39948</v>
      </c>
      <c r="E48" s="169">
        <v>39870</v>
      </c>
      <c r="F48" s="169">
        <v>39925</v>
      </c>
      <c r="G48" s="168">
        <v>0.22</v>
      </c>
      <c r="H48" s="167" t="s">
        <v>287</v>
      </c>
      <c r="I48" s="167" t="s">
        <v>288</v>
      </c>
      <c r="J48" s="167" t="s">
        <v>289</v>
      </c>
      <c r="K48" s="170">
        <v>7</v>
      </c>
    </row>
    <row r="49" spans="1:11" ht="28.5">
      <c r="A49" s="250"/>
      <c r="B49" s="251"/>
      <c r="C49" s="252"/>
      <c r="D49" s="169">
        <v>39857</v>
      </c>
      <c r="E49" s="169">
        <v>39821</v>
      </c>
      <c r="F49" s="169">
        <v>39835</v>
      </c>
      <c r="G49" s="168">
        <v>0.2</v>
      </c>
      <c r="H49" s="167" t="s">
        <v>287</v>
      </c>
      <c r="I49" s="167" t="s">
        <v>288</v>
      </c>
      <c r="J49" s="167" t="s">
        <v>289</v>
      </c>
      <c r="K49" s="170">
        <v>4</v>
      </c>
    </row>
    <row r="50" spans="1:11" ht="28.5">
      <c r="A50" s="249">
        <v>2008</v>
      </c>
      <c r="B50" s="253">
        <v>0.78</v>
      </c>
      <c r="C50" s="254">
        <v>0.11429</v>
      </c>
      <c r="D50" s="164">
        <v>39766</v>
      </c>
      <c r="E50" s="164">
        <v>39723</v>
      </c>
      <c r="F50" s="164">
        <v>39743</v>
      </c>
      <c r="G50" s="165">
        <v>0.2</v>
      </c>
      <c r="H50" s="163" t="s">
        <v>287</v>
      </c>
      <c r="I50" s="163" t="s">
        <v>288</v>
      </c>
      <c r="J50" s="163" t="s">
        <v>289</v>
      </c>
      <c r="K50" s="166">
        <v>6</v>
      </c>
    </row>
    <row r="51" spans="1:11" ht="28.5">
      <c r="A51" s="249"/>
      <c r="B51" s="253"/>
      <c r="C51" s="254"/>
      <c r="D51" s="164">
        <v>39675</v>
      </c>
      <c r="E51" s="164">
        <v>39639</v>
      </c>
      <c r="F51" s="164">
        <v>39651</v>
      </c>
      <c r="G51" s="165">
        <v>0.2</v>
      </c>
      <c r="H51" s="163" t="s">
        <v>287</v>
      </c>
      <c r="I51" s="163" t="s">
        <v>288</v>
      </c>
      <c r="J51" s="163" t="s">
        <v>289</v>
      </c>
      <c r="K51" s="166">
        <v>0</v>
      </c>
    </row>
    <row r="52" spans="1:11" ht="28.5">
      <c r="A52" s="249"/>
      <c r="B52" s="253"/>
      <c r="C52" s="254"/>
      <c r="D52" s="164">
        <v>39583</v>
      </c>
      <c r="E52" s="164">
        <v>39505</v>
      </c>
      <c r="F52" s="164">
        <v>39560</v>
      </c>
      <c r="G52" s="165">
        <v>0.2</v>
      </c>
      <c r="H52" s="163" t="s">
        <v>287</v>
      </c>
      <c r="I52" s="163" t="s">
        <v>288</v>
      </c>
      <c r="J52" s="163" t="s">
        <v>289</v>
      </c>
      <c r="K52" s="166" t="s">
        <v>3</v>
      </c>
    </row>
    <row r="53" spans="1:11" ht="28.5">
      <c r="A53" s="249"/>
      <c r="B53" s="253"/>
      <c r="C53" s="254"/>
      <c r="D53" s="164">
        <v>39493</v>
      </c>
      <c r="E53" s="164">
        <v>39457</v>
      </c>
      <c r="F53" s="164">
        <v>39470</v>
      </c>
      <c r="G53" s="165">
        <v>0.18</v>
      </c>
      <c r="H53" s="163" t="s">
        <v>287</v>
      </c>
      <c r="I53" s="163" t="s">
        <v>288</v>
      </c>
      <c r="J53" s="163" t="s">
        <v>289</v>
      </c>
      <c r="K53" s="166">
        <v>0</v>
      </c>
    </row>
    <row r="54" spans="1:11" ht="28.5">
      <c r="A54" s="250">
        <v>2007</v>
      </c>
      <c r="B54" s="251">
        <v>0.7</v>
      </c>
      <c r="C54" s="252">
        <v>0.12</v>
      </c>
      <c r="D54" s="169">
        <v>39401</v>
      </c>
      <c r="E54" s="169">
        <v>39359</v>
      </c>
      <c r="F54" s="169">
        <v>39379</v>
      </c>
      <c r="G54" s="168">
        <v>0.18</v>
      </c>
      <c r="H54" s="167" t="s">
        <v>287</v>
      </c>
      <c r="I54" s="167" t="s">
        <v>288</v>
      </c>
      <c r="J54" s="167" t="s">
        <v>289</v>
      </c>
      <c r="K54" s="170">
        <v>0</v>
      </c>
    </row>
    <row r="55" spans="1:11" ht="28.5">
      <c r="A55" s="250"/>
      <c r="B55" s="251"/>
      <c r="C55" s="252"/>
      <c r="D55" s="169">
        <v>39309</v>
      </c>
      <c r="E55" s="169">
        <v>39275</v>
      </c>
      <c r="F55" s="169">
        <v>39282</v>
      </c>
      <c r="G55" s="168">
        <v>0.18</v>
      </c>
      <c r="H55" s="167" t="s">
        <v>287</v>
      </c>
      <c r="I55" s="167" t="s">
        <v>288</v>
      </c>
      <c r="J55" s="167" t="s">
        <v>289</v>
      </c>
      <c r="K55" s="170">
        <v>0</v>
      </c>
    </row>
    <row r="56" spans="1:11" ht="28.5">
      <c r="A56" s="250"/>
      <c r="B56" s="251"/>
      <c r="C56" s="252"/>
      <c r="D56" s="169">
        <v>39217</v>
      </c>
      <c r="E56" s="169">
        <v>39149</v>
      </c>
      <c r="F56" s="169">
        <v>39192</v>
      </c>
      <c r="G56" s="168">
        <v>0.18</v>
      </c>
      <c r="H56" s="167" t="s">
        <v>287</v>
      </c>
      <c r="I56" s="167" t="s">
        <v>288</v>
      </c>
      <c r="J56" s="167" t="s">
        <v>289</v>
      </c>
      <c r="K56" s="170">
        <v>0</v>
      </c>
    </row>
    <row r="57" spans="1:11" ht="28.5">
      <c r="A57" s="250"/>
      <c r="B57" s="251"/>
      <c r="C57" s="252"/>
      <c r="D57" s="169">
        <v>39128</v>
      </c>
      <c r="E57" s="169">
        <v>39093</v>
      </c>
      <c r="F57" s="169">
        <v>39106</v>
      </c>
      <c r="G57" s="168">
        <v>0.16</v>
      </c>
      <c r="H57" s="167" t="s">
        <v>287</v>
      </c>
      <c r="I57" s="167" t="s">
        <v>288</v>
      </c>
      <c r="J57" s="167" t="s">
        <v>289</v>
      </c>
      <c r="K57" s="170">
        <v>0</v>
      </c>
    </row>
    <row r="58" spans="1:11" ht="28.5">
      <c r="A58" s="249">
        <v>2006</v>
      </c>
      <c r="B58" s="253">
        <v>0.625</v>
      </c>
      <c r="C58" s="254">
        <v>0.12612999999999999</v>
      </c>
      <c r="D58" s="164">
        <v>39036</v>
      </c>
      <c r="E58" s="164">
        <v>38995</v>
      </c>
      <c r="F58" s="164">
        <v>39010</v>
      </c>
      <c r="G58" s="165">
        <v>0.16</v>
      </c>
      <c r="H58" s="163" t="s">
        <v>287</v>
      </c>
      <c r="I58" s="163" t="s">
        <v>288</v>
      </c>
      <c r="J58" s="163" t="s">
        <v>289</v>
      </c>
      <c r="K58" s="166">
        <v>0</v>
      </c>
    </row>
    <row r="59" spans="1:11" ht="28.5">
      <c r="A59" s="249"/>
      <c r="B59" s="253"/>
      <c r="C59" s="254"/>
      <c r="D59" s="164">
        <v>38944</v>
      </c>
      <c r="E59" s="164">
        <v>38911</v>
      </c>
      <c r="F59" s="164">
        <v>38922</v>
      </c>
      <c r="G59" s="165">
        <v>0.16</v>
      </c>
      <c r="H59" s="163" t="s">
        <v>287</v>
      </c>
      <c r="I59" s="163" t="s">
        <v>288</v>
      </c>
      <c r="J59" s="163" t="s">
        <v>289</v>
      </c>
      <c r="K59" s="166">
        <v>0</v>
      </c>
    </row>
    <row r="60" spans="1:11" ht="28.5">
      <c r="A60" s="249"/>
      <c r="B60" s="253"/>
      <c r="C60" s="254"/>
      <c r="D60" s="164">
        <v>38852</v>
      </c>
      <c r="E60" s="164">
        <v>38785</v>
      </c>
      <c r="F60" s="164">
        <v>38827</v>
      </c>
      <c r="G60" s="165">
        <v>0.16</v>
      </c>
      <c r="H60" s="163" t="s">
        <v>287</v>
      </c>
      <c r="I60" s="163" t="s">
        <v>288</v>
      </c>
      <c r="J60" s="163" t="s">
        <v>289</v>
      </c>
      <c r="K60" s="166">
        <v>0</v>
      </c>
    </row>
    <row r="61" spans="1:11" ht="28.5">
      <c r="A61" s="249"/>
      <c r="B61" s="253"/>
      <c r="C61" s="254"/>
      <c r="D61" s="164">
        <v>38763</v>
      </c>
      <c r="E61" s="164">
        <v>38729</v>
      </c>
      <c r="F61" s="164">
        <v>38741</v>
      </c>
      <c r="G61" s="165">
        <v>0.14499999999999999</v>
      </c>
      <c r="H61" s="163" t="s">
        <v>287</v>
      </c>
      <c r="I61" s="163" t="s">
        <v>288</v>
      </c>
      <c r="J61" s="163" t="s">
        <v>289</v>
      </c>
      <c r="K61" s="166">
        <v>1</v>
      </c>
    </row>
    <row r="62" spans="1:11" ht="28.5">
      <c r="A62" s="250">
        <v>2005</v>
      </c>
      <c r="B62" s="251">
        <v>0.55500000000000005</v>
      </c>
      <c r="C62" s="252">
        <v>0.15625</v>
      </c>
      <c r="D62" s="169">
        <v>38671</v>
      </c>
      <c r="E62" s="169">
        <v>38631</v>
      </c>
      <c r="F62" s="169">
        <v>38649</v>
      </c>
      <c r="G62" s="168">
        <v>0.14499999999999999</v>
      </c>
      <c r="H62" s="167" t="s">
        <v>287</v>
      </c>
      <c r="I62" s="167" t="s">
        <v>288</v>
      </c>
      <c r="J62" s="167" t="s">
        <v>289</v>
      </c>
      <c r="K62" s="170">
        <v>0</v>
      </c>
    </row>
    <row r="63" spans="1:11" ht="28.5">
      <c r="A63" s="250"/>
      <c r="B63" s="251"/>
      <c r="C63" s="252"/>
      <c r="D63" s="169">
        <v>38579</v>
      </c>
      <c r="E63" s="169">
        <v>38547</v>
      </c>
      <c r="F63" s="169">
        <v>38555</v>
      </c>
      <c r="G63" s="168">
        <v>0.14499999999999999</v>
      </c>
      <c r="H63" s="167" t="s">
        <v>287</v>
      </c>
      <c r="I63" s="167" t="s">
        <v>288</v>
      </c>
      <c r="J63" s="167" t="s">
        <v>289</v>
      </c>
      <c r="K63" s="170">
        <v>0</v>
      </c>
    </row>
    <row r="64" spans="1:11" ht="28.5">
      <c r="A64" s="250"/>
      <c r="B64" s="251"/>
      <c r="C64" s="252"/>
      <c r="D64" s="169">
        <v>38485</v>
      </c>
      <c r="E64" s="169">
        <v>38393</v>
      </c>
      <c r="F64" s="169">
        <v>38464</v>
      </c>
      <c r="G64" s="168">
        <v>0.14499999999999999</v>
      </c>
      <c r="H64" s="167" t="s">
        <v>287</v>
      </c>
      <c r="I64" s="167" t="s">
        <v>288</v>
      </c>
      <c r="J64" s="167" t="s">
        <v>289</v>
      </c>
      <c r="K64" s="170" t="s">
        <v>3</v>
      </c>
    </row>
    <row r="65" spans="1:11" ht="28.5">
      <c r="A65" s="250"/>
      <c r="B65" s="251"/>
      <c r="C65" s="252"/>
      <c r="D65" s="169">
        <v>38398</v>
      </c>
      <c r="E65" s="169">
        <v>38365</v>
      </c>
      <c r="F65" s="169">
        <v>38376</v>
      </c>
      <c r="G65" s="168">
        <v>0.12</v>
      </c>
      <c r="H65" s="167" t="s">
        <v>287</v>
      </c>
      <c r="I65" s="167" t="s">
        <v>288</v>
      </c>
      <c r="J65" s="167" t="s">
        <v>289</v>
      </c>
      <c r="K65" s="170">
        <v>1</v>
      </c>
    </row>
    <row r="66" spans="1:11" ht="28.5">
      <c r="A66" s="249">
        <v>2004</v>
      </c>
      <c r="B66" s="253">
        <v>0.48</v>
      </c>
      <c r="C66" s="254">
        <v>6.6669999999999993E-2</v>
      </c>
      <c r="D66" s="164">
        <v>38306</v>
      </c>
      <c r="E66" s="164">
        <v>38267</v>
      </c>
      <c r="F66" s="164">
        <v>38281</v>
      </c>
      <c r="G66" s="165">
        <v>0.12</v>
      </c>
      <c r="H66" s="163" t="s">
        <v>287</v>
      </c>
      <c r="I66" s="163" t="s">
        <v>288</v>
      </c>
      <c r="J66" s="163" t="s">
        <v>289</v>
      </c>
      <c r="K66" s="166">
        <v>0</v>
      </c>
    </row>
    <row r="67" spans="1:11" ht="28.5">
      <c r="A67" s="249"/>
      <c r="B67" s="253"/>
      <c r="C67" s="254"/>
      <c r="D67" s="164">
        <v>38215</v>
      </c>
      <c r="E67" s="164">
        <v>38176</v>
      </c>
      <c r="F67" s="164">
        <v>38190</v>
      </c>
      <c r="G67" s="165">
        <v>0.12</v>
      </c>
      <c r="H67" s="163" t="s">
        <v>287</v>
      </c>
      <c r="I67" s="163" t="s">
        <v>288</v>
      </c>
      <c r="J67" s="163" t="s">
        <v>289</v>
      </c>
      <c r="K67" s="166">
        <v>33</v>
      </c>
    </row>
    <row r="68" spans="1:11" ht="28.5">
      <c r="A68" s="249"/>
      <c r="B68" s="253"/>
      <c r="C68" s="254"/>
      <c r="D68" s="164">
        <v>38121</v>
      </c>
      <c r="E68" s="164">
        <v>38057</v>
      </c>
      <c r="F68" s="164">
        <v>38099</v>
      </c>
      <c r="G68" s="165">
        <v>0.12</v>
      </c>
      <c r="H68" s="163" t="s">
        <v>287</v>
      </c>
      <c r="I68" s="163" t="s">
        <v>288</v>
      </c>
      <c r="J68" s="163" t="s">
        <v>289</v>
      </c>
      <c r="K68" s="166">
        <v>0</v>
      </c>
    </row>
    <row r="69" spans="1:11" ht="28.5">
      <c r="A69" s="249"/>
      <c r="B69" s="253"/>
      <c r="C69" s="254"/>
      <c r="D69" s="164">
        <v>38030</v>
      </c>
      <c r="E69" s="164">
        <v>37994</v>
      </c>
      <c r="F69" s="164">
        <v>38008</v>
      </c>
      <c r="G69" s="165">
        <v>0.12</v>
      </c>
      <c r="H69" s="163" t="s">
        <v>287</v>
      </c>
      <c r="I69" s="163" t="s">
        <v>288</v>
      </c>
      <c r="J69" s="163" t="s">
        <v>289</v>
      </c>
      <c r="K69" s="166">
        <v>5</v>
      </c>
    </row>
    <row r="70" spans="1:11" ht="28.5">
      <c r="A70" s="250">
        <v>2003</v>
      </c>
      <c r="B70" s="251">
        <v>0.45</v>
      </c>
      <c r="C70" s="252">
        <v>0.25</v>
      </c>
      <c r="D70" s="169">
        <v>37939</v>
      </c>
      <c r="E70" s="169">
        <v>37903</v>
      </c>
      <c r="F70" s="169">
        <v>37916</v>
      </c>
      <c r="G70" s="168">
        <v>0.12</v>
      </c>
      <c r="H70" s="167" t="s">
        <v>287</v>
      </c>
      <c r="I70" s="167" t="s">
        <v>288</v>
      </c>
      <c r="J70" s="167" t="s">
        <v>289</v>
      </c>
      <c r="K70" s="170">
        <v>0</v>
      </c>
    </row>
    <row r="71" spans="1:11" ht="28.5">
      <c r="A71" s="250"/>
      <c r="B71" s="251"/>
      <c r="C71" s="252"/>
      <c r="D71" s="169">
        <v>37848</v>
      </c>
      <c r="E71" s="169">
        <v>37812</v>
      </c>
      <c r="F71" s="169">
        <v>37825</v>
      </c>
      <c r="G71" s="168">
        <v>0.12</v>
      </c>
      <c r="H71" s="167" t="s">
        <v>287</v>
      </c>
      <c r="I71" s="167" t="s">
        <v>288</v>
      </c>
      <c r="J71" s="167" t="s">
        <v>289</v>
      </c>
      <c r="K71" s="170">
        <v>50</v>
      </c>
    </row>
    <row r="72" spans="1:11" ht="28.5">
      <c r="A72" s="250"/>
      <c r="B72" s="251"/>
      <c r="C72" s="252"/>
      <c r="D72" s="169">
        <v>37756</v>
      </c>
      <c r="E72" s="169">
        <v>37658</v>
      </c>
      <c r="F72" s="169">
        <v>37734</v>
      </c>
      <c r="G72" s="168">
        <v>0.12</v>
      </c>
      <c r="H72" s="167" t="s">
        <v>287</v>
      </c>
      <c r="I72" s="167" t="s">
        <v>288</v>
      </c>
      <c r="J72" s="167" t="s">
        <v>289</v>
      </c>
      <c r="K72" s="170">
        <v>0</v>
      </c>
    </row>
    <row r="73" spans="1:11" ht="28.5">
      <c r="A73" s="250"/>
      <c r="B73" s="251"/>
      <c r="C73" s="252"/>
      <c r="D73" s="169">
        <v>37666</v>
      </c>
      <c r="E73" s="169">
        <v>37630</v>
      </c>
      <c r="F73" s="169">
        <v>37651</v>
      </c>
      <c r="G73" s="168">
        <v>0.09</v>
      </c>
      <c r="H73" s="167" t="s">
        <v>287</v>
      </c>
      <c r="I73" s="167" t="s">
        <v>288</v>
      </c>
      <c r="J73" s="167" t="s">
        <v>289</v>
      </c>
      <c r="K73" s="170">
        <v>1</v>
      </c>
    </row>
    <row r="74" spans="1:11">
      <c r="A74" s="249">
        <v>2002</v>
      </c>
      <c r="B74" s="253">
        <v>0.36</v>
      </c>
      <c r="C74" s="254">
        <v>6.6669999999999993E-2</v>
      </c>
      <c r="D74" s="164">
        <v>37575</v>
      </c>
      <c r="E74" s="164">
        <v>37539</v>
      </c>
      <c r="F74" s="164">
        <v>37552</v>
      </c>
      <c r="G74" s="165">
        <v>0.09</v>
      </c>
      <c r="H74" s="163" t="s">
        <v>290</v>
      </c>
      <c r="I74" s="163" t="s">
        <v>288</v>
      </c>
      <c r="J74" s="163" t="s">
        <v>289</v>
      </c>
      <c r="K74" s="166" t="s">
        <v>3</v>
      </c>
    </row>
    <row r="75" spans="1:11">
      <c r="A75" s="249"/>
      <c r="B75" s="253"/>
      <c r="C75" s="254"/>
      <c r="D75" s="164">
        <v>37483</v>
      </c>
      <c r="E75" s="164">
        <v>37448</v>
      </c>
      <c r="F75" s="164">
        <v>37461</v>
      </c>
      <c r="G75" s="165">
        <v>0.09</v>
      </c>
      <c r="H75" s="163" t="s">
        <v>290</v>
      </c>
      <c r="I75" s="163" t="s">
        <v>288</v>
      </c>
      <c r="J75" s="163" t="s">
        <v>289</v>
      </c>
      <c r="K75" s="166">
        <v>0</v>
      </c>
    </row>
    <row r="76" spans="1:11">
      <c r="A76" s="249"/>
      <c r="B76" s="253"/>
      <c r="C76" s="254"/>
      <c r="D76" s="164">
        <v>37391</v>
      </c>
      <c r="E76" s="164">
        <v>37329</v>
      </c>
      <c r="F76" s="164">
        <v>37370</v>
      </c>
      <c r="G76" s="165">
        <v>0.09</v>
      </c>
      <c r="H76" s="163" t="s">
        <v>290</v>
      </c>
      <c r="I76" s="163" t="s">
        <v>288</v>
      </c>
      <c r="J76" s="163" t="s">
        <v>289</v>
      </c>
      <c r="K76" s="166">
        <v>0</v>
      </c>
    </row>
    <row r="77" spans="1:11">
      <c r="A77" s="249"/>
      <c r="B77" s="253"/>
      <c r="C77" s="254"/>
      <c r="D77" s="164">
        <v>37302</v>
      </c>
      <c r="E77" s="164">
        <v>37266</v>
      </c>
      <c r="F77" s="164">
        <v>37279</v>
      </c>
      <c r="G77" s="165">
        <v>0.09</v>
      </c>
      <c r="H77" s="163" t="s">
        <v>290</v>
      </c>
      <c r="I77" s="163" t="s">
        <v>288</v>
      </c>
      <c r="J77" s="163" t="s">
        <v>289</v>
      </c>
      <c r="K77" s="166">
        <v>6</v>
      </c>
    </row>
    <row r="78" spans="1:11">
      <c r="A78" s="250">
        <v>2001</v>
      </c>
      <c r="B78" s="251">
        <v>0.33750000000000002</v>
      </c>
      <c r="C78" s="252">
        <v>7.1429999999999993E-2</v>
      </c>
      <c r="D78" s="169">
        <v>37210</v>
      </c>
      <c r="E78" s="169">
        <v>37175</v>
      </c>
      <c r="F78" s="169">
        <v>37188</v>
      </c>
      <c r="G78" s="168">
        <v>0.09</v>
      </c>
      <c r="H78" s="167" t="s">
        <v>290</v>
      </c>
      <c r="I78" s="167" t="s">
        <v>288</v>
      </c>
      <c r="J78" s="167" t="s">
        <v>289</v>
      </c>
      <c r="K78" s="170">
        <v>1</v>
      </c>
    </row>
    <row r="79" spans="1:11">
      <c r="A79" s="250"/>
      <c r="B79" s="251"/>
      <c r="C79" s="252"/>
      <c r="D79" s="169">
        <v>37118</v>
      </c>
      <c r="E79" s="169">
        <v>37084</v>
      </c>
      <c r="F79" s="169">
        <v>37096</v>
      </c>
      <c r="G79" s="168">
        <v>0.09</v>
      </c>
      <c r="H79" s="167" t="s">
        <v>290</v>
      </c>
      <c r="I79" s="167" t="s">
        <v>288</v>
      </c>
      <c r="J79" s="167" t="s">
        <v>289</v>
      </c>
      <c r="K79" s="170">
        <v>14</v>
      </c>
    </row>
    <row r="80" spans="1:11">
      <c r="A80" s="250"/>
      <c r="B80" s="251"/>
      <c r="C80" s="252"/>
      <c r="D80" s="169">
        <v>37026</v>
      </c>
      <c r="E80" s="169">
        <v>36958</v>
      </c>
      <c r="F80" s="169">
        <v>37005</v>
      </c>
      <c r="G80" s="168">
        <v>7.8799999999999995E-2</v>
      </c>
      <c r="H80" s="167" t="s">
        <v>290</v>
      </c>
      <c r="I80" s="167" t="s">
        <v>288</v>
      </c>
      <c r="J80" s="167" t="s">
        <v>289</v>
      </c>
      <c r="K80" s="170">
        <v>1</v>
      </c>
    </row>
    <row r="81" spans="1:11">
      <c r="A81" s="250"/>
      <c r="B81" s="251"/>
      <c r="C81" s="252"/>
      <c r="D81" s="169">
        <v>36937</v>
      </c>
      <c r="E81" s="169">
        <v>36902</v>
      </c>
      <c r="F81" s="169">
        <v>36915</v>
      </c>
      <c r="G81" s="168">
        <v>7.8799999999999995E-2</v>
      </c>
      <c r="H81" s="167" t="s">
        <v>290</v>
      </c>
      <c r="I81" s="167" t="s">
        <v>288</v>
      </c>
      <c r="J81" s="167" t="s">
        <v>289</v>
      </c>
      <c r="K81" s="170">
        <v>0</v>
      </c>
    </row>
    <row r="82" spans="1:11">
      <c r="A82" s="249">
        <v>2000</v>
      </c>
      <c r="B82" s="253">
        <v>0.315</v>
      </c>
      <c r="C82" s="254">
        <v>6.7799999999999999E-2</v>
      </c>
      <c r="D82" s="164">
        <v>36845</v>
      </c>
      <c r="E82" s="164">
        <v>36811</v>
      </c>
      <c r="F82" s="164">
        <v>36823</v>
      </c>
      <c r="G82" s="165">
        <v>7.8799999999999995E-2</v>
      </c>
      <c r="H82" s="163" t="s">
        <v>290</v>
      </c>
      <c r="I82" s="163" t="s">
        <v>288</v>
      </c>
      <c r="J82" s="163" t="s">
        <v>289</v>
      </c>
      <c r="K82" s="166">
        <v>0</v>
      </c>
    </row>
    <row r="83" spans="1:11">
      <c r="A83" s="249"/>
      <c r="B83" s="253"/>
      <c r="C83" s="254"/>
      <c r="D83" s="164">
        <v>36753</v>
      </c>
      <c r="E83" s="164">
        <v>36720</v>
      </c>
      <c r="F83" s="164">
        <v>36731</v>
      </c>
      <c r="G83" s="165">
        <v>7.8799999999999995E-2</v>
      </c>
      <c r="H83" s="163" t="s">
        <v>290</v>
      </c>
      <c r="I83" s="163" t="s">
        <v>288</v>
      </c>
      <c r="J83" s="163" t="s">
        <v>289</v>
      </c>
      <c r="K83" s="166">
        <v>6</v>
      </c>
    </row>
    <row r="84" spans="1:11">
      <c r="A84" s="249"/>
      <c r="B84" s="253"/>
      <c r="C84" s="254"/>
      <c r="D84" s="164">
        <v>36661</v>
      </c>
      <c r="E84" s="164">
        <v>36594</v>
      </c>
      <c r="F84" s="164">
        <v>36640</v>
      </c>
      <c r="G84" s="165">
        <v>7.8799999999999995E-2</v>
      </c>
      <c r="H84" s="163" t="s">
        <v>290</v>
      </c>
      <c r="I84" s="163" t="s">
        <v>288</v>
      </c>
      <c r="J84" s="163" t="s">
        <v>289</v>
      </c>
      <c r="K84" s="166">
        <v>0</v>
      </c>
    </row>
    <row r="85" spans="1:11">
      <c r="A85" s="249"/>
      <c r="B85" s="253"/>
      <c r="C85" s="254"/>
      <c r="D85" s="164">
        <v>36571</v>
      </c>
      <c r="E85" s="164">
        <v>36538</v>
      </c>
      <c r="F85" s="164">
        <v>36549</v>
      </c>
      <c r="G85" s="165">
        <v>7.8799999999999995E-2</v>
      </c>
      <c r="H85" s="163" t="s">
        <v>290</v>
      </c>
      <c r="I85" s="163" t="s">
        <v>288</v>
      </c>
      <c r="J85" s="163" t="s">
        <v>289</v>
      </c>
      <c r="K85" s="166">
        <v>7</v>
      </c>
    </row>
    <row r="86" spans="1:11">
      <c r="A86" s="250">
        <v>1999</v>
      </c>
      <c r="B86" s="251">
        <v>0.29499999999999998</v>
      </c>
      <c r="C86" s="252">
        <v>7.2730000000000003E-2</v>
      </c>
      <c r="D86" s="169">
        <v>36479</v>
      </c>
      <c r="E86" s="169">
        <v>36447</v>
      </c>
      <c r="F86" s="169">
        <v>36455</v>
      </c>
      <c r="G86" s="168">
        <v>7.8799999999999995E-2</v>
      </c>
      <c r="H86" s="167" t="s">
        <v>290</v>
      </c>
      <c r="I86" s="167" t="s">
        <v>288</v>
      </c>
      <c r="J86" s="167" t="s">
        <v>289</v>
      </c>
      <c r="K86" s="170">
        <v>4</v>
      </c>
    </row>
    <row r="87" spans="1:11">
      <c r="A87" s="250"/>
      <c r="B87" s="251"/>
      <c r="C87" s="252"/>
      <c r="D87" s="169">
        <v>36388</v>
      </c>
      <c r="E87" s="169">
        <v>36349</v>
      </c>
      <c r="F87" s="169">
        <v>36363</v>
      </c>
      <c r="G87" s="168">
        <v>7.8799999999999995E-2</v>
      </c>
      <c r="H87" s="167" t="s">
        <v>290</v>
      </c>
      <c r="I87" s="167" t="s">
        <v>288</v>
      </c>
      <c r="J87" s="167" t="s">
        <v>289</v>
      </c>
      <c r="K87" s="170">
        <v>0</v>
      </c>
    </row>
    <row r="88" spans="1:11">
      <c r="A88" s="250"/>
      <c r="B88" s="251"/>
      <c r="C88" s="252"/>
      <c r="D88" s="169">
        <v>36297</v>
      </c>
      <c r="E88" s="169">
        <v>36230</v>
      </c>
      <c r="F88" s="169">
        <v>36272</v>
      </c>
      <c r="G88" s="168">
        <v>6.88E-2</v>
      </c>
      <c r="H88" s="167" t="s">
        <v>290</v>
      </c>
      <c r="I88" s="167" t="s">
        <v>288</v>
      </c>
      <c r="J88" s="167" t="s">
        <v>289</v>
      </c>
      <c r="K88" s="170">
        <v>1</v>
      </c>
    </row>
    <row r="89" spans="1:11">
      <c r="A89" s="250"/>
      <c r="B89" s="251"/>
      <c r="C89" s="252"/>
      <c r="D89" s="169">
        <v>36207</v>
      </c>
      <c r="E89" s="169">
        <v>36174</v>
      </c>
      <c r="F89" s="169">
        <v>36182</v>
      </c>
      <c r="G89" s="168">
        <v>6.88E-2</v>
      </c>
      <c r="H89" s="167" t="s">
        <v>290</v>
      </c>
      <c r="I89" s="167" t="s">
        <v>288</v>
      </c>
      <c r="J89" s="167" t="s">
        <v>289</v>
      </c>
      <c r="K89" s="170">
        <v>4</v>
      </c>
    </row>
    <row r="90" spans="1:11">
      <c r="A90" s="249">
        <v>1998</v>
      </c>
      <c r="B90" s="253">
        <v>0.27500000000000002</v>
      </c>
      <c r="C90" s="254">
        <v>3.7740000000000003E-2</v>
      </c>
      <c r="D90" s="164">
        <v>36115</v>
      </c>
      <c r="E90" s="164">
        <v>36076</v>
      </c>
      <c r="F90" s="164">
        <v>36091</v>
      </c>
      <c r="G90" s="165">
        <v>6.88E-2</v>
      </c>
      <c r="H90" s="163" t="s">
        <v>290</v>
      </c>
      <c r="I90" s="163" t="s">
        <v>288</v>
      </c>
      <c r="J90" s="163" t="s">
        <v>289</v>
      </c>
      <c r="K90" s="166">
        <v>0</v>
      </c>
    </row>
    <row r="91" spans="1:11">
      <c r="A91" s="249"/>
      <c r="B91" s="253"/>
      <c r="C91" s="254"/>
      <c r="D91" s="164">
        <v>36024</v>
      </c>
      <c r="E91" s="164">
        <v>35985</v>
      </c>
      <c r="F91" s="164">
        <v>35999</v>
      </c>
      <c r="G91" s="165">
        <v>6.88E-2</v>
      </c>
      <c r="H91" s="163" t="s">
        <v>290</v>
      </c>
      <c r="I91" s="163" t="s">
        <v>288</v>
      </c>
      <c r="J91" s="163" t="s">
        <v>289</v>
      </c>
      <c r="K91" s="166">
        <v>0</v>
      </c>
    </row>
    <row r="92" spans="1:11">
      <c r="A92" s="249"/>
      <c r="B92" s="253"/>
      <c r="C92" s="254"/>
      <c r="D92" s="164">
        <v>35930</v>
      </c>
      <c r="E92" s="164">
        <v>35859</v>
      </c>
      <c r="F92" s="164">
        <v>35908</v>
      </c>
      <c r="G92" s="165">
        <v>6.88E-2</v>
      </c>
      <c r="H92" s="163" t="s">
        <v>290</v>
      </c>
      <c r="I92" s="163" t="s">
        <v>288</v>
      </c>
      <c r="J92" s="163" t="s">
        <v>289</v>
      </c>
      <c r="K92" s="166">
        <v>0</v>
      </c>
    </row>
    <row r="93" spans="1:11">
      <c r="A93" s="249"/>
      <c r="B93" s="253"/>
      <c r="C93" s="254"/>
      <c r="D93" s="164">
        <v>35843</v>
      </c>
      <c r="E93" s="164">
        <v>35803</v>
      </c>
      <c r="F93" s="164">
        <v>35818</v>
      </c>
      <c r="G93" s="165">
        <v>6.88E-2</v>
      </c>
      <c r="H93" s="163" t="s">
        <v>290</v>
      </c>
      <c r="I93" s="163" t="s">
        <v>288</v>
      </c>
      <c r="J93" s="163" t="s">
        <v>289</v>
      </c>
      <c r="K93" s="166">
        <v>1</v>
      </c>
    </row>
    <row r="94" spans="1:11">
      <c r="A94" s="250">
        <v>1997</v>
      </c>
      <c r="B94" s="251">
        <v>0.26500000000000001</v>
      </c>
      <c r="C94" s="252">
        <v>0.12766</v>
      </c>
      <c r="D94" s="169">
        <v>35751</v>
      </c>
      <c r="E94" s="169">
        <v>35712</v>
      </c>
      <c r="F94" s="169">
        <v>35726</v>
      </c>
      <c r="G94" s="168">
        <v>6.88E-2</v>
      </c>
      <c r="H94" s="167" t="s">
        <v>290</v>
      </c>
      <c r="I94" s="167" t="s">
        <v>288</v>
      </c>
      <c r="J94" s="167" t="s">
        <v>289</v>
      </c>
      <c r="K94" s="170">
        <v>52</v>
      </c>
    </row>
    <row r="95" spans="1:11">
      <c r="A95" s="250"/>
      <c r="B95" s="251"/>
      <c r="C95" s="252"/>
      <c r="D95" s="169">
        <v>35657</v>
      </c>
      <c r="E95" s="169">
        <v>35621</v>
      </c>
      <c r="F95" s="169">
        <v>35634</v>
      </c>
      <c r="G95" s="168">
        <v>6.88E-2</v>
      </c>
      <c r="H95" s="167" t="s">
        <v>290</v>
      </c>
      <c r="I95" s="167" t="s">
        <v>288</v>
      </c>
      <c r="J95" s="167" t="s">
        <v>289</v>
      </c>
      <c r="K95" s="170">
        <v>0</v>
      </c>
    </row>
    <row r="96" spans="1:11">
      <c r="A96" s="250"/>
      <c r="B96" s="251"/>
      <c r="C96" s="252"/>
      <c r="D96" s="169">
        <v>35565</v>
      </c>
      <c r="E96" s="169">
        <v>35495</v>
      </c>
      <c r="F96" s="169">
        <v>35543</v>
      </c>
      <c r="G96" s="168">
        <v>6.88E-2</v>
      </c>
      <c r="H96" s="167" t="s">
        <v>290</v>
      </c>
      <c r="I96" s="167" t="s">
        <v>288</v>
      </c>
      <c r="J96" s="167" t="s">
        <v>289</v>
      </c>
      <c r="K96" s="170">
        <v>4</v>
      </c>
    </row>
    <row r="97" spans="1:11">
      <c r="A97" s="250"/>
      <c r="B97" s="251"/>
      <c r="C97" s="252"/>
      <c r="D97" s="169">
        <v>35478</v>
      </c>
      <c r="E97" s="169">
        <v>35439</v>
      </c>
      <c r="F97" s="169">
        <v>35453</v>
      </c>
      <c r="G97" s="168">
        <v>5.8799999999999998E-2</v>
      </c>
      <c r="H97" s="167" t="s">
        <v>290</v>
      </c>
      <c r="I97" s="167" t="s">
        <v>288</v>
      </c>
      <c r="J97" s="167" t="s">
        <v>289</v>
      </c>
      <c r="K97" s="170">
        <v>6</v>
      </c>
    </row>
    <row r="98" spans="1:11">
      <c r="A98" s="249">
        <v>1996</v>
      </c>
      <c r="B98" s="253">
        <v>0.23499999999999999</v>
      </c>
      <c r="C98" s="254">
        <v>1</v>
      </c>
      <c r="D98" s="164">
        <v>35384</v>
      </c>
      <c r="E98" s="164">
        <v>35348</v>
      </c>
      <c r="F98" s="164">
        <v>35361</v>
      </c>
      <c r="G98" s="165">
        <v>5.8799999999999998E-2</v>
      </c>
      <c r="H98" s="163" t="s">
        <v>290</v>
      </c>
      <c r="I98" s="163" t="s">
        <v>288</v>
      </c>
      <c r="J98" s="163" t="s">
        <v>289</v>
      </c>
      <c r="K98" s="166">
        <v>5</v>
      </c>
    </row>
    <row r="99" spans="1:11">
      <c r="A99" s="249"/>
      <c r="B99" s="253"/>
      <c r="C99" s="254"/>
      <c r="D99" s="164">
        <v>35292</v>
      </c>
      <c r="E99" s="164">
        <v>35257</v>
      </c>
      <c r="F99" s="164">
        <v>35269</v>
      </c>
      <c r="G99" s="165">
        <v>5.8799999999999998E-2</v>
      </c>
      <c r="H99" s="163" t="s">
        <v>290</v>
      </c>
      <c r="I99" s="163" t="s">
        <v>288</v>
      </c>
      <c r="J99" s="163" t="s">
        <v>289</v>
      </c>
      <c r="K99" s="166">
        <v>0</v>
      </c>
    </row>
    <row r="100" spans="1:11">
      <c r="A100" s="249"/>
      <c r="B100" s="253"/>
      <c r="C100" s="254"/>
      <c r="D100" s="164">
        <v>35200</v>
      </c>
      <c r="E100" s="164">
        <v>35138</v>
      </c>
      <c r="F100" s="164">
        <v>35178</v>
      </c>
      <c r="G100" s="165">
        <v>5.8799999999999998E-2</v>
      </c>
      <c r="H100" s="163" t="s">
        <v>290</v>
      </c>
      <c r="I100" s="163" t="s">
        <v>288</v>
      </c>
      <c r="J100" s="163" t="s">
        <v>289</v>
      </c>
      <c r="K100" s="166">
        <v>11</v>
      </c>
    </row>
    <row r="101" spans="1:11">
      <c r="A101" s="249"/>
      <c r="B101" s="253"/>
      <c r="C101" s="254"/>
      <c r="D101" s="164">
        <v>35110</v>
      </c>
      <c r="E101" s="164">
        <v>35075</v>
      </c>
      <c r="F101" s="164">
        <v>35087</v>
      </c>
      <c r="G101" s="165">
        <v>5.8799999999999998E-2</v>
      </c>
      <c r="H101" s="163" t="s">
        <v>290</v>
      </c>
      <c r="I101" s="163" t="s">
        <v>288</v>
      </c>
      <c r="J101" s="163" t="s">
        <v>289</v>
      </c>
      <c r="K101" s="166">
        <v>0</v>
      </c>
    </row>
    <row r="102" spans="1:11">
      <c r="A102" s="250">
        <v>1995</v>
      </c>
      <c r="B102" s="251">
        <v>0.11749999999999999</v>
      </c>
      <c r="C102" s="250" t="s">
        <v>3</v>
      </c>
      <c r="D102" s="169">
        <v>35018</v>
      </c>
      <c r="E102" s="169">
        <v>34984</v>
      </c>
      <c r="F102" s="169">
        <v>34995</v>
      </c>
      <c r="G102" s="168">
        <v>5.8799999999999998E-2</v>
      </c>
      <c r="H102" s="167" t="s">
        <v>290</v>
      </c>
      <c r="I102" s="167" t="s">
        <v>288</v>
      </c>
      <c r="J102" s="167" t="s">
        <v>289</v>
      </c>
      <c r="K102" s="170">
        <v>0</v>
      </c>
    </row>
    <row r="103" spans="1:11">
      <c r="A103" s="250"/>
      <c r="B103" s="251"/>
      <c r="C103" s="250"/>
      <c r="D103" s="169">
        <v>34926</v>
      </c>
      <c r="E103" s="169">
        <v>34893</v>
      </c>
      <c r="F103" s="169">
        <v>34901</v>
      </c>
      <c r="G103" s="168">
        <v>5.8799999999999998E-2</v>
      </c>
      <c r="H103" s="167" t="s">
        <v>290</v>
      </c>
      <c r="I103" s="167" t="s">
        <v>288</v>
      </c>
      <c r="J103" s="167" t="s">
        <v>289</v>
      </c>
      <c r="K103" s="170">
        <v>0</v>
      </c>
    </row>
  </sheetData>
  <mergeCells count="79">
    <mergeCell ref="M1:R1"/>
    <mergeCell ref="A98:A101"/>
    <mergeCell ref="B98:B101"/>
    <mergeCell ref="C98:C101"/>
    <mergeCell ref="A102:A103"/>
    <mergeCell ref="B102:B103"/>
    <mergeCell ref="C102:C103"/>
    <mergeCell ref="A90:A93"/>
    <mergeCell ref="B90:B93"/>
    <mergeCell ref="C90:C93"/>
    <mergeCell ref="A94:A97"/>
    <mergeCell ref="B94:B97"/>
    <mergeCell ref="C94:C97"/>
    <mergeCell ref="A82:A85"/>
    <mergeCell ref="B82:B85"/>
    <mergeCell ref="C82:C85"/>
    <mergeCell ref="A86:A89"/>
    <mergeCell ref="B86:B89"/>
    <mergeCell ref="C86:C89"/>
    <mergeCell ref="A74:A77"/>
    <mergeCell ref="B74:B77"/>
    <mergeCell ref="C74:C77"/>
    <mergeCell ref="A78:A81"/>
    <mergeCell ref="B78:B81"/>
    <mergeCell ref="C78:C81"/>
    <mergeCell ref="A66:A69"/>
    <mergeCell ref="B66:B69"/>
    <mergeCell ref="C66:C69"/>
    <mergeCell ref="A70:A73"/>
    <mergeCell ref="B70:B73"/>
    <mergeCell ref="C70:C73"/>
    <mergeCell ref="A58:A61"/>
    <mergeCell ref="B58:B61"/>
    <mergeCell ref="C58:C61"/>
    <mergeCell ref="A62:A65"/>
    <mergeCell ref="B62:B65"/>
    <mergeCell ref="C62:C65"/>
    <mergeCell ref="A50:A53"/>
    <mergeCell ref="B50:B53"/>
    <mergeCell ref="C50:C53"/>
    <mergeCell ref="A54:A57"/>
    <mergeCell ref="B54:B57"/>
    <mergeCell ref="C54:C57"/>
    <mergeCell ref="A42:A45"/>
    <mergeCell ref="B42:B45"/>
    <mergeCell ref="C42:C45"/>
    <mergeCell ref="A46:A49"/>
    <mergeCell ref="B46:B49"/>
    <mergeCell ref="C46:C49"/>
    <mergeCell ref="A34:A37"/>
    <mergeCell ref="B34:B37"/>
    <mergeCell ref="C34:C37"/>
    <mergeCell ref="A38:A41"/>
    <mergeCell ref="B38:B41"/>
    <mergeCell ref="C38:C41"/>
    <mergeCell ref="A26:A29"/>
    <mergeCell ref="B26:B29"/>
    <mergeCell ref="C26:C29"/>
    <mergeCell ref="A30:A33"/>
    <mergeCell ref="B30:B33"/>
    <mergeCell ref="C30:C33"/>
    <mergeCell ref="A18:A21"/>
    <mergeCell ref="B18:B21"/>
    <mergeCell ref="C18:C21"/>
    <mergeCell ref="A22:A25"/>
    <mergeCell ref="B22:B25"/>
    <mergeCell ref="C22:C25"/>
    <mergeCell ref="A10:A13"/>
    <mergeCell ref="B10:B13"/>
    <mergeCell ref="C10:C13"/>
    <mergeCell ref="A14:A17"/>
    <mergeCell ref="B14:B17"/>
    <mergeCell ref="C14:C17"/>
    <mergeCell ref="A2:A5"/>
    <mergeCell ref="B2:B5"/>
    <mergeCell ref="C2:C5"/>
    <mergeCell ref="A6:A9"/>
    <mergeCell ref="B6:B9"/>
    <mergeCell ref="C6:C9"/>
  </mergeCells>
  <phoneticPr fontId="1" type="noConversion"/>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A15B8-1277-4F72-917C-F97709886D00}">
  <dimension ref="A2:A4"/>
  <sheetViews>
    <sheetView topLeftCell="O112" workbookViewId="0">
      <selection activeCell="T42" sqref="T42"/>
    </sheetView>
  </sheetViews>
  <sheetFormatPr defaultRowHeight="15"/>
  <sheetData>
    <row r="2" spans="1:1">
      <c r="A2" t="s">
        <v>187</v>
      </c>
    </row>
    <row r="3" spans="1:1">
      <c r="A3" t="s">
        <v>193</v>
      </c>
    </row>
    <row r="4" spans="1:1">
      <c r="A4" s="70" t="s">
        <v>188</v>
      </c>
    </row>
  </sheetData>
  <phoneticPr fontId="1" type="noConversion"/>
  <hyperlinks>
    <hyperlink ref="A4" r:id="rId1" display="https://www.tesla.com/gigafactory" xr:uid="{40C99813-EF5C-4E29-B738-5DFA8BB82C11}"/>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D5710-6F41-418B-ABF5-343EF8F8C9FB}">
  <dimension ref="A1:G154"/>
  <sheetViews>
    <sheetView topLeftCell="A145" workbookViewId="0">
      <selection activeCell="A2" sqref="A2"/>
    </sheetView>
  </sheetViews>
  <sheetFormatPr defaultRowHeight="15"/>
  <cols>
    <col min="1" max="1" width="12.5703125" bestFit="1" customWidth="1"/>
    <col min="2" max="2" width="7.5703125" bestFit="1" customWidth="1"/>
    <col min="3" max="3" width="8.5703125" bestFit="1" customWidth="1"/>
  </cols>
  <sheetData>
    <row r="1" spans="1:7">
      <c r="A1" s="243" t="s">
        <v>363</v>
      </c>
      <c r="B1" s="243"/>
      <c r="C1" s="243"/>
      <c r="D1" s="243"/>
      <c r="E1" s="243"/>
      <c r="F1" s="243"/>
      <c r="G1" s="243"/>
    </row>
    <row r="6" spans="1:7" ht="30.75" thickBot="1">
      <c r="A6" s="72" t="s">
        <v>199</v>
      </c>
      <c r="B6" s="73" t="s">
        <v>4</v>
      </c>
      <c r="C6" s="73" t="s">
        <v>5</v>
      </c>
      <c r="D6" s="210"/>
      <c r="E6" s="75" t="s">
        <v>200</v>
      </c>
      <c r="F6" s="76"/>
      <c r="G6" s="76"/>
    </row>
    <row r="7" spans="1:7" ht="15" customHeight="1">
      <c r="A7" s="77" t="s">
        <v>201</v>
      </c>
      <c r="B7" s="78">
        <v>1.1000000000000001</v>
      </c>
      <c r="C7" s="78">
        <v>1.2</v>
      </c>
      <c r="D7" s="210"/>
      <c r="E7" s="258" t="s">
        <v>202</v>
      </c>
      <c r="F7" s="258"/>
      <c r="G7" s="258"/>
    </row>
    <row r="8" spans="1:7" ht="45.75" thickBot="1">
      <c r="A8" s="77" t="s">
        <v>364</v>
      </c>
      <c r="B8" s="79">
        <v>5.8999999999999997E-2</v>
      </c>
      <c r="C8" s="79">
        <v>5.8999999999999997E-2</v>
      </c>
      <c r="D8" s="210"/>
      <c r="E8" s="259" t="s">
        <v>203</v>
      </c>
      <c r="F8" s="259"/>
      <c r="G8" s="259"/>
    </row>
    <row r="9" spans="1:7" ht="45">
      <c r="A9" s="77" t="s">
        <v>204</v>
      </c>
      <c r="B9" s="80">
        <v>6.5000000000000002E-2</v>
      </c>
      <c r="C9" s="80">
        <v>7.0999999999999994E-2</v>
      </c>
      <c r="D9" s="210"/>
      <c r="E9" s="210"/>
      <c r="F9" s="210"/>
      <c r="G9" s="210"/>
    </row>
    <row r="10" spans="1:7">
      <c r="A10" s="210"/>
      <c r="B10" s="210"/>
      <c r="C10" s="210"/>
      <c r="D10" s="210"/>
      <c r="E10" s="210"/>
      <c r="F10" s="210"/>
      <c r="G10" s="210"/>
    </row>
    <row r="11" spans="1:7" ht="30">
      <c r="A11" s="77" t="s">
        <v>205</v>
      </c>
      <c r="B11" s="81">
        <v>0.04</v>
      </c>
      <c r="C11" s="81">
        <v>4.3499999999999997E-2</v>
      </c>
      <c r="D11" s="210"/>
      <c r="E11" s="259" t="s">
        <v>203</v>
      </c>
      <c r="F11" s="259"/>
      <c r="G11" s="259"/>
    </row>
    <row r="12" spans="1:7" ht="45">
      <c r="A12" s="77" t="s">
        <v>206</v>
      </c>
      <c r="B12" s="81">
        <v>1.2999999999999999E-3</v>
      </c>
      <c r="C12" s="81">
        <v>2.5000000000000001E-3</v>
      </c>
      <c r="D12" s="210"/>
      <c r="E12" s="204" t="s">
        <v>365</v>
      </c>
      <c r="F12" s="210"/>
      <c r="G12" s="210"/>
    </row>
    <row r="13" spans="1:7" ht="15.75" thickBot="1">
      <c r="A13" s="210"/>
      <c r="B13" s="210"/>
      <c r="C13" s="210"/>
      <c r="D13" s="210"/>
      <c r="E13" s="210"/>
      <c r="F13" s="210"/>
      <c r="G13" s="210"/>
    </row>
    <row r="14" spans="1:7" ht="30.75" thickBot="1">
      <c r="A14" s="82" t="s">
        <v>199</v>
      </c>
      <c r="B14" s="83">
        <v>0.1075</v>
      </c>
      <c r="C14" s="84">
        <v>0.11749999999999999</v>
      </c>
    </row>
    <row r="18" spans="1:7" ht="30.75" customHeight="1" thickBot="1">
      <c r="A18" s="85" t="s">
        <v>207</v>
      </c>
      <c r="B18" s="210"/>
      <c r="C18" s="107">
        <v>43435</v>
      </c>
      <c r="D18" s="108">
        <v>43800</v>
      </c>
      <c r="E18" s="107">
        <v>44166</v>
      </c>
      <c r="F18" s="108">
        <v>44531</v>
      </c>
      <c r="G18" s="107">
        <v>44896</v>
      </c>
    </row>
    <row r="19" spans="1:7">
      <c r="A19" s="210"/>
      <c r="B19" s="210"/>
      <c r="C19" s="87" t="s">
        <v>209</v>
      </c>
      <c r="D19" s="86" t="s">
        <v>210</v>
      </c>
      <c r="E19" s="87" t="s">
        <v>211</v>
      </c>
      <c r="F19" s="86" t="s">
        <v>212</v>
      </c>
      <c r="G19" s="87" t="s">
        <v>213</v>
      </c>
    </row>
    <row r="20" spans="1:7">
      <c r="A20" s="210"/>
      <c r="B20" s="210"/>
      <c r="C20" s="109"/>
      <c r="D20" s="210"/>
      <c r="E20" s="109"/>
      <c r="F20" s="210"/>
      <c r="G20" s="109"/>
    </row>
    <row r="21" spans="1:7" ht="30">
      <c r="A21" s="77" t="s">
        <v>221</v>
      </c>
      <c r="B21" s="77" t="s">
        <v>222</v>
      </c>
      <c r="C21" s="90">
        <v>653</v>
      </c>
      <c r="D21" s="91">
        <v>725</v>
      </c>
      <c r="E21" s="90">
        <v>748</v>
      </c>
      <c r="F21" s="91">
        <v>371</v>
      </c>
      <c r="G21" s="90">
        <v>191</v>
      </c>
    </row>
    <row r="22" spans="1:7" ht="30">
      <c r="A22" s="77" t="s">
        <v>223</v>
      </c>
      <c r="B22" s="77" t="s">
        <v>224</v>
      </c>
      <c r="C22" s="92">
        <v>13828</v>
      </c>
      <c r="D22" s="93">
        <v>14576</v>
      </c>
      <c r="E22" s="92">
        <v>13337</v>
      </c>
      <c r="F22" s="93">
        <v>8873</v>
      </c>
      <c r="G22" s="92">
        <v>5748</v>
      </c>
    </row>
    <row r="23" spans="1:7">
      <c r="A23" s="210"/>
      <c r="B23" s="210"/>
      <c r="C23" s="88"/>
      <c r="D23" s="210"/>
      <c r="E23" s="94"/>
      <c r="F23" s="210"/>
      <c r="G23" s="94"/>
    </row>
    <row r="24" spans="1:7" ht="30">
      <c r="A24" s="95" t="s">
        <v>220</v>
      </c>
      <c r="B24" s="210"/>
      <c r="C24" s="110"/>
      <c r="D24" s="97">
        <v>5.0999999999999997E-2</v>
      </c>
      <c r="E24" s="96">
        <v>5.3999999999999999E-2</v>
      </c>
      <c r="F24" s="97">
        <v>3.3000000000000002E-2</v>
      </c>
      <c r="G24" s="96">
        <v>2.5999999999999999E-2</v>
      </c>
    </row>
    <row r="25" spans="1:7" ht="15.75" thickBot="1">
      <c r="A25" s="210"/>
      <c r="B25" s="210"/>
      <c r="C25" s="210"/>
      <c r="D25" s="210"/>
      <c r="E25" s="210"/>
      <c r="F25" s="210"/>
      <c r="G25" s="210"/>
    </row>
    <row r="26" spans="1:7" ht="45.75" thickBot="1">
      <c r="A26" s="111" t="s">
        <v>225</v>
      </c>
      <c r="B26" s="84">
        <v>3.7999999999999999E-2</v>
      </c>
    </row>
    <row r="27" spans="1:7">
      <c r="A27" s="98"/>
      <c r="B27" s="74"/>
      <c r="C27" s="99"/>
      <c r="D27" s="74"/>
      <c r="E27" s="74"/>
      <c r="F27" s="74"/>
      <c r="G27" s="74"/>
    </row>
    <row r="28" spans="1:7" ht="15.75" thickBot="1">
      <c r="A28" s="74"/>
      <c r="B28" s="74"/>
      <c r="C28" s="74"/>
      <c r="D28" s="74"/>
      <c r="E28" s="74"/>
      <c r="F28" s="74"/>
      <c r="G28" s="74"/>
    </row>
    <row r="29" spans="1:7" ht="15.75" thickBot="1">
      <c r="A29" s="82"/>
      <c r="B29" s="100"/>
      <c r="C29" s="101"/>
      <c r="D29" s="74"/>
      <c r="E29" s="74"/>
    </row>
    <row r="34" spans="1:7" ht="30.75" thickBot="1">
      <c r="A34" s="89" t="s">
        <v>214</v>
      </c>
      <c r="B34" s="210"/>
      <c r="C34" s="210"/>
      <c r="D34" s="210"/>
      <c r="E34" s="75" t="s">
        <v>200</v>
      </c>
      <c r="F34" s="76"/>
      <c r="G34" s="76"/>
    </row>
    <row r="35" spans="1:7">
      <c r="A35" s="210"/>
      <c r="B35" s="210"/>
      <c r="C35" s="210"/>
      <c r="D35" s="210"/>
      <c r="E35" s="210"/>
      <c r="F35" s="210"/>
      <c r="G35" s="210"/>
    </row>
    <row r="36" spans="1:7" ht="45" customHeight="1">
      <c r="A36" s="77" t="s">
        <v>387</v>
      </c>
      <c r="B36" s="80">
        <v>3.7999999999999999E-2</v>
      </c>
      <c r="C36" s="210"/>
      <c r="D36" s="210"/>
      <c r="E36" s="260" t="s">
        <v>215</v>
      </c>
      <c r="F36" s="260"/>
      <c r="G36" s="260"/>
    </row>
    <row r="37" spans="1:7" ht="45" customHeight="1">
      <c r="A37" s="210"/>
      <c r="B37" s="210"/>
      <c r="C37" s="210"/>
      <c r="D37" s="210"/>
      <c r="E37" s="210"/>
      <c r="F37" s="210"/>
      <c r="G37" s="210"/>
    </row>
    <row r="38" spans="1:7">
      <c r="A38" s="210"/>
      <c r="B38" s="210"/>
      <c r="C38" s="210"/>
      <c r="D38" s="210"/>
      <c r="E38" s="210"/>
      <c r="F38" s="210"/>
      <c r="G38" s="210"/>
    </row>
    <row r="39" spans="1:7" ht="15.75" thickBot="1">
      <c r="A39" s="72" t="s">
        <v>216</v>
      </c>
      <c r="B39" s="73" t="s">
        <v>4</v>
      </c>
      <c r="C39" s="73" t="s">
        <v>5</v>
      </c>
      <c r="D39" s="210"/>
      <c r="E39" s="210"/>
      <c r="F39" s="210"/>
      <c r="G39" s="210"/>
    </row>
    <row r="40" spans="1:7" ht="30">
      <c r="A40" s="89" t="s">
        <v>217</v>
      </c>
      <c r="B40" s="102">
        <v>7.0000000000000007E-2</v>
      </c>
      <c r="C40" s="102">
        <v>7.4999999999999997E-2</v>
      </c>
      <c r="D40" s="210"/>
      <c r="E40" s="210"/>
      <c r="F40" s="210"/>
      <c r="G40" s="210"/>
    </row>
    <row r="41" spans="1:7" ht="15.75" thickBot="1">
      <c r="A41" s="77" t="s">
        <v>218</v>
      </c>
      <c r="B41" s="103">
        <v>0.15</v>
      </c>
      <c r="C41" s="103">
        <v>0.15</v>
      </c>
      <c r="D41" s="210"/>
      <c r="E41" s="210"/>
      <c r="F41" s="210"/>
      <c r="G41" s="210"/>
    </row>
    <row r="42" spans="1:7" ht="15.75" customHeight="1" thickBot="1">
      <c r="A42" s="210"/>
      <c r="B42" s="210"/>
      <c r="C42" s="210"/>
      <c r="D42" s="210"/>
      <c r="E42" s="210"/>
      <c r="F42" s="210"/>
      <c r="G42" s="210"/>
    </row>
    <row r="43" spans="1:7" ht="45.75" thickBot="1">
      <c r="A43" s="82" t="s">
        <v>219</v>
      </c>
      <c r="B43" s="83">
        <v>5.9499999999999997E-2</v>
      </c>
      <c r="C43" s="84">
        <v>6.3799999999999996E-2</v>
      </c>
    </row>
    <row r="44" spans="1:7" ht="15.75" thickBot="1">
      <c r="A44" s="82"/>
      <c r="B44" s="83"/>
      <c r="C44" s="84"/>
    </row>
    <row r="51" spans="1:7">
      <c r="A51" s="104"/>
      <c r="B51" s="104"/>
      <c r="C51" s="104"/>
      <c r="D51" s="104"/>
      <c r="E51" s="104"/>
      <c r="F51" s="104"/>
      <c r="G51" s="104"/>
    </row>
    <row r="52" spans="1:7" ht="30">
      <c r="A52" s="105" t="s">
        <v>220</v>
      </c>
      <c r="B52" s="106"/>
      <c r="C52" s="106"/>
      <c r="D52" s="106"/>
      <c r="E52" s="106"/>
      <c r="F52" s="106"/>
      <c r="G52" s="106"/>
    </row>
    <row r="53" spans="1:7">
      <c r="A53" s="210"/>
      <c r="B53" s="210"/>
      <c r="C53" s="210"/>
      <c r="D53" s="210"/>
      <c r="E53" s="210"/>
      <c r="F53" s="210"/>
      <c r="G53" s="210"/>
    </row>
    <row r="54" spans="1:7" ht="15.75" customHeight="1" thickBot="1">
      <c r="A54" s="210"/>
      <c r="B54" s="210"/>
      <c r="C54" s="257" t="s">
        <v>208</v>
      </c>
      <c r="D54" s="257"/>
      <c r="E54" s="257"/>
      <c r="F54" s="257"/>
      <c r="G54" s="257"/>
    </row>
    <row r="55" spans="1:7" ht="30.75" thickBot="1">
      <c r="A55" s="85" t="s">
        <v>207</v>
      </c>
      <c r="B55" s="210"/>
      <c r="C55" s="107">
        <v>43435</v>
      </c>
      <c r="D55" s="108">
        <v>43800</v>
      </c>
      <c r="E55" s="107">
        <v>44166</v>
      </c>
      <c r="F55" s="108">
        <v>44531</v>
      </c>
      <c r="G55" s="107">
        <v>44896</v>
      </c>
    </row>
    <row r="56" spans="1:7">
      <c r="A56" s="210"/>
      <c r="B56" s="210"/>
      <c r="C56" s="87" t="s">
        <v>209</v>
      </c>
      <c r="D56" s="86" t="s">
        <v>210</v>
      </c>
      <c r="E56" s="87" t="s">
        <v>211</v>
      </c>
      <c r="F56" s="86" t="s">
        <v>212</v>
      </c>
      <c r="G56" s="87" t="s">
        <v>213</v>
      </c>
    </row>
    <row r="57" spans="1:7">
      <c r="A57" s="210"/>
      <c r="B57" s="210"/>
      <c r="C57" s="109"/>
      <c r="D57" s="210"/>
      <c r="E57" s="109"/>
      <c r="F57" s="210"/>
      <c r="G57" s="109"/>
    </row>
    <row r="58" spans="1:7" ht="30">
      <c r="A58" s="77" t="s">
        <v>221</v>
      </c>
      <c r="B58" s="77" t="s">
        <v>222</v>
      </c>
      <c r="C58" s="90">
        <v>653</v>
      </c>
      <c r="D58" s="91">
        <v>725</v>
      </c>
      <c r="E58" s="90">
        <v>748</v>
      </c>
      <c r="F58" s="91">
        <v>371</v>
      </c>
      <c r="G58" s="90">
        <v>191</v>
      </c>
    </row>
    <row r="59" spans="1:7" ht="30">
      <c r="A59" s="77" t="s">
        <v>223</v>
      </c>
      <c r="B59" s="77" t="s">
        <v>224</v>
      </c>
      <c r="C59" s="92">
        <v>13828</v>
      </c>
      <c r="D59" s="93">
        <v>14576</v>
      </c>
      <c r="E59" s="92">
        <v>13337</v>
      </c>
      <c r="F59" s="93">
        <v>8873</v>
      </c>
      <c r="G59" s="92">
        <v>5748</v>
      </c>
    </row>
    <row r="60" spans="1:7">
      <c r="A60" s="210"/>
      <c r="B60" s="210"/>
      <c r="C60" s="88"/>
      <c r="D60" s="210"/>
      <c r="E60" s="94"/>
      <c r="F60" s="210"/>
      <c r="G60" s="94"/>
    </row>
    <row r="61" spans="1:7" ht="30">
      <c r="A61" s="95" t="s">
        <v>220</v>
      </c>
      <c r="B61" s="210"/>
      <c r="C61" s="110"/>
      <c r="D61" s="97">
        <v>5.0999999999999997E-2</v>
      </c>
      <c r="E61" s="96">
        <v>5.3999999999999999E-2</v>
      </c>
      <c r="F61" s="97">
        <v>3.3000000000000002E-2</v>
      </c>
      <c r="G61" s="96">
        <v>2.5999999999999999E-2</v>
      </c>
    </row>
    <row r="62" spans="1:7" ht="15.75" thickBot="1">
      <c r="A62" s="210"/>
      <c r="B62" s="210"/>
      <c r="C62" s="210"/>
      <c r="D62" s="210"/>
      <c r="E62" s="210"/>
      <c r="F62" s="210"/>
      <c r="G62" s="210"/>
    </row>
    <row r="63" spans="1:7" ht="45.75" thickBot="1">
      <c r="A63" s="111" t="s">
        <v>225</v>
      </c>
      <c r="B63" s="84">
        <v>3.7999999999999999E-2</v>
      </c>
      <c r="C63" s="210"/>
    </row>
    <row r="70" spans="1:7" ht="49.5">
      <c r="A70" s="112" t="s">
        <v>226</v>
      </c>
      <c r="B70" s="211"/>
      <c r="C70" s="211"/>
      <c r="D70" s="211"/>
      <c r="E70" s="211"/>
      <c r="F70" s="211"/>
      <c r="G70" s="211"/>
    </row>
    <row r="71" spans="1:7" ht="15.75" thickBot="1">
      <c r="A71" s="210"/>
      <c r="B71" s="210"/>
      <c r="C71" s="210"/>
      <c r="D71" s="210"/>
      <c r="E71" s="210"/>
      <c r="F71" s="210"/>
      <c r="G71" s="210"/>
    </row>
    <row r="72" spans="1:7" ht="45.75" thickBot="1">
      <c r="A72" s="114" t="s">
        <v>227</v>
      </c>
      <c r="B72" s="115" t="s">
        <v>228</v>
      </c>
      <c r="C72" s="116" t="s">
        <v>229</v>
      </c>
      <c r="D72" s="115" t="s">
        <v>388</v>
      </c>
      <c r="E72" s="116" t="s">
        <v>230</v>
      </c>
      <c r="F72" s="117" t="s">
        <v>389</v>
      </c>
      <c r="G72" s="210"/>
    </row>
    <row r="73" spans="1:7" ht="30">
      <c r="A73" s="118" t="s">
        <v>367</v>
      </c>
      <c r="B73" s="91">
        <v>1</v>
      </c>
      <c r="C73" s="119">
        <v>0.124</v>
      </c>
      <c r="D73" s="80">
        <v>0.14000000000000001</v>
      </c>
      <c r="E73" s="90">
        <v>0.89</v>
      </c>
      <c r="F73" s="120">
        <v>0.93</v>
      </c>
      <c r="G73" s="210"/>
    </row>
    <row r="74" spans="1:7" ht="30">
      <c r="A74" s="118" t="s">
        <v>231</v>
      </c>
      <c r="B74" s="91">
        <v>1.26</v>
      </c>
      <c r="C74" s="119">
        <v>0.13400000000000001</v>
      </c>
      <c r="D74" s="80">
        <v>0.13</v>
      </c>
      <c r="E74" s="90">
        <v>1.1100000000000001</v>
      </c>
      <c r="F74" s="120">
        <v>1.08</v>
      </c>
      <c r="G74" s="210"/>
    </row>
    <row r="75" spans="1:7">
      <c r="A75" s="118" t="s">
        <v>373</v>
      </c>
      <c r="B75" s="91">
        <v>1.3</v>
      </c>
      <c r="C75" s="119">
        <v>4.1000000000000002E-2</v>
      </c>
      <c r="D75" s="80">
        <v>0.16</v>
      </c>
      <c r="E75" s="90">
        <v>1.25</v>
      </c>
      <c r="F75" s="120">
        <v>1.17</v>
      </c>
      <c r="G75" s="210"/>
    </row>
    <row r="76" spans="1:7" ht="30">
      <c r="A76" s="118" t="s">
        <v>377</v>
      </c>
      <c r="B76" s="91">
        <v>1.44</v>
      </c>
      <c r="C76" s="119">
        <v>0.39700000000000002</v>
      </c>
      <c r="D76" s="80">
        <v>0.14000000000000001</v>
      </c>
      <c r="E76" s="90">
        <v>0.92</v>
      </c>
      <c r="F76" s="120">
        <v>0.94</v>
      </c>
      <c r="G76" s="210"/>
    </row>
    <row r="77" spans="1:7" ht="45.75" thickBot="1">
      <c r="A77" s="118" t="s">
        <v>381</v>
      </c>
      <c r="B77" s="91">
        <v>1.36</v>
      </c>
      <c r="C77" s="119">
        <v>0.32600000000000001</v>
      </c>
      <c r="D77" s="80">
        <v>0.38</v>
      </c>
      <c r="E77" s="90">
        <v>1.05</v>
      </c>
      <c r="F77" s="120">
        <v>1.03</v>
      </c>
      <c r="G77" s="210"/>
    </row>
    <row r="78" spans="1:7" ht="30.75" thickBot="1">
      <c r="A78" s="111" t="s">
        <v>232</v>
      </c>
      <c r="B78" s="121">
        <v>2.0099999999999998</v>
      </c>
      <c r="C78" s="83">
        <v>5.0000000000000001E-3</v>
      </c>
      <c r="D78" s="83">
        <v>0.15</v>
      </c>
      <c r="E78" s="121">
        <v>2</v>
      </c>
      <c r="F78" s="122">
        <v>1.67</v>
      </c>
      <c r="G78" s="210"/>
    </row>
    <row r="79" spans="1:7">
      <c r="A79" s="210"/>
      <c r="B79" s="210"/>
      <c r="C79" s="210"/>
      <c r="D79" s="210"/>
      <c r="E79" s="210"/>
      <c r="F79" s="210"/>
      <c r="G79" s="210"/>
    </row>
    <row r="80" spans="1:7">
      <c r="A80" s="89" t="s">
        <v>233</v>
      </c>
      <c r="B80" s="123">
        <v>1.39</v>
      </c>
      <c r="C80" s="124">
        <v>0.17100000000000001</v>
      </c>
      <c r="D80" s="124">
        <v>0.183</v>
      </c>
      <c r="E80" s="123">
        <v>1.2</v>
      </c>
      <c r="F80" s="123">
        <v>1.1399999999999999</v>
      </c>
      <c r="G80" s="210"/>
    </row>
    <row r="81" spans="1:7">
      <c r="A81" s="210"/>
      <c r="B81" s="210"/>
      <c r="C81" s="210"/>
      <c r="D81" s="210"/>
      <c r="E81" s="210"/>
      <c r="F81" s="210"/>
      <c r="G81" s="210"/>
    </row>
    <row r="82" spans="1:7">
      <c r="A82" s="210"/>
      <c r="B82" s="210"/>
      <c r="C82" s="210"/>
      <c r="D82" s="210"/>
      <c r="E82" s="210"/>
      <c r="F82" s="210"/>
      <c r="G82" s="210"/>
    </row>
    <row r="83" spans="1:7" ht="15.75" thickBot="1">
      <c r="A83" s="210"/>
      <c r="B83" s="73" t="s">
        <v>4</v>
      </c>
      <c r="C83" s="73" t="s">
        <v>5</v>
      </c>
      <c r="D83" s="210"/>
      <c r="E83" s="210"/>
      <c r="F83" s="210"/>
      <c r="G83" s="210"/>
    </row>
    <row r="84" spans="1:7" ht="30">
      <c r="A84" s="77" t="s">
        <v>234</v>
      </c>
      <c r="B84" s="125">
        <v>1.1000000000000001</v>
      </c>
      <c r="C84" s="125">
        <v>1.2</v>
      </c>
      <c r="D84" s="210"/>
      <c r="E84" s="210"/>
      <c r="F84" s="210"/>
      <c r="G84" s="210"/>
    </row>
    <row r="85" spans="1:7" ht="30">
      <c r="A85" s="77" t="s">
        <v>235</v>
      </c>
      <c r="B85" s="80">
        <v>0</v>
      </c>
      <c r="C85" s="80">
        <v>0</v>
      </c>
      <c r="D85" s="210"/>
      <c r="E85" s="210"/>
      <c r="F85" s="210"/>
      <c r="G85" s="210"/>
    </row>
    <row r="86" spans="1:7" ht="30">
      <c r="A86" s="77" t="s">
        <v>236</v>
      </c>
      <c r="B86" s="80">
        <v>1</v>
      </c>
      <c r="C86" s="80">
        <v>1</v>
      </c>
      <c r="D86" s="210"/>
      <c r="E86" s="210"/>
      <c r="F86" s="210"/>
      <c r="G86" s="210"/>
    </row>
    <row r="87" spans="1:7">
      <c r="A87" s="77" t="s">
        <v>218</v>
      </c>
      <c r="B87" s="80">
        <v>0.15</v>
      </c>
      <c r="C87" s="80">
        <v>0.15</v>
      </c>
      <c r="D87" s="210"/>
      <c r="E87" s="210"/>
      <c r="F87" s="210"/>
      <c r="G87" s="210"/>
    </row>
    <row r="88" spans="1:7" ht="15.75" thickBot="1">
      <c r="A88" s="210"/>
      <c r="B88" s="210"/>
      <c r="C88" s="210"/>
      <c r="D88" s="210"/>
      <c r="E88" s="210"/>
      <c r="F88" s="210"/>
      <c r="G88" s="210"/>
    </row>
    <row r="89" spans="1:7" ht="30.75" thickBot="1">
      <c r="A89" s="82" t="s">
        <v>237</v>
      </c>
      <c r="B89" s="126">
        <v>1.1000000000000001</v>
      </c>
      <c r="C89" s="127">
        <v>1.2</v>
      </c>
    </row>
    <row r="95" spans="1:7" ht="16.5">
      <c r="A95" s="105"/>
      <c r="B95" s="113"/>
      <c r="C95" s="113"/>
      <c r="D95" s="113"/>
      <c r="E95" s="113"/>
      <c r="F95" s="113"/>
      <c r="G95" s="113"/>
    </row>
    <row r="96" spans="1:7">
      <c r="A96" s="74"/>
      <c r="B96" s="74"/>
      <c r="C96" s="74"/>
      <c r="D96" s="74"/>
      <c r="E96" s="74"/>
      <c r="F96" s="74"/>
      <c r="G96" s="74"/>
    </row>
    <row r="97" spans="1:7" ht="15.75" thickBot="1">
      <c r="A97" s="74"/>
      <c r="B97" s="74"/>
      <c r="C97" s="261"/>
      <c r="D97" s="261"/>
      <c r="E97" s="261"/>
      <c r="F97" s="261"/>
      <c r="G97" s="261"/>
    </row>
    <row r="98" spans="1:7" ht="15.75" thickBot="1">
      <c r="A98" s="85"/>
      <c r="B98" s="74"/>
      <c r="C98" s="107"/>
      <c r="D98" s="108"/>
      <c r="E98" s="107"/>
      <c r="F98" s="108"/>
      <c r="G98" s="107"/>
    </row>
    <row r="99" spans="1:7">
      <c r="A99" s="74"/>
      <c r="B99" s="74"/>
      <c r="C99" s="109"/>
      <c r="D99" s="74"/>
      <c r="E99" s="94"/>
      <c r="F99" s="74"/>
      <c r="G99" s="109"/>
    </row>
    <row r="100" spans="1:7">
      <c r="A100" s="77"/>
      <c r="B100" s="74"/>
      <c r="C100" s="90"/>
      <c r="D100" s="91"/>
      <c r="E100" s="90"/>
      <c r="F100" s="91"/>
      <c r="G100" s="90"/>
    </row>
    <row r="101" spans="1:7">
      <c r="A101" s="77"/>
      <c r="B101" s="77"/>
      <c r="C101" s="90"/>
      <c r="D101" s="91"/>
      <c r="E101" s="92"/>
      <c r="F101" s="91"/>
      <c r="G101" s="90"/>
    </row>
    <row r="102" spans="1:7">
      <c r="A102" s="74"/>
      <c r="B102" s="74"/>
      <c r="C102" s="109"/>
      <c r="D102" s="74"/>
      <c r="E102" s="94"/>
      <c r="F102" s="74"/>
      <c r="G102" s="109"/>
    </row>
    <row r="103" spans="1:7">
      <c r="A103" s="74"/>
      <c r="B103" s="74"/>
      <c r="C103" s="94"/>
      <c r="D103" s="128"/>
      <c r="E103" s="94"/>
      <c r="F103" s="128"/>
      <c r="G103" s="94"/>
    </row>
    <row r="104" spans="1:7">
      <c r="A104" s="74"/>
      <c r="B104" s="74"/>
      <c r="C104" s="74"/>
      <c r="D104" s="74"/>
      <c r="E104" s="74"/>
      <c r="F104" s="74"/>
      <c r="G104" s="74"/>
    </row>
    <row r="105" spans="1:7" ht="15.75" thickBot="1">
      <c r="A105" s="74"/>
      <c r="B105" s="74"/>
      <c r="C105" s="74"/>
      <c r="D105" s="74"/>
      <c r="E105" s="74"/>
      <c r="F105" s="74"/>
      <c r="G105" s="74"/>
    </row>
    <row r="106" spans="1:7" ht="15.75" thickBot="1">
      <c r="A106" s="72"/>
      <c r="B106" s="74"/>
      <c r="C106" s="74"/>
      <c r="D106" s="129"/>
      <c r="E106" s="262"/>
      <c r="F106" s="262"/>
      <c r="G106" s="130"/>
    </row>
    <row r="107" spans="1:7">
      <c r="A107" s="118"/>
      <c r="B107" s="128"/>
      <c r="C107" s="131"/>
      <c r="D107" s="132"/>
      <c r="E107" s="263"/>
      <c r="F107" s="263"/>
      <c r="G107" s="133"/>
    </row>
    <row r="108" spans="1:7">
      <c r="A108" s="74"/>
      <c r="B108" s="74"/>
      <c r="C108" s="134"/>
      <c r="D108" s="132"/>
      <c r="E108" s="256"/>
      <c r="F108" s="256"/>
      <c r="G108" s="133"/>
    </row>
    <row r="109" spans="1:7">
      <c r="A109" s="118"/>
      <c r="B109" s="80"/>
      <c r="C109" s="134"/>
      <c r="D109" s="132"/>
      <c r="E109" s="256"/>
      <c r="F109" s="256"/>
      <c r="G109" s="133"/>
    </row>
    <row r="110" spans="1:7">
      <c r="A110" s="118"/>
      <c r="B110" s="80"/>
      <c r="C110" s="134"/>
      <c r="D110" s="132"/>
      <c r="E110" s="256"/>
      <c r="F110" s="256"/>
      <c r="G110" s="133"/>
    </row>
    <row r="111" spans="1:7" ht="15.75" thickBot="1">
      <c r="A111" s="74"/>
      <c r="B111" s="74"/>
      <c r="C111" s="74"/>
      <c r="D111" s="135"/>
      <c r="E111" s="74"/>
      <c r="F111" s="74"/>
      <c r="G111" s="136"/>
    </row>
    <row r="112" spans="1:7" ht="15.75" thickBot="1">
      <c r="A112" s="137"/>
      <c r="B112" s="138"/>
    </row>
    <row r="118" spans="1:7" ht="49.5">
      <c r="A118" s="112" t="s">
        <v>238</v>
      </c>
      <c r="B118" s="211"/>
      <c r="C118" s="211"/>
      <c r="D118" s="211"/>
      <c r="E118" s="211"/>
      <c r="F118" s="211"/>
      <c r="G118" s="211"/>
    </row>
    <row r="119" spans="1:7">
      <c r="A119" s="210"/>
      <c r="B119" s="210"/>
      <c r="C119" s="210"/>
      <c r="D119" s="210"/>
      <c r="E119" s="210"/>
      <c r="F119" s="210"/>
      <c r="G119" s="210"/>
    </row>
    <row r="120" spans="1:7" ht="30">
      <c r="A120" s="85" t="s">
        <v>207</v>
      </c>
      <c r="B120" s="210"/>
      <c r="C120" s="210"/>
      <c r="D120" s="210"/>
      <c r="E120" s="210"/>
      <c r="F120" s="210"/>
      <c r="G120" s="210"/>
    </row>
    <row r="121" spans="1:7" ht="15.75" thickBot="1">
      <c r="A121" s="210"/>
      <c r="B121" s="210"/>
      <c r="C121" s="210"/>
      <c r="D121" s="210"/>
      <c r="E121" s="210"/>
      <c r="F121" s="210"/>
      <c r="G121" s="210"/>
    </row>
    <row r="122" spans="1:7" ht="30.75" thickBot="1">
      <c r="A122" s="114" t="s">
        <v>227</v>
      </c>
      <c r="B122" s="114"/>
      <c r="C122" s="115" t="s">
        <v>239</v>
      </c>
      <c r="D122" s="115" t="s">
        <v>240</v>
      </c>
      <c r="E122" s="117" t="s">
        <v>366</v>
      </c>
      <c r="F122" s="210"/>
      <c r="G122" s="210"/>
    </row>
    <row r="123" spans="1:7" ht="45">
      <c r="A123" s="118" t="s">
        <v>367</v>
      </c>
      <c r="B123" s="118" t="s">
        <v>368</v>
      </c>
      <c r="C123" s="91" t="s">
        <v>369</v>
      </c>
      <c r="D123" s="91" t="s">
        <v>370</v>
      </c>
      <c r="E123" s="139">
        <v>0.124</v>
      </c>
      <c r="F123" s="210"/>
      <c r="G123" s="210"/>
    </row>
    <row r="124" spans="1:7" ht="45">
      <c r="A124" s="118" t="s">
        <v>231</v>
      </c>
      <c r="B124" s="118" t="s">
        <v>241</v>
      </c>
      <c r="C124" s="91" t="s">
        <v>371</v>
      </c>
      <c r="D124" s="91" t="s">
        <v>372</v>
      </c>
      <c r="E124" s="139">
        <v>0.13400000000000001</v>
      </c>
      <c r="F124" s="210"/>
      <c r="G124" s="210"/>
    </row>
    <row r="125" spans="1:7" ht="45">
      <c r="A125" s="118" t="s">
        <v>373</v>
      </c>
      <c r="B125" s="118" t="s">
        <v>374</v>
      </c>
      <c r="C125" s="91" t="s">
        <v>375</v>
      </c>
      <c r="D125" s="91" t="s">
        <v>376</v>
      </c>
      <c r="E125" s="139">
        <v>4.1000000000000002E-2</v>
      </c>
      <c r="F125" s="210"/>
      <c r="G125" s="210"/>
    </row>
    <row r="126" spans="1:7" ht="45">
      <c r="A126" s="118" t="s">
        <v>377</v>
      </c>
      <c r="B126" s="118" t="s">
        <v>378</v>
      </c>
      <c r="C126" s="91" t="s">
        <v>379</v>
      </c>
      <c r="D126" s="91" t="s">
        <v>380</v>
      </c>
      <c r="E126" s="139">
        <v>0.39700000000000002</v>
      </c>
      <c r="F126" s="210"/>
      <c r="G126" s="210"/>
    </row>
    <row r="127" spans="1:7" ht="45.75" thickBot="1">
      <c r="A127" s="118" t="s">
        <v>381</v>
      </c>
      <c r="B127" s="118" t="s">
        <v>382</v>
      </c>
      <c r="C127" s="91" t="s">
        <v>383</v>
      </c>
      <c r="D127" s="91" t="s">
        <v>384</v>
      </c>
      <c r="E127" s="139">
        <v>0.32600000000000001</v>
      </c>
      <c r="F127" s="210"/>
      <c r="G127" s="210"/>
    </row>
    <row r="128" spans="1:7" ht="45.75" thickBot="1">
      <c r="A128" s="111" t="s">
        <v>242</v>
      </c>
      <c r="B128" s="140" t="s">
        <v>232</v>
      </c>
      <c r="C128" s="121" t="s">
        <v>385</v>
      </c>
      <c r="D128" s="121" t="s">
        <v>386</v>
      </c>
      <c r="E128" s="141">
        <v>5.0000000000000001E-3</v>
      </c>
      <c r="F128" s="210"/>
      <c r="G128" s="210"/>
    </row>
    <row r="129" spans="1:7">
      <c r="A129" s="210"/>
      <c r="B129" s="210"/>
      <c r="C129" s="210"/>
      <c r="D129" s="210"/>
      <c r="E129" s="210"/>
      <c r="F129" s="210"/>
      <c r="G129" s="210"/>
    </row>
    <row r="130" spans="1:7">
      <c r="A130" s="89" t="s">
        <v>233</v>
      </c>
      <c r="B130" s="210"/>
      <c r="C130" s="210"/>
      <c r="D130" s="210"/>
      <c r="E130" s="124">
        <v>0.17100000000000001</v>
      </c>
      <c r="F130" s="210"/>
      <c r="G130" s="210"/>
    </row>
    <row r="131" spans="1:7">
      <c r="A131" s="210"/>
      <c r="B131" s="210"/>
      <c r="C131" s="210"/>
      <c r="D131" s="210"/>
      <c r="E131" s="210"/>
      <c r="F131" s="210"/>
      <c r="G131" s="210"/>
    </row>
    <row r="132" spans="1:7">
      <c r="A132" s="210"/>
      <c r="B132" s="210"/>
      <c r="C132" s="210"/>
      <c r="D132" s="210"/>
      <c r="E132" s="210"/>
      <c r="F132" s="210"/>
      <c r="G132" s="210"/>
    </row>
    <row r="133" spans="1:7" ht="15.75" thickBot="1">
      <c r="A133" s="210"/>
      <c r="B133" s="73" t="s">
        <v>4</v>
      </c>
      <c r="C133" s="73" t="s">
        <v>5</v>
      </c>
      <c r="D133" s="210"/>
      <c r="E133" s="210"/>
      <c r="F133" s="210"/>
      <c r="G133" s="210"/>
    </row>
    <row r="134" spans="1:7">
      <c r="A134" s="72" t="s">
        <v>243</v>
      </c>
      <c r="B134" s="210"/>
      <c r="C134" s="210"/>
      <c r="D134" s="210"/>
      <c r="E134" s="210"/>
      <c r="F134" s="210"/>
      <c r="G134" s="210"/>
    </row>
    <row r="135" spans="1:7" ht="30">
      <c r="A135" s="77" t="s">
        <v>235</v>
      </c>
      <c r="B135" s="81">
        <v>0</v>
      </c>
      <c r="C135" s="81">
        <v>0</v>
      </c>
      <c r="D135" s="210"/>
      <c r="E135" s="210"/>
      <c r="F135" s="210"/>
      <c r="G135" s="210"/>
    </row>
    <row r="136" spans="1:7" ht="30">
      <c r="A136" s="77" t="s">
        <v>236</v>
      </c>
      <c r="B136" s="80">
        <v>1</v>
      </c>
      <c r="C136" s="80">
        <v>1</v>
      </c>
      <c r="D136" s="210"/>
    </row>
    <row r="142" spans="1:7" ht="45">
      <c r="A142" s="105" t="s">
        <v>390</v>
      </c>
      <c r="B142" s="211"/>
      <c r="C142" s="211"/>
      <c r="D142" s="211"/>
      <c r="E142" s="211"/>
      <c r="F142" s="211"/>
      <c r="G142" s="211"/>
    </row>
    <row r="143" spans="1:7">
      <c r="A143" s="210"/>
      <c r="B143" s="210"/>
      <c r="C143" s="210"/>
      <c r="D143" s="210"/>
      <c r="E143" s="210"/>
      <c r="F143" s="210"/>
      <c r="G143" s="210"/>
    </row>
    <row r="144" spans="1:7" ht="30">
      <c r="A144" s="72" t="s">
        <v>244</v>
      </c>
      <c r="B144" s="210"/>
      <c r="C144" s="210"/>
      <c r="D144" s="210"/>
      <c r="E144" s="210"/>
      <c r="F144" s="210"/>
      <c r="G144" s="210"/>
    </row>
    <row r="145" spans="1:7" ht="30">
      <c r="A145" s="142" t="s">
        <v>199</v>
      </c>
      <c r="B145" s="143">
        <v>0.1075</v>
      </c>
      <c r="C145" s="143">
        <v>0.11749999999999999</v>
      </c>
      <c r="D145" s="210"/>
      <c r="E145" s="210"/>
      <c r="F145" s="210"/>
      <c r="G145" s="210"/>
    </row>
    <row r="146" spans="1:7" ht="45">
      <c r="A146" s="142" t="s">
        <v>219</v>
      </c>
      <c r="B146" s="143">
        <v>5.9499999999999997E-2</v>
      </c>
      <c r="C146" s="143">
        <v>6.3799999999999996E-2</v>
      </c>
      <c r="D146" s="210"/>
      <c r="E146" s="210"/>
      <c r="F146" s="210"/>
      <c r="G146" s="210"/>
    </row>
    <row r="147" spans="1:7">
      <c r="A147" s="210"/>
      <c r="B147" s="210"/>
      <c r="C147" s="210"/>
      <c r="D147" s="210"/>
      <c r="E147" s="210"/>
      <c r="F147" s="210"/>
      <c r="G147" s="210"/>
    </row>
    <row r="148" spans="1:7">
      <c r="A148" s="144" t="s">
        <v>243</v>
      </c>
      <c r="B148" s="210"/>
      <c r="C148" s="210"/>
      <c r="D148" s="210"/>
      <c r="E148" s="210"/>
      <c r="F148" s="210"/>
      <c r="G148" s="210"/>
    </row>
    <row r="149" spans="1:7" ht="30">
      <c r="A149" s="142" t="s">
        <v>236</v>
      </c>
      <c r="B149" s="143">
        <v>1</v>
      </c>
      <c r="C149" s="143">
        <v>1</v>
      </c>
      <c r="D149" s="210"/>
      <c r="E149" s="210"/>
      <c r="F149" s="210"/>
      <c r="G149" s="210"/>
    </row>
    <row r="150" spans="1:7" ht="30">
      <c r="A150" s="142" t="s">
        <v>235</v>
      </c>
      <c r="B150" s="143">
        <v>0</v>
      </c>
      <c r="C150" s="143">
        <v>0</v>
      </c>
      <c r="D150" s="210"/>
      <c r="E150" s="210"/>
      <c r="F150" s="210"/>
      <c r="G150" s="210"/>
    </row>
    <row r="151" spans="1:7" ht="15.75" thickBot="1">
      <c r="A151" s="210"/>
      <c r="B151" s="145"/>
      <c r="C151" s="145"/>
      <c r="D151" s="210"/>
      <c r="E151" s="210"/>
      <c r="F151" s="210"/>
      <c r="G151" s="210"/>
    </row>
    <row r="152" spans="1:7" ht="15.75" thickBot="1">
      <c r="A152" s="146" t="s">
        <v>245</v>
      </c>
      <c r="B152" s="147">
        <v>0.1075</v>
      </c>
      <c r="C152" s="147">
        <v>0.11749999999999999</v>
      </c>
      <c r="D152" s="210"/>
      <c r="E152" s="210"/>
      <c r="F152" s="210"/>
      <c r="G152" s="210"/>
    </row>
    <row r="153" spans="1:7" ht="15.75" thickBot="1">
      <c r="A153" s="210"/>
      <c r="B153" s="210"/>
      <c r="C153" s="210"/>
      <c r="D153" s="210"/>
      <c r="E153" s="210"/>
      <c r="F153" s="210"/>
      <c r="G153" s="210"/>
    </row>
    <row r="154" spans="1:7" ht="30.75" thickBot="1">
      <c r="A154" s="82" t="s">
        <v>246</v>
      </c>
      <c r="B154" s="101">
        <v>0.1125</v>
      </c>
      <c r="C154" s="210"/>
    </row>
  </sheetData>
  <mergeCells count="12">
    <mergeCell ref="E110:F110"/>
    <mergeCell ref="C54:G54"/>
    <mergeCell ref="A1:G1"/>
    <mergeCell ref="E7:G7"/>
    <mergeCell ref="E8:G8"/>
    <mergeCell ref="E11:G11"/>
    <mergeCell ref="E36:G36"/>
    <mergeCell ref="C97:G97"/>
    <mergeCell ref="E106:F106"/>
    <mergeCell ref="E107:F107"/>
    <mergeCell ref="E108:F108"/>
    <mergeCell ref="E109:F109"/>
  </mergeCells>
  <phoneticPr fontId="1" type="noConversion"/>
  <hyperlinks>
    <hyperlink ref="E8" r:id="rId1" display="http://pages.stern.nyu.edu/~adamodar/New_Home_Page/datafile/ctryprem.html" xr:uid="{7CA97401-5FCE-4D1C-850F-84971D751E56}"/>
    <hyperlink ref="E11" r:id="rId2" display="https://fred.stlouisfed.org/series/DGS20" xr:uid="{E043D968-0936-44C3-928E-FD5CD93DF7CD}"/>
  </hyperlinks>
  <pageMargins left="0.7" right="0.7" top="0.75" bottom="0.75" header="0.3" footer="0.3"/>
  <pageSetup paperSize="9" orientation="portrait" horizontalDpi="1200" verticalDpi="120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28CCE-0158-4661-953D-0DE6A0406B10}">
  <dimension ref="A1:AC70"/>
  <sheetViews>
    <sheetView topLeftCell="A52" workbookViewId="0">
      <selection activeCell="M66" sqref="M66"/>
    </sheetView>
  </sheetViews>
  <sheetFormatPr defaultRowHeight="15"/>
  <sheetData>
    <row r="1" spans="1:29">
      <c r="A1" t="s">
        <v>193</v>
      </c>
    </row>
    <row r="3" spans="1:29" ht="16.5" customHeight="1">
      <c r="A3" s="265" t="s">
        <v>194</v>
      </c>
      <c r="B3" s="265"/>
      <c r="C3" s="265"/>
      <c r="D3" s="265"/>
      <c r="E3" s="265"/>
      <c r="F3" s="265"/>
      <c r="G3" s="265"/>
      <c r="H3" s="265"/>
      <c r="I3" s="265"/>
      <c r="J3" s="265"/>
      <c r="K3" s="265"/>
      <c r="L3" s="265"/>
      <c r="M3" s="265"/>
      <c r="P3" s="266" t="s">
        <v>195</v>
      </c>
      <c r="Q3" s="266"/>
      <c r="R3" s="266"/>
      <c r="S3" s="266"/>
      <c r="T3" s="266"/>
      <c r="U3" s="266"/>
      <c r="V3" s="266"/>
      <c r="W3" s="266"/>
      <c r="X3" s="266"/>
      <c r="Y3" s="266"/>
      <c r="Z3" s="266"/>
      <c r="AA3" s="266"/>
      <c r="AB3" s="266"/>
      <c r="AC3" s="266"/>
    </row>
    <row r="4" spans="1:29" ht="15.75" customHeight="1">
      <c r="A4" s="265"/>
      <c r="B4" s="265"/>
      <c r="C4" s="265"/>
      <c r="D4" s="265"/>
      <c r="E4" s="265"/>
      <c r="F4" s="265"/>
      <c r="G4" s="265"/>
      <c r="H4" s="265"/>
      <c r="I4" s="265"/>
      <c r="J4" s="265"/>
      <c r="K4" s="265"/>
      <c r="L4" s="265"/>
      <c r="M4" s="265"/>
      <c r="P4" s="266"/>
      <c r="Q4" s="266"/>
      <c r="R4" s="266"/>
      <c r="S4" s="266"/>
      <c r="T4" s="266"/>
      <c r="U4" s="266"/>
      <c r="V4" s="266"/>
      <c r="W4" s="266"/>
      <c r="X4" s="266"/>
      <c r="Y4" s="266"/>
      <c r="Z4" s="266"/>
      <c r="AA4" s="266"/>
      <c r="AB4" s="266"/>
      <c r="AC4" s="266"/>
    </row>
    <row r="5" spans="1:29" ht="15.75" customHeight="1">
      <c r="A5" s="265"/>
      <c r="B5" s="265"/>
      <c r="C5" s="265"/>
      <c r="D5" s="265"/>
      <c r="E5" s="265"/>
      <c r="F5" s="265"/>
      <c r="G5" s="265"/>
      <c r="H5" s="265"/>
      <c r="I5" s="265"/>
      <c r="J5" s="265"/>
      <c r="K5" s="265"/>
      <c r="L5" s="265"/>
      <c r="M5" s="265"/>
      <c r="P5" s="266"/>
      <c r="Q5" s="266"/>
      <c r="R5" s="266"/>
      <c r="S5" s="266"/>
      <c r="T5" s="266"/>
      <c r="U5" s="266"/>
      <c r="V5" s="266"/>
      <c r="W5" s="266"/>
      <c r="X5" s="266"/>
      <c r="Y5" s="266"/>
      <c r="Z5" s="266"/>
      <c r="AA5" s="266"/>
      <c r="AB5" s="266"/>
      <c r="AC5" s="266"/>
    </row>
    <row r="6" spans="1:29" ht="15.75" customHeight="1">
      <c r="A6" s="265"/>
      <c r="B6" s="265"/>
      <c r="C6" s="265"/>
      <c r="D6" s="265"/>
      <c r="E6" s="265"/>
      <c r="F6" s="265"/>
      <c r="G6" s="265"/>
      <c r="H6" s="265"/>
      <c r="I6" s="265"/>
      <c r="J6" s="265"/>
      <c r="K6" s="265"/>
      <c r="L6" s="265"/>
      <c r="M6" s="265"/>
      <c r="P6" s="266"/>
      <c r="Q6" s="266"/>
      <c r="R6" s="266"/>
      <c r="S6" s="266"/>
      <c r="T6" s="266"/>
      <c r="U6" s="266"/>
      <c r="V6" s="266"/>
      <c r="W6" s="266"/>
      <c r="X6" s="266"/>
      <c r="Y6" s="266"/>
      <c r="Z6" s="266"/>
      <c r="AA6" s="266"/>
      <c r="AB6" s="266"/>
      <c r="AC6" s="266"/>
    </row>
    <row r="7" spans="1:29" ht="15.75" customHeight="1">
      <c r="A7" s="265"/>
      <c r="B7" s="265"/>
      <c r="C7" s="265"/>
      <c r="D7" s="265"/>
      <c r="E7" s="265"/>
      <c r="F7" s="265"/>
      <c r="G7" s="265"/>
      <c r="H7" s="265"/>
      <c r="I7" s="265"/>
      <c r="J7" s="265"/>
      <c r="K7" s="265"/>
      <c r="L7" s="265"/>
      <c r="M7" s="265"/>
      <c r="P7" s="266"/>
      <c r="Q7" s="266"/>
      <c r="R7" s="266"/>
      <c r="S7" s="266"/>
      <c r="T7" s="266"/>
      <c r="U7" s="266"/>
      <c r="V7" s="266"/>
      <c r="W7" s="266"/>
      <c r="X7" s="266"/>
      <c r="Y7" s="266"/>
      <c r="Z7" s="266"/>
      <c r="AA7" s="266"/>
      <c r="AB7" s="266"/>
      <c r="AC7" s="266"/>
    </row>
    <row r="8" spans="1:29" ht="15.75" customHeight="1">
      <c r="A8" s="265"/>
      <c r="B8" s="265"/>
      <c r="C8" s="265"/>
      <c r="D8" s="265"/>
      <c r="E8" s="265"/>
      <c r="F8" s="265"/>
      <c r="G8" s="265"/>
      <c r="H8" s="265"/>
      <c r="I8" s="265"/>
      <c r="J8" s="265"/>
      <c r="K8" s="265"/>
      <c r="L8" s="265"/>
      <c r="M8" s="265"/>
      <c r="P8" s="266"/>
      <c r="Q8" s="266"/>
      <c r="R8" s="266"/>
      <c r="S8" s="266"/>
      <c r="T8" s="266"/>
      <c r="U8" s="266"/>
      <c r="V8" s="266"/>
      <c r="W8" s="266"/>
      <c r="X8" s="266"/>
      <c r="Y8" s="266"/>
      <c r="Z8" s="266"/>
      <c r="AA8" s="266"/>
      <c r="AB8" s="266"/>
      <c r="AC8" s="266"/>
    </row>
    <row r="9" spans="1:29">
      <c r="A9" s="265"/>
      <c r="B9" s="265"/>
      <c r="C9" s="265"/>
      <c r="D9" s="265"/>
      <c r="E9" s="265"/>
      <c r="F9" s="265"/>
      <c r="G9" s="265"/>
      <c r="H9" s="265"/>
      <c r="I9" s="265"/>
      <c r="J9" s="265"/>
      <c r="K9" s="265"/>
      <c r="L9" s="265"/>
      <c r="M9" s="265"/>
      <c r="P9" s="266"/>
      <c r="Q9" s="266"/>
      <c r="R9" s="266"/>
      <c r="S9" s="266"/>
      <c r="T9" s="266"/>
      <c r="U9" s="266"/>
      <c r="V9" s="266"/>
      <c r="W9" s="266"/>
      <c r="X9" s="266"/>
      <c r="Y9" s="266"/>
      <c r="Z9" s="266"/>
      <c r="AA9" s="266"/>
      <c r="AB9" s="266"/>
      <c r="AC9" s="266"/>
    </row>
    <row r="10" spans="1:29">
      <c r="A10" s="265"/>
      <c r="B10" s="265"/>
      <c r="C10" s="265"/>
      <c r="D10" s="265"/>
      <c r="E10" s="265"/>
      <c r="F10" s="265"/>
      <c r="G10" s="265"/>
      <c r="H10" s="265"/>
      <c r="I10" s="265"/>
      <c r="J10" s="265"/>
      <c r="K10" s="265"/>
      <c r="L10" s="265"/>
      <c r="M10" s="265"/>
      <c r="P10" s="266"/>
      <c r="Q10" s="266"/>
      <c r="R10" s="266"/>
      <c r="S10" s="266"/>
      <c r="T10" s="266"/>
      <c r="U10" s="266"/>
      <c r="V10" s="266"/>
      <c r="W10" s="266"/>
      <c r="X10" s="266"/>
      <c r="Y10" s="266"/>
      <c r="Z10" s="266"/>
      <c r="AA10" s="266"/>
      <c r="AB10" s="266"/>
      <c r="AC10" s="266"/>
    </row>
    <row r="11" spans="1:29">
      <c r="A11" s="265"/>
      <c r="B11" s="265"/>
      <c r="C11" s="265"/>
      <c r="D11" s="265"/>
      <c r="E11" s="265"/>
      <c r="F11" s="265"/>
      <c r="G11" s="265"/>
      <c r="H11" s="265"/>
      <c r="I11" s="265"/>
      <c r="J11" s="265"/>
      <c r="K11" s="265"/>
      <c r="L11" s="265"/>
      <c r="M11" s="265"/>
    </row>
    <row r="34" spans="1:27" ht="16.5" customHeight="1">
      <c r="A34" s="266" t="s">
        <v>196</v>
      </c>
      <c r="B34" s="266"/>
      <c r="C34" s="266"/>
      <c r="D34" s="266"/>
      <c r="E34" s="266"/>
      <c r="F34" s="266"/>
      <c r="G34" s="266"/>
      <c r="H34" s="266"/>
      <c r="I34" s="266"/>
      <c r="J34" s="266"/>
      <c r="K34" s="266"/>
      <c r="L34" s="266"/>
      <c r="M34" s="266"/>
      <c r="N34" s="266"/>
      <c r="O34" s="266"/>
    </row>
    <row r="35" spans="1:27">
      <c r="A35" s="266"/>
      <c r="B35" s="266"/>
      <c r="C35" s="266"/>
      <c r="D35" s="266"/>
      <c r="E35" s="266"/>
      <c r="F35" s="266"/>
      <c r="G35" s="266"/>
      <c r="H35" s="266"/>
      <c r="I35" s="266"/>
      <c r="J35" s="266"/>
      <c r="K35" s="266"/>
      <c r="L35" s="266"/>
      <c r="M35" s="266"/>
      <c r="N35" s="266"/>
      <c r="O35" s="266"/>
    </row>
    <row r="36" spans="1:27">
      <c r="A36" s="266"/>
      <c r="B36" s="266"/>
      <c r="C36" s="266"/>
      <c r="D36" s="266"/>
      <c r="E36" s="266"/>
      <c r="F36" s="266"/>
      <c r="G36" s="266"/>
      <c r="H36" s="266"/>
      <c r="I36" s="266"/>
      <c r="J36" s="266"/>
      <c r="K36" s="266"/>
      <c r="L36" s="266"/>
      <c r="M36" s="266"/>
      <c r="N36" s="266"/>
      <c r="O36" s="266"/>
    </row>
    <row r="37" spans="1:27">
      <c r="A37" s="266"/>
      <c r="B37" s="266"/>
      <c r="C37" s="266"/>
      <c r="D37" s="266"/>
      <c r="E37" s="266"/>
      <c r="F37" s="266"/>
      <c r="G37" s="266"/>
      <c r="H37" s="266"/>
      <c r="I37" s="266"/>
      <c r="J37" s="266"/>
      <c r="K37" s="266"/>
      <c r="L37" s="266"/>
      <c r="M37" s="266"/>
      <c r="N37" s="266"/>
      <c r="O37" s="266"/>
    </row>
    <row r="38" spans="1:27">
      <c r="A38" s="266"/>
      <c r="B38" s="266"/>
      <c r="C38" s="266"/>
      <c r="D38" s="266"/>
      <c r="E38" s="266"/>
      <c r="F38" s="266"/>
      <c r="G38" s="266"/>
      <c r="H38" s="266"/>
      <c r="I38" s="266"/>
      <c r="J38" s="266"/>
      <c r="K38" s="266"/>
      <c r="L38" s="266"/>
      <c r="M38" s="266"/>
      <c r="N38" s="266"/>
      <c r="O38" s="266"/>
    </row>
    <row r="39" spans="1:27">
      <c r="A39" s="266"/>
      <c r="B39" s="266"/>
      <c r="C39" s="266"/>
      <c r="D39" s="266"/>
      <c r="E39" s="266"/>
      <c r="F39" s="266"/>
      <c r="G39" s="266"/>
      <c r="H39" s="266"/>
      <c r="I39" s="266"/>
      <c r="J39" s="266"/>
      <c r="K39" s="266"/>
      <c r="L39" s="266"/>
      <c r="M39" s="266"/>
      <c r="N39" s="266"/>
      <c r="O39" s="266"/>
    </row>
    <row r="40" spans="1:27">
      <c r="A40" s="266"/>
      <c r="B40" s="266"/>
      <c r="C40" s="266"/>
      <c r="D40" s="266"/>
      <c r="E40" s="266"/>
      <c r="F40" s="266"/>
      <c r="G40" s="266"/>
      <c r="H40" s="266"/>
      <c r="I40" s="266"/>
      <c r="J40" s="266"/>
      <c r="K40" s="266"/>
      <c r="L40" s="266"/>
      <c r="M40" s="266"/>
      <c r="N40" s="266"/>
      <c r="O40" s="266"/>
    </row>
    <row r="41" spans="1:27">
      <c r="A41" s="266"/>
      <c r="B41" s="266"/>
      <c r="C41" s="266"/>
      <c r="D41" s="266"/>
      <c r="E41" s="266"/>
      <c r="F41" s="266"/>
      <c r="G41" s="266"/>
      <c r="H41" s="266"/>
      <c r="I41" s="266"/>
      <c r="J41" s="266"/>
      <c r="K41" s="266"/>
      <c r="L41" s="266"/>
      <c r="M41" s="266"/>
      <c r="N41" s="266"/>
      <c r="O41" s="266"/>
    </row>
    <row r="42" spans="1:27">
      <c r="A42" s="266"/>
      <c r="B42" s="266"/>
      <c r="C42" s="266"/>
      <c r="D42" s="266"/>
      <c r="E42" s="266"/>
      <c r="F42" s="266"/>
      <c r="G42" s="266"/>
      <c r="H42" s="266"/>
      <c r="I42" s="266"/>
      <c r="J42" s="266"/>
      <c r="K42" s="266"/>
      <c r="L42" s="266"/>
      <c r="M42" s="266"/>
      <c r="N42" s="266"/>
      <c r="O42" s="266"/>
    </row>
    <row r="43" spans="1:27">
      <c r="A43" s="266"/>
      <c r="B43" s="266"/>
      <c r="C43" s="266"/>
      <c r="D43" s="266"/>
      <c r="E43" s="266"/>
      <c r="F43" s="266"/>
      <c r="G43" s="266"/>
      <c r="H43" s="266"/>
      <c r="I43" s="266"/>
      <c r="J43" s="266"/>
      <c r="K43" s="266"/>
      <c r="L43" s="266"/>
      <c r="M43" s="266"/>
      <c r="N43" s="266"/>
      <c r="O43" s="266"/>
    </row>
    <row r="45" spans="1:27" ht="16.5" customHeight="1">
      <c r="P45" s="266" t="s">
        <v>197</v>
      </c>
      <c r="Q45" s="266"/>
      <c r="R45" s="266"/>
      <c r="S45" s="266"/>
      <c r="T45" s="266"/>
      <c r="U45" s="266"/>
      <c r="V45" s="266"/>
      <c r="W45" s="266"/>
      <c r="X45" s="266"/>
      <c r="Y45" s="266"/>
      <c r="Z45" s="266"/>
      <c r="AA45" s="266"/>
    </row>
    <row r="46" spans="1:27">
      <c r="P46" s="266"/>
      <c r="Q46" s="266"/>
      <c r="R46" s="266"/>
      <c r="S46" s="266"/>
      <c r="T46" s="266"/>
      <c r="U46" s="266"/>
      <c r="V46" s="266"/>
      <c r="W46" s="266"/>
      <c r="X46" s="266"/>
      <c r="Y46" s="266"/>
      <c r="Z46" s="266"/>
      <c r="AA46" s="266"/>
    </row>
    <row r="47" spans="1:27">
      <c r="P47" s="266"/>
      <c r="Q47" s="266"/>
      <c r="R47" s="266"/>
      <c r="S47" s="266"/>
      <c r="T47" s="266"/>
      <c r="U47" s="266"/>
      <c r="V47" s="266"/>
      <c r="W47" s="266"/>
      <c r="X47" s="266"/>
      <c r="Y47" s="266"/>
      <c r="Z47" s="266"/>
      <c r="AA47" s="266"/>
    </row>
    <row r="48" spans="1:27">
      <c r="P48" s="266"/>
      <c r="Q48" s="266"/>
      <c r="R48" s="266"/>
      <c r="S48" s="266"/>
      <c r="T48" s="266"/>
      <c r="U48" s="266"/>
      <c r="V48" s="266"/>
      <c r="W48" s="266"/>
      <c r="X48" s="266"/>
      <c r="Y48" s="266"/>
      <c r="Z48" s="266"/>
      <c r="AA48" s="266"/>
    </row>
    <row r="49" spans="16:27">
      <c r="P49" s="266"/>
      <c r="Q49" s="266"/>
      <c r="R49" s="266"/>
      <c r="S49" s="266"/>
      <c r="T49" s="266"/>
      <c r="U49" s="266"/>
      <c r="V49" s="266"/>
      <c r="W49" s="266"/>
      <c r="X49" s="266"/>
      <c r="Y49" s="266"/>
      <c r="Z49" s="266"/>
      <c r="AA49" s="266"/>
    </row>
    <row r="68" spans="1:11" ht="16.5" customHeight="1">
      <c r="A68" s="264" t="s">
        <v>198</v>
      </c>
      <c r="B68" s="264"/>
      <c r="C68" s="264"/>
      <c r="D68" s="264"/>
      <c r="E68" s="264"/>
      <c r="F68" s="264"/>
      <c r="G68" s="264"/>
      <c r="H68" s="264"/>
      <c r="I68" s="264"/>
      <c r="J68" s="264"/>
      <c r="K68" s="264"/>
    </row>
    <row r="69" spans="1:11">
      <c r="A69" s="264"/>
      <c r="B69" s="264"/>
      <c r="C69" s="264"/>
      <c r="D69" s="264"/>
      <c r="E69" s="264"/>
      <c r="F69" s="264"/>
      <c r="G69" s="264"/>
      <c r="H69" s="264"/>
      <c r="I69" s="264"/>
      <c r="J69" s="264"/>
      <c r="K69" s="264"/>
    </row>
    <row r="70" spans="1:11">
      <c r="A70" s="264"/>
      <c r="B70" s="264"/>
      <c r="C70" s="264"/>
      <c r="D70" s="264"/>
      <c r="E70" s="264"/>
      <c r="F70" s="264"/>
      <c r="G70" s="264"/>
      <c r="H70" s="264"/>
      <c r="I70" s="264"/>
      <c r="J70" s="264"/>
      <c r="K70" s="264"/>
    </row>
  </sheetData>
  <mergeCells count="5">
    <mergeCell ref="A68:K70"/>
    <mergeCell ref="A3:M11"/>
    <mergeCell ref="P3:AC10"/>
    <mergeCell ref="A34:O43"/>
    <mergeCell ref="P45:AA49"/>
  </mergeCells>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36F3B-E4F8-4A2A-B6B4-62097EDF61A6}">
  <dimension ref="A1:J179"/>
  <sheetViews>
    <sheetView workbookViewId="0">
      <selection activeCell="E62" sqref="E62"/>
    </sheetView>
  </sheetViews>
  <sheetFormatPr defaultRowHeight="15"/>
  <cols>
    <col min="1" max="1" width="17.5703125" bestFit="1" customWidth="1"/>
    <col min="2" max="2" width="18.28515625" bestFit="1" customWidth="1"/>
    <col min="3" max="3" width="30.28515625" bestFit="1" customWidth="1"/>
    <col min="5" max="5" width="12.28515625" bestFit="1" customWidth="1"/>
    <col min="6" max="6" width="9.85546875" bestFit="1" customWidth="1"/>
    <col min="7" max="7" width="10.140625" bestFit="1" customWidth="1"/>
    <col min="8" max="8" width="9.85546875" bestFit="1" customWidth="1"/>
    <col min="10" max="10" width="9.85546875" bestFit="1" customWidth="1"/>
  </cols>
  <sheetData>
    <row r="1" spans="1:9">
      <c r="A1" s="270" t="s">
        <v>91</v>
      </c>
      <c r="B1" s="270" t="s">
        <v>92</v>
      </c>
      <c r="C1" s="270" t="s">
        <v>93</v>
      </c>
      <c r="D1" s="37" t="s">
        <v>94</v>
      </c>
      <c r="E1" s="37" t="s">
        <v>96</v>
      </c>
      <c r="F1" s="37" t="s">
        <v>98</v>
      </c>
      <c r="G1" s="37" t="s">
        <v>99</v>
      </c>
      <c r="H1" s="37" t="s">
        <v>100</v>
      </c>
      <c r="I1" s="37" t="s">
        <v>101</v>
      </c>
    </row>
    <row r="2" spans="1:9" ht="30.75" thickBot="1">
      <c r="A2" s="271"/>
      <c r="B2" s="271"/>
      <c r="C2" s="271"/>
      <c r="D2" s="38" t="s">
        <v>95</v>
      </c>
      <c r="E2" s="38" t="s">
        <v>97</v>
      </c>
      <c r="F2" s="38" t="s">
        <v>97</v>
      </c>
      <c r="G2" s="38" t="s">
        <v>97</v>
      </c>
      <c r="H2" s="38" t="s">
        <v>97</v>
      </c>
      <c r="I2" s="38" t="s">
        <v>97</v>
      </c>
    </row>
    <row r="3" spans="1:9" ht="15.75" thickBot="1">
      <c r="A3" s="272"/>
      <c r="B3" s="272"/>
      <c r="C3" s="272"/>
      <c r="D3" s="39">
        <v>1937</v>
      </c>
      <c r="E3" s="39">
        <v>1957</v>
      </c>
      <c r="F3" s="39">
        <v>1967</v>
      </c>
      <c r="G3" s="39">
        <v>1977</v>
      </c>
      <c r="H3" s="39">
        <v>1987</v>
      </c>
      <c r="I3" s="39">
        <v>2012</v>
      </c>
    </row>
    <row r="4" spans="1:9" ht="15.75" thickBot="1">
      <c r="A4" s="273" t="s">
        <v>102</v>
      </c>
      <c r="B4" s="41" t="s">
        <v>103</v>
      </c>
      <c r="C4" s="41" t="s">
        <v>104</v>
      </c>
      <c r="D4" s="41">
        <v>1</v>
      </c>
      <c r="E4" s="41">
        <v>1</v>
      </c>
      <c r="F4" s="41">
        <v>4</v>
      </c>
      <c r="G4" s="41">
        <v>8</v>
      </c>
      <c r="H4" s="41">
        <v>11</v>
      </c>
      <c r="I4" s="41">
        <v>12</v>
      </c>
    </row>
    <row r="5" spans="1:9" ht="30.75" thickBot="1">
      <c r="A5" s="274"/>
      <c r="B5" s="40" t="s">
        <v>105</v>
      </c>
      <c r="C5" s="41" t="s">
        <v>107</v>
      </c>
      <c r="D5" s="41" t="s">
        <v>3</v>
      </c>
      <c r="E5" s="41" t="s">
        <v>3</v>
      </c>
      <c r="F5" s="41" t="s">
        <v>3</v>
      </c>
      <c r="G5" s="41" t="s">
        <v>3</v>
      </c>
      <c r="H5" s="41" t="s">
        <v>3</v>
      </c>
      <c r="I5" s="41">
        <v>4</v>
      </c>
    </row>
    <row r="6" spans="1:9" ht="15.75" thickBot="1">
      <c r="A6" s="274"/>
      <c r="B6" s="42" t="s">
        <v>106</v>
      </c>
      <c r="C6" s="41" t="s">
        <v>108</v>
      </c>
      <c r="D6" s="41" t="s">
        <v>3</v>
      </c>
      <c r="E6" s="41" t="s">
        <v>3</v>
      </c>
      <c r="F6" s="41" t="s">
        <v>3</v>
      </c>
      <c r="G6" s="41" t="s">
        <v>3</v>
      </c>
      <c r="H6" s="41" t="s">
        <v>3</v>
      </c>
      <c r="I6" s="41">
        <v>13</v>
      </c>
    </row>
    <row r="7" spans="1:9" ht="15.75" thickBot="1">
      <c r="A7" s="274"/>
      <c r="B7" s="273" t="s">
        <v>109</v>
      </c>
      <c r="C7" s="41" t="s">
        <v>107</v>
      </c>
      <c r="D7" s="41" t="s">
        <v>3</v>
      </c>
      <c r="E7" s="41">
        <v>5</v>
      </c>
      <c r="F7" s="41">
        <v>6</v>
      </c>
      <c r="G7" s="41">
        <v>6</v>
      </c>
      <c r="H7" s="41">
        <v>7</v>
      </c>
      <c r="I7" s="41">
        <v>3</v>
      </c>
    </row>
    <row r="8" spans="1:9" ht="15.75" thickBot="1">
      <c r="A8" s="275"/>
      <c r="B8" s="275"/>
      <c r="C8" s="41" t="s">
        <v>108</v>
      </c>
      <c r="D8" s="41" t="s">
        <v>3</v>
      </c>
      <c r="E8" s="41">
        <v>5</v>
      </c>
      <c r="F8" s="41">
        <v>6</v>
      </c>
      <c r="G8" s="41">
        <v>10</v>
      </c>
      <c r="H8" s="41">
        <v>9</v>
      </c>
      <c r="I8" s="41">
        <v>6</v>
      </c>
    </row>
    <row r="9" spans="1:9" ht="15.75" thickBot="1">
      <c r="A9" s="276" t="s">
        <v>110</v>
      </c>
      <c r="B9" s="277"/>
      <c r="C9" s="41" t="s">
        <v>107</v>
      </c>
      <c r="D9" s="41" t="s">
        <v>3</v>
      </c>
      <c r="E9" s="41" t="s">
        <v>3</v>
      </c>
      <c r="F9" s="41">
        <v>10</v>
      </c>
      <c r="G9" s="41">
        <v>18</v>
      </c>
      <c r="H9" s="41">
        <v>18</v>
      </c>
      <c r="I9" s="41">
        <v>50</v>
      </c>
    </row>
    <row r="10" spans="1:9" ht="15.75" thickBot="1">
      <c r="A10" s="278"/>
      <c r="B10" s="279"/>
      <c r="C10" s="41" t="s">
        <v>108</v>
      </c>
      <c r="D10" s="41" t="s">
        <v>3</v>
      </c>
      <c r="E10" s="41" t="s">
        <v>3</v>
      </c>
      <c r="F10" s="41">
        <v>10</v>
      </c>
      <c r="G10" s="41">
        <v>18</v>
      </c>
      <c r="H10" s="41">
        <v>18</v>
      </c>
      <c r="I10" s="41">
        <v>60</v>
      </c>
    </row>
    <row r="11" spans="1:9" ht="15.75" thickBot="1">
      <c r="A11" s="49" t="s">
        <v>134</v>
      </c>
      <c r="B11" s="48"/>
      <c r="C11" s="50" t="s">
        <v>2</v>
      </c>
      <c r="D11" s="41">
        <f>SUM(D4:D10)</f>
        <v>1</v>
      </c>
      <c r="E11" s="41">
        <f t="shared" ref="E11:I11" si="0">SUM(E4:E10)</f>
        <v>11</v>
      </c>
      <c r="F11" s="41">
        <f t="shared" si="0"/>
        <v>36</v>
      </c>
      <c r="G11" s="41">
        <f t="shared" si="0"/>
        <v>60</v>
      </c>
      <c r="H11" s="41">
        <f t="shared" si="0"/>
        <v>63</v>
      </c>
      <c r="I11" s="41">
        <f t="shared" si="0"/>
        <v>148</v>
      </c>
    </row>
    <row r="12" spans="1:9" ht="15.75" thickBot="1">
      <c r="A12" s="267" t="s">
        <v>111</v>
      </c>
      <c r="B12" s="268"/>
      <c r="C12" s="269"/>
      <c r="D12" s="43">
        <v>4013</v>
      </c>
      <c r="E12" s="43">
        <v>79527</v>
      </c>
      <c r="F12" s="43">
        <v>832130</v>
      </c>
      <c r="G12" s="43">
        <v>2720758</v>
      </c>
      <c r="H12" s="43">
        <v>3830539</v>
      </c>
      <c r="I12" s="43">
        <v>6928813</v>
      </c>
    </row>
    <row r="13" spans="1:9">
      <c r="A13" s="53" t="s">
        <v>135</v>
      </c>
      <c r="B13" s="51"/>
      <c r="C13" s="51"/>
      <c r="D13" s="52">
        <f>D12/D11</f>
        <v>4013</v>
      </c>
      <c r="E13" s="52">
        <f t="shared" ref="E13:I13" si="1">E12/E11</f>
        <v>7229.727272727273</v>
      </c>
      <c r="F13" s="52">
        <f t="shared" si="1"/>
        <v>23114.722222222223</v>
      </c>
      <c r="G13" s="52">
        <f t="shared" si="1"/>
        <v>45345.966666666667</v>
      </c>
      <c r="H13" s="52">
        <f t="shared" si="1"/>
        <v>60802.206349206346</v>
      </c>
      <c r="I13" s="52">
        <f t="shared" si="1"/>
        <v>46816.304054054053</v>
      </c>
    </row>
    <row r="15" spans="1:9" ht="15.75" thickBot="1"/>
    <row r="16" spans="1:9" ht="60.75" thickBot="1">
      <c r="A16" s="44" t="s">
        <v>112</v>
      </c>
      <c r="B16" s="44" t="s">
        <v>113</v>
      </c>
      <c r="C16" s="44" t="s">
        <v>114</v>
      </c>
      <c r="D16" s="44" t="s">
        <v>115</v>
      </c>
    </row>
    <row r="17" spans="1:10" ht="15.75" thickBot="1">
      <c r="A17" s="41">
        <v>1935</v>
      </c>
      <c r="B17" s="41">
        <v>20</v>
      </c>
      <c r="C17" s="41">
        <v>20</v>
      </c>
      <c r="D17" s="41"/>
    </row>
    <row r="18" spans="1:10" ht="15.75" thickBot="1">
      <c r="A18" s="41">
        <v>1936</v>
      </c>
      <c r="B18" s="43">
        <v>1142</v>
      </c>
      <c r="C18" s="43">
        <v>1142</v>
      </c>
      <c r="D18" s="41"/>
    </row>
    <row r="19" spans="1:10" ht="15.75" thickBot="1">
      <c r="A19" s="41">
        <v>1937</v>
      </c>
      <c r="B19" s="43">
        <v>4013</v>
      </c>
      <c r="C19" s="43">
        <v>4013</v>
      </c>
      <c r="D19" s="41"/>
    </row>
    <row r="20" spans="1:10" ht="15.75" thickBot="1">
      <c r="A20" s="41">
        <v>1938</v>
      </c>
      <c r="B20" s="43">
        <v>4615</v>
      </c>
      <c r="C20" s="43">
        <v>4615</v>
      </c>
      <c r="D20" s="41"/>
    </row>
    <row r="21" spans="1:10" ht="15.75" thickBot="1">
      <c r="A21" s="41">
        <v>1939</v>
      </c>
      <c r="B21" s="43">
        <v>11981</v>
      </c>
      <c r="C21" s="43">
        <v>11981</v>
      </c>
      <c r="D21" s="41"/>
    </row>
    <row r="22" spans="1:10" ht="15.75" thickBot="1">
      <c r="A22" s="41">
        <v>1940</v>
      </c>
      <c r="B22" s="43">
        <v>14787</v>
      </c>
      <c r="C22" s="43">
        <v>14787</v>
      </c>
      <c r="D22" s="41"/>
    </row>
    <row r="23" spans="1:10" ht="15.75" thickBot="1">
      <c r="A23" s="41">
        <v>1941</v>
      </c>
      <c r="B23" s="43">
        <v>14611</v>
      </c>
      <c r="C23" s="43">
        <v>14611</v>
      </c>
      <c r="D23" s="41"/>
    </row>
    <row r="24" spans="1:10" ht="15.75" thickBot="1">
      <c r="A24" s="41">
        <v>1942</v>
      </c>
      <c r="B24" s="43">
        <v>16302</v>
      </c>
      <c r="C24" s="43">
        <v>16302</v>
      </c>
      <c r="D24" s="41"/>
    </row>
    <row r="25" spans="1:10" ht="15.75" thickBot="1">
      <c r="A25" s="41">
        <v>1943</v>
      </c>
      <c r="B25" s="43">
        <v>9827</v>
      </c>
      <c r="C25" s="43">
        <v>9827</v>
      </c>
      <c r="D25" s="41"/>
    </row>
    <row r="26" spans="1:10" ht="15.75" thickBot="1">
      <c r="A26" s="41">
        <v>1944</v>
      </c>
      <c r="B26" s="43">
        <v>12720</v>
      </c>
      <c r="C26" s="43">
        <v>12720</v>
      </c>
      <c r="D26" s="41"/>
    </row>
    <row r="27" spans="1:10" ht="15.75" thickBot="1">
      <c r="A27" s="41">
        <v>1945</v>
      </c>
      <c r="B27" s="43">
        <v>3275</v>
      </c>
      <c r="C27" s="43">
        <v>3275</v>
      </c>
      <c r="D27" s="41"/>
    </row>
    <row r="28" spans="1:10" ht="15.75" thickBot="1">
      <c r="A28" s="41">
        <v>1946</v>
      </c>
      <c r="B28" s="43">
        <v>5821</v>
      </c>
      <c r="C28" s="43">
        <v>5821</v>
      </c>
      <c r="D28" s="41"/>
    </row>
    <row r="29" spans="1:10" ht="15.75" thickBot="1">
      <c r="A29" s="41">
        <v>1947</v>
      </c>
      <c r="B29" s="43">
        <v>3922</v>
      </c>
      <c r="C29" s="43">
        <v>3922</v>
      </c>
      <c r="D29" s="41"/>
    </row>
    <row r="30" spans="1:10" ht="15.75" thickBot="1">
      <c r="A30" s="41">
        <v>1948</v>
      </c>
      <c r="B30" s="43">
        <v>6703</v>
      </c>
      <c r="C30" s="43">
        <v>6703</v>
      </c>
      <c r="D30" s="41"/>
    </row>
    <row r="31" spans="1:10" ht="75.75" thickBot="1">
      <c r="A31" s="41">
        <v>1949</v>
      </c>
      <c r="B31" s="43">
        <v>10824</v>
      </c>
      <c r="C31" s="43">
        <v>10824</v>
      </c>
      <c r="D31" s="41"/>
      <c r="F31" s="54" t="s">
        <v>136</v>
      </c>
      <c r="G31" s="45" t="s">
        <v>118</v>
      </c>
      <c r="H31" s="45" t="s">
        <v>122</v>
      </c>
      <c r="J31" s="57" t="s">
        <v>138</v>
      </c>
    </row>
    <row r="32" spans="1:10" ht="15.75" thickBot="1">
      <c r="A32" s="41">
        <v>1950</v>
      </c>
      <c r="B32" s="43">
        <v>11706</v>
      </c>
      <c r="C32" s="43">
        <v>11706</v>
      </c>
      <c r="D32" s="41"/>
      <c r="F32" s="43">
        <v>9228</v>
      </c>
      <c r="G32" s="41">
        <v>34.4</v>
      </c>
      <c r="J32" s="24">
        <f>F32+I32</f>
        <v>9228</v>
      </c>
    </row>
    <row r="33" spans="1:10" ht="15.75" thickBot="1">
      <c r="A33" s="41">
        <v>1951</v>
      </c>
      <c r="B33" s="43">
        <v>14228</v>
      </c>
      <c r="C33" s="43">
        <v>14228</v>
      </c>
      <c r="D33" s="41"/>
      <c r="F33" s="43">
        <v>10126</v>
      </c>
      <c r="G33" s="41">
        <v>35.9</v>
      </c>
      <c r="J33" s="24">
        <f t="shared" ref="J33:J93" si="2">F33+I33</f>
        <v>10126</v>
      </c>
    </row>
    <row r="34" spans="1:10" ht="15.75" thickBot="1">
      <c r="A34" s="41">
        <v>1952</v>
      </c>
      <c r="B34" s="43">
        <v>14106</v>
      </c>
      <c r="C34" s="43">
        <v>14106</v>
      </c>
      <c r="D34" s="41"/>
      <c r="F34" s="43">
        <v>14364</v>
      </c>
      <c r="G34" s="41">
        <v>38.6</v>
      </c>
      <c r="J34" s="24">
        <f t="shared" si="2"/>
        <v>14364</v>
      </c>
    </row>
    <row r="35" spans="1:10" ht="15.75" thickBot="1">
      <c r="A35" s="41">
        <v>1953</v>
      </c>
      <c r="B35" s="43">
        <v>16496</v>
      </c>
      <c r="C35" s="43">
        <v>16496</v>
      </c>
      <c r="D35" s="41"/>
      <c r="F35" s="43">
        <v>14883</v>
      </c>
      <c r="G35" s="41">
        <v>30.5</v>
      </c>
      <c r="J35" s="24">
        <f t="shared" si="2"/>
        <v>14883</v>
      </c>
    </row>
    <row r="36" spans="1:10" ht="15.75" thickBot="1">
      <c r="A36" s="41">
        <v>1954</v>
      </c>
      <c r="B36" s="43">
        <v>22713</v>
      </c>
      <c r="C36" s="43">
        <v>22713</v>
      </c>
      <c r="D36" s="41"/>
      <c r="F36" s="43">
        <v>20768</v>
      </c>
      <c r="G36" s="41">
        <v>33.299999999999997</v>
      </c>
      <c r="J36" s="24">
        <f t="shared" si="2"/>
        <v>20768</v>
      </c>
    </row>
    <row r="37" spans="1:10" ht="15.75" thickBot="1">
      <c r="A37" s="41">
        <v>1955</v>
      </c>
      <c r="B37" s="43">
        <v>22786</v>
      </c>
      <c r="C37" s="43">
        <v>22786</v>
      </c>
      <c r="D37" s="41"/>
      <c r="F37" s="43">
        <v>22240</v>
      </c>
      <c r="G37" s="41">
        <v>34.5</v>
      </c>
      <c r="J37" s="24">
        <f t="shared" si="2"/>
        <v>22240</v>
      </c>
    </row>
    <row r="38" spans="1:10" ht="15.75" thickBot="1">
      <c r="A38" s="41">
        <v>1956</v>
      </c>
      <c r="B38" s="43">
        <v>46417</v>
      </c>
      <c r="C38" s="43">
        <v>46417</v>
      </c>
      <c r="D38" s="41"/>
      <c r="F38" s="43">
        <v>43551</v>
      </c>
      <c r="G38" s="41">
        <v>41.5</v>
      </c>
      <c r="J38" s="24">
        <f t="shared" si="2"/>
        <v>43551</v>
      </c>
    </row>
    <row r="39" spans="1:10" ht="15.75" thickBot="1">
      <c r="A39" s="41">
        <v>1957</v>
      </c>
      <c r="B39" s="43">
        <v>79527</v>
      </c>
      <c r="C39" s="43">
        <v>79527</v>
      </c>
      <c r="D39" s="41"/>
      <c r="F39" s="43">
        <v>71408</v>
      </c>
      <c r="G39" s="41">
        <v>44.7</v>
      </c>
      <c r="J39" s="24">
        <f t="shared" si="2"/>
        <v>71408</v>
      </c>
    </row>
    <row r="40" spans="1:10" ht="15.75" thickBot="1">
      <c r="A40" s="41">
        <v>1958</v>
      </c>
      <c r="B40" s="43">
        <v>78856</v>
      </c>
      <c r="C40" s="43">
        <v>78856</v>
      </c>
      <c r="D40" s="41"/>
      <c r="F40" s="43">
        <v>75240</v>
      </c>
      <c r="G40" s="41">
        <v>44.2</v>
      </c>
      <c r="J40" s="24">
        <f t="shared" si="2"/>
        <v>75240</v>
      </c>
    </row>
    <row r="41" spans="1:10" ht="15.75" thickBot="1">
      <c r="A41" s="41">
        <v>1959</v>
      </c>
      <c r="B41" s="43">
        <v>101194</v>
      </c>
      <c r="C41" s="43">
        <v>101194</v>
      </c>
      <c r="D41" s="41">
        <v>-489</v>
      </c>
      <c r="F41" s="43">
        <v>90144</v>
      </c>
      <c r="G41" s="41">
        <v>38.9</v>
      </c>
      <c r="J41" s="24">
        <f t="shared" si="2"/>
        <v>90144</v>
      </c>
    </row>
    <row r="42" spans="1:10" ht="15.75" thickBot="1">
      <c r="A42" s="41">
        <v>1960</v>
      </c>
      <c r="B42" s="43">
        <v>154770</v>
      </c>
      <c r="C42" s="43">
        <v>154770</v>
      </c>
      <c r="D42" s="41">
        <v>-459</v>
      </c>
      <c r="F42" s="43">
        <v>127444</v>
      </c>
      <c r="G42" s="41">
        <v>37</v>
      </c>
      <c r="J42" s="24">
        <f t="shared" si="2"/>
        <v>127444</v>
      </c>
    </row>
    <row r="43" spans="1:10" ht="15.75" thickBot="1">
      <c r="A43" s="41">
        <v>1961</v>
      </c>
      <c r="B43" s="43">
        <v>210937</v>
      </c>
      <c r="C43" s="43">
        <v>210937</v>
      </c>
      <c r="D43" s="43">
        <v>-2503</v>
      </c>
      <c r="F43" s="43">
        <v>176243</v>
      </c>
      <c r="G43" s="41">
        <v>35.4</v>
      </c>
      <c r="J43" s="24">
        <f t="shared" si="2"/>
        <v>176243</v>
      </c>
    </row>
    <row r="44" spans="1:10" ht="15.75" thickBot="1">
      <c r="A44" s="41">
        <v>1962</v>
      </c>
      <c r="B44" s="43">
        <v>230350</v>
      </c>
      <c r="C44" s="43">
        <v>230350</v>
      </c>
      <c r="D44" s="43">
        <v>-2029</v>
      </c>
      <c r="E44" s="12" t="s">
        <v>137</v>
      </c>
      <c r="F44" s="43">
        <v>207551</v>
      </c>
      <c r="G44" s="41">
        <v>35.200000000000003</v>
      </c>
      <c r="J44" s="24">
        <f t="shared" si="2"/>
        <v>207551</v>
      </c>
    </row>
    <row r="45" spans="1:10" ht="15.75" thickBot="1">
      <c r="A45" s="41">
        <v>1963</v>
      </c>
      <c r="B45" s="55">
        <v>318495</v>
      </c>
      <c r="C45" s="43">
        <v>318495</v>
      </c>
      <c r="D45" s="43">
        <v>-7586</v>
      </c>
      <c r="E45" s="56">
        <v>365284</v>
      </c>
      <c r="F45" s="43">
        <v>287233</v>
      </c>
      <c r="G45" s="41">
        <v>36.4</v>
      </c>
      <c r="J45" s="24">
        <f t="shared" si="2"/>
        <v>287233</v>
      </c>
    </row>
    <row r="46" spans="1:10" ht="15.75" thickBot="1">
      <c r="A46" s="41">
        <v>1964</v>
      </c>
      <c r="B46" s="43">
        <v>425764</v>
      </c>
      <c r="C46" s="43">
        <v>425764</v>
      </c>
      <c r="D46" s="43">
        <v>-10824</v>
      </c>
      <c r="F46" s="43">
        <v>369200</v>
      </c>
      <c r="G46" s="41">
        <v>35.700000000000003</v>
      </c>
      <c r="J46" s="24">
        <f t="shared" si="2"/>
        <v>369200</v>
      </c>
    </row>
    <row r="47" spans="1:10" ht="15.75" thickBot="1">
      <c r="A47" s="41">
        <v>1965</v>
      </c>
      <c r="B47" s="43">
        <v>477643</v>
      </c>
      <c r="C47" s="43">
        <v>477643</v>
      </c>
      <c r="D47" s="43">
        <v>-12446</v>
      </c>
      <c r="F47" s="43">
        <v>409850</v>
      </c>
      <c r="G47" s="41">
        <v>35.1</v>
      </c>
      <c r="J47" s="24">
        <f t="shared" si="2"/>
        <v>409850</v>
      </c>
    </row>
    <row r="48" spans="1:10" ht="15.75" thickBot="1">
      <c r="A48" s="41">
        <v>1966</v>
      </c>
      <c r="B48" s="43">
        <v>587539</v>
      </c>
      <c r="C48" s="43">
        <v>587539</v>
      </c>
      <c r="D48" s="43">
        <v>-23391</v>
      </c>
      <c r="F48" s="43">
        <v>482991</v>
      </c>
      <c r="G48" s="41">
        <v>32.9</v>
      </c>
      <c r="J48" s="24">
        <f t="shared" si="2"/>
        <v>482991</v>
      </c>
    </row>
    <row r="49" spans="1:10" ht="15.75" thickBot="1">
      <c r="A49" s="41">
        <v>1967</v>
      </c>
      <c r="B49" s="43">
        <v>832130</v>
      </c>
      <c r="C49" s="43">
        <v>832130</v>
      </c>
      <c r="D49" s="43">
        <v>-35036</v>
      </c>
      <c r="F49" s="43">
        <v>654741</v>
      </c>
      <c r="G49" s="41">
        <v>34</v>
      </c>
      <c r="J49" s="24">
        <f t="shared" si="2"/>
        <v>654741</v>
      </c>
    </row>
    <row r="50" spans="1:10" ht="15.75" thickBot="1">
      <c r="A50" s="41">
        <v>1968</v>
      </c>
      <c r="B50" s="43">
        <v>1097405</v>
      </c>
      <c r="C50" s="43">
        <v>1097405</v>
      </c>
      <c r="D50" s="43">
        <v>-63934</v>
      </c>
      <c r="F50" s="43">
        <v>807212</v>
      </c>
      <c r="G50" s="41">
        <v>35.4</v>
      </c>
      <c r="J50" s="24">
        <f t="shared" si="2"/>
        <v>807212</v>
      </c>
    </row>
    <row r="51" spans="1:10" ht="15.75" thickBot="1">
      <c r="A51" s="41">
        <v>1969</v>
      </c>
      <c r="B51" s="43">
        <v>1471211</v>
      </c>
      <c r="C51" s="43">
        <v>1471211</v>
      </c>
      <c r="D51" s="43">
        <v>-80340</v>
      </c>
      <c r="F51" s="43">
        <v>1040944</v>
      </c>
      <c r="G51" s="41">
        <v>38.4</v>
      </c>
      <c r="J51" s="24">
        <f t="shared" si="2"/>
        <v>1040944</v>
      </c>
    </row>
    <row r="52" spans="1:10" ht="15.75" thickBot="1">
      <c r="A52" s="41">
        <v>1970</v>
      </c>
      <c r="B52" s="43">
        <v>1609190</v>
      </c>
      <c r="C52" s="43">
        <v>1609190</v>
      </c>
      <c r="D52" s="43">
        <v>-75575</v>
      </c>
      <c r="F52" s="43">
        <v>1110448</v>
      </c>
      <c r="G52" s="41">
        <v>39</v>
      </c>
      <c r="J52" s="24">
        <f t="shared" si="2"/>
        <v>1110448</v>
      </c>
    </row>
    <row r="53" spans="1:10" ht="15.75" thickBot="1">
      <c r="A53" s="41">
        <v>1971</v>
      </c>
      <c r="B53" s="43">
        <v>1955033</v>
      </c>
      <c r="C53" s="43">
        <v>1955033</v>
      </c>
      <c r="D53" s="43">
        <v>-103478</v>
      </c>
      <c r="F53" s="43">
        <v>1169450</v>
      </c>
      <c r="G53" s="41">
        <v>40.200000000000003</v>
      </c>
      <c r="J53" s="24">
        <f t="shared" si="2"/>
        <v>1169450</v>
      </c>
    </row>
    <row r="54" spans="1:10" ht="15.75" thickBot="1">
      <c r="A54" s="41">
        <v>1972</v>
      </c>
      <c r="B54" s="43">
        <v>2087133</v>
      </c>
      <c r="C54" s="43">
        <v>2087133</v>
      </c>
      <c r="D54" s="43">
        <v>-102234</v>
      </c>
      <c r="F54" s="43">
        <v>1366627</v>
      </c>
      <c r="G54" s="41">
        <v>39.9</v>
      </c>
      <c r="J54" s="24">
        <f t="shared" si="2"/>
        <v>1366627</v>
      </c>
    </row>
    <row r="55" spans="1:10" ht="15.75" thickBot="1">
      <c r="A55" s="41">
        <v>1973</v>
      </c>
      <c r="B55" s="43">
        <v>2308098</v>
      </c>
      <c r="C55" s="43">
        <v>2308098</v>
      </c>
      <c r="D55" s="43">
        <v>-123869</v>
      </c>
      <c r="F55" s="43">
        <v>1564701</v>
      </c>
      <c r="G55" s="41">
        <v>39.200000000000003</v>
      </c>
      <c r="J55" s="24">
        <f t="shared" si="2"/>
        <v>1564701</v>
      </c>
    </row>
    <row r="56" spans="1:10" ht="15.75" thickBot="1">
      <c r="A56" s="41">
        <v>1974</v>
      </c>
      <c r="B56" s="43">
        <v>2114980</v>
      </c>
      <c r="C56" s="43">
        <v>2114980</v>
      </c>
      <c r="D56" s="43">
        <v>-138371</v>
      </c>
      <c r="F56" s="43">
        <v>1266412</v>
      </c>
      <c r="G56" s="41">
        <v>40.4</v>
      </c>
      <c r="J56" s="24">
        <f t="shared" si="2"/>
        <v>1266412</v>
      </c>
    </row>
    <row r="57" spans="1:10" ht="15.75" thickBot="1">
      <c r="A57" s="41">
        <v>1975</v>
      </c>
      <c r="B57" s="43">
        <v>2336053</v>
      </c>
      <c r="C57" s="43">
        <v>2336053</v>
      </c>
      <c r="D57" s="43">
        <v>-154208</v>
      </c>
      <c r="F57" s="43">
        <v>1442519</v>
      </c>
      <c r="G57" s="41">
        <v>38.700000000000003</v>
      </c>
      <c r="J57" s="24">
        <f t="shared" si="2"/>
        <v>1442519</v>
      </c>
    </row>
    <row r="58" spans="1:10" ht="15.75" thickBot="1">
      <c r="A58" s="41">
        <v>1976</v>
      </c>
      <c r="B58" s="43">
        <v>2487851</v>
      </c>
      <c r="C58" s="43">
        <v>2487851</v>
      </c>
      <c r="D58" s="43">
        <v>-160715</v>
      </c>
      <c r="F58" s="43">
        <v>1305857</v>
      </c>
      <c r="G58" s="41">
        <v>37.6</v>
      </c>
      <c r="H58" s="41">
        <v>31.8</v>
      </c>
      <c r="J58" s="24">
        <f t="shared" si="2"/>
        <v>1305857</v>
      </c>
    </row>
    <row r="59" spans="1:10" ht="15.75" thickBot="1">
      <c r="A59" s="41">
        <v>1977</v>
      </c>
      <c r="B59" s="43">
        <v>2720758</v>
      </c>
      <c r="C59" s="43">
        <v>2720758</v>
      </c>
      <c r="D59" s="43">
        <v>-176855</v>
      </c>
      <c r="F59" s="43">
        <v>1303299</v>
      </c>
      <c r="G59" s="41">
        <v>37</v>
      </c>
      <c r="H59" s="41">
        <v>31.1</v>
      </c>
      <c r="J59" s="24">
        <f t="shared" si="2"/>
        <v>1303299</v>
      </c>
    </row>
    <row r="60" spans="1:10" ht="15.75" thickBot="1">
      <c r="A60" s="41">
        <v>1978</v>
      </c>
      <c r="B60" s="43">
        <v>2929157</v>
      </c>
      <c r="C60" s="43">
        <v>2929157</v>
      </c>
      <c r="D60" s="43">
        <v>-199991</v>
      </c>
      <c r="F60" s="43">
        <v>1513024</v>
      </c>
      <c r="G60" s="41">
        <v>38.200000000000003</v>
      </c>
      <c r="H60" s="41">
        <v>32.299999999999997</v>
      </c>
      <c r="J60" s="24">
        <f t="shared" si="2"/>
        <v>1513024</v>
      </c>
    </row>
    <row r="61" spans="1:10" ht="15.75" thickBot="1">
      <c r="A61" s="41">
        <v>1979</v>
      </c>
      <c r="B61" s="43">
        <v>3074832</v>
      </c>
      <c r="C61" s="43">
        <v>2996225</v>
      </c>
      <c r="D61" s="43">
        <v>78607</v>
      </c>
      <c r="F61" s="43">
        <v>1611267</v>
      </c>
      <c r="G61" s="41">
        <v>37.5</v>
      </c>
      <c r="H61" s="41">
        <v>31.3</v>
      </c>
      <c r="J61" s="24">
        <f t="shared" si="2"/>
        <v>1611267</v>
      </c>
    </row>
    <row r="62" spans="1:10" ht="15.75" thickBot="1">
      <c r="A62" s="41">
        <v>1980</v>
      </c>
      <c r="B62" s="43">
        <v>3377582</v>
      </c>
      <c r="C62" s="43">
        <v>3293344</v>
      </c>
      <c r="D62" s="43">
        <v>84238</v>
      </c>
      <c r="F62" s="43">
        <v>1494470</v>
      </c>
      <c r="G62" s="41">
        <v>37.299999999999997</v>
      </c>
      <c r="H62" s="41">
        <v>29.8</v>
      </c>
      <c r="J62" s="24">
        <f t="shared" si="2"/>
        <v>1494470</v>
      </c>
    </row>
    <row r="63" spans="1:10" ht="15.75" thickBot="1">
      <c r="A63" s="41">
        <v>1981</v>
      </c>
      <c r="B63" s="43">
        <v>3327300</v>
      </c>
      <c r="C63" s="43">
        <v>3220418</v>
      </c>
      <c r="D63" s="43">
        <v>106882</v>
      </c>
      <c r="F63" s="43">
        <v>1492804</v>
      </c>
      <c r="G63" s="41">
        <v>38.299999999999997</v>
      </c>
      <c r="H63" s="41">
        <v>29.1</v>
      </c>
      <c r="J63" s="24">
        <f t="shared" si="2"/>
        <v>1492804</v>
      </c>
    </row>
    <row r="64" spans="1:10" ht="15.75" thickBot="1">
      <c r="A64" s="41">
        <v>1982</v>
      </c>
      <c r="B64" s="43">
        <v>3283372</v>
      </c>
      <c r="C64" s="43">
        <v>3144557</v>
      </c>
      <c r="D64" s="43">
        <v>138815</v>
      </c>
      <c r="F64" s="43">
        <v>1523786</v>
      </c>
      <c r="G64" s="41">
        <v>38.799999999999997</v>
      </c>
      <c r="H64" s="41">
        <v>29</v>
      </c>
      <c r="J64" s="24">
        <f t="shared" si="2"/>
        <v>1523786</v>
      </c>
    </row>
    <row r="65" spans="1:10" ht="15.75" thickBot="1">
      <c r="A65" s="41">
        <v>1983</v>
      </c>
      <c r="B65" s="43">
        <v>3406431</v>
      </c>
      <c r="C65" s="43">
        <v>3272335</v>
      </c>
      <c r="D65" s="43">
        <v>134096</v>
      </c>
      <c r="F65" s="43">
        <v>1598638</v>
      </c>
      <c r="G65" s="41">
        <v>40.200000000000003</v>
      </c>
      <c r="H65" s="41">
        <v>29.7</v>
      </c>
      <c r="J65" s="24">
        <f t="shared" si="2"/>
        <v>1598638</v>
      </c>
    </row>
    <row r="66" spans="1:10" ht="15.75" thickBot="1">
      <c r="A66" s="41">
        <v>1984</v>
      </c>
      <c r="B66" s="43">
        <v>3583320</v>
      </c>
      <c r="C66" s="43">
        <v>3429249</v>
      </c>
      <c r="D66" s="43">
        <v>154071</v>
      </c>
      <c r="F66" s="43">
        <v>1624009</v>
      </c>
      <c r="G66" s="41">
        <v>40.799999999999997</v>
      </c>
      <c r="H66" s="41">
        <v>29.9</v>
      </c>
      <c r="J66" s="24">
        <f t="shared" si="2"/>
        <v>1624009</v>
      </c>
    </row>
    <row r="67" spans="1:10" ht="15.75" thickBot="1">
      <c r="A67" s="41">
        <v>1985</v>
      </c>
      <c r="B67" s="43">
        <v>3801929</v>
      </c>
      <c r="C67" s="43">
        <v>3665622</v>
      </c>
      <c r="D67" s="43">
        <v>136307</v>
      </c>
      <c r="F67" s="43">
        <v>1683494</v>
      </c>
      <c r="G67" s="41">
        <v>41.8</v>
      </c>
      <c r="H67" s="41">
        <v>30.3</v>
      </c>
      <c r="J67" s="24">
        <f t="shared" si="2"/>
        <v>1683494</v>
      </c>
    </row>
    <row r="68" spans="1:10" ht="15.75" thickBot="1">
      <c r="A68" s="41">
        <v>1986</v>
      </c>
      <c r="B68" s="43">
        <v>3812691</v>
      </c>
      <c r="C68" s="43">
        <v>3660167</v>
      </c>
      <c r="D68" s="43">
        <v>152524</v>
      </c>
      <c r="F68" s="43">
        <v>1753984</v>
      </c>
      <c r="G68" s="41">
        <v>42.8</v>
      </c>
      <c r="H68" s="41">
        <v>30.7</v>
      </c>
      <c r="J68" s="24">
        <f t="shared" si="2"/>
        <v>1753984</v>
      </c>
    </row>
    <row r="69" spans="1:10" ht="15.75" thickBot="1">
      <c r="A69" s="41">
        <v>1987</v>
      </c>
      <c r="B69" s="43">
        <v>3830539</v>
      </c>
      <c r="C69" s="43">
        <v>3638279</v>
      </c>
      <c r="D69" s="43">
        <v>192260</v>
      </c>
      <c r="F69" s="43">
        <v>1875711</v>
      </c>
      <c r="G69" s="41">
        <v>43.2</v>
      </c>
      <c r="H69" s="41">
        <v>31.2</v>
      </c>
      <c r="J69" s="24">
        <f t="shared" si="2"/>
        <v>1875711</v>
      </c>
    </row>
    <row r="70" spans="1:10" ht="15.75" thickBot="1">
      <c r="A70" s="41">
        <v>1988</v>
      </c>
      <c r="B70" s="43">
        <v>4213068</v>
      </c>
      <c r="C70" s="43">
        <v>3968697</v>
      </c>
      <c r="D70" s="43">
        <v>244371</v>
      </c>
      <c r="F70" s="43">
        <v>2120273</v>
      </c>
      <c r="G70" s="41">
        <v>42.7</v>
      </c>
      <c r="H70" s="41">
        <v>31.5</v>
      </c>
      <c r="J70" s="24">
        <f t="shared" si="2"/>
        <v>2120273</v>
      </c>
    </row>
    <row r="71" spans="1:10" ht="15.75" thickBot="1">
      <c r="A71" s="41">
        <v>1989</v>
      </c>
      <c r="B71" s="43">
        <v>4447483</v>
      </c>
      <c r="C71" s="43">
        <v>3975902</v>
      </c>
      <c r="D71" s="43">
        <v>471581</v>
      </c>
      <c r="F71" s="43">
        <v>2308863</v>
      </c>
      <c r="G71" s="41">
        <v>41.5</v>
      </c>
      <c r="H71" s="41">
        <v>31.8</v>
      </c>
      <c r="J71" s="24">
        <f t="shared" si="2"/>
        <v>2308863</v>
      </c>
    </row>
    <row r="72" spans="1:10" ht="15.75" thickBot="1">
      <c r="A72" s="41">
        <v>1990</v>
      </c>
      <c r="B72" s="43">
        <v>4890028</v>
      </c>
      <c r="C72" s="43">
        <v>4212373</v>
      </c>
      <c r="D72" s="43">
        <v>677655</v>
      </c>
      <c r="F72" s="43">
        <v>2504291</v>
      </c>
      <c r="G72" s="41">
        <v>41.9</v>
      </c>
      <c r="H72" s="41">
        <v>32.200000000000003</v>
      </c>
      <c r="J72" s="24">
        <f t="shared" si="2"/>
        <v>2504291</v>
      </c>
    </row>
    <row r="73" spans="1:10" ht="15.75" thickBot="1">
      <c r="A73" s="41">
        <v>1991</v>
      </c>
      <c r="B73" s="43">
        <v>4754998</v>
      </c>
      <c r="C73" s="43">
        <v>4085081</v>
      </c>
      <c r="D73" s="43">
        <v>669917</v>
      </c>
      <c r="F73" s="43">
        <v>2355356</v>
      </c>
      <c r="G73" s="41">
        <v>41</v>
      </c>
      <c r="H73" s="41">
        <v>31.3</v>
      </c>
      <c r="J73" s="24">
        <f t="shared" si="2"/>
        <v>2355356</v>
      </c>
    </row>
    <row r="74" spans="1:10" ht="15.75" thickBot="1">
      <c r="A74" s="41">
        <v>1992</v>
      </c>
      <c r="B74" s="43">
        <v>4695807</v>
      </c>
      <c r="C74" s="43">
        <v>3931341</v>
      </c>
      <c r="D74" s="43">
        <v>764466</v>
      </c>
      <c r="F74" s="43">
        <v>2231117</v>
      </c>
      <c r="G74" s="41">
        <v>41.8</v>
      </c>
      <c r="H74" s="41">
        <v>32.1</v>
      </c>
      <c r="J74" s="24">
        <f t="shared" si="2"/>
        <v>2231117</v>
      </c>
    </row>
    <row r="75" spans="1:10" ht="15.75" thickBot="1">
      <c r="A75" s="41">
        <v>1993</v>
      </c>
      <c r="B75" s="43">
        <v>4450464</v>
      </c>
      <c r="C75" s="43">
        <v>3561750</v>
      </c>
      <c r="D75" s="43">
        <v>888714</v>
      </c>
      <c r="F75" s="43">
        <v>2065687</v>
      </c>
      <c r="G75" s="41">
        <v>42.3</v>
      </c>
      <c r="H75" s="41">
        <v>31.9</v>
      </c>
      <c r="J75" s="24">
        <f t="shared" si="2"/>
        <v>2065687</v>
      </c>
    </row>
    <row r="76" spans="1:10" ht="15.75" thickBot="1">
      <c r="A76" s="41">
        <v>1994</v>
      </c>
      <c r="B76" s="43">
        <v>4559748</v>
      </c>
      <c r="C76" s="43">
        <v>3508456</v>
      </c>
      <c r="D76" s="43">
        <v>1051292</v>
      </c>
      <c r="F76" s="43">
        <v>2040570</v>
      </c>
      <c r="G76" s="41">
        <v>41.5</v>
      </c>
      <c r="H76" s="41">
        <v>31.3</v>
      </c>
      <c r="J76" s="24">
        <f t="shared" si="2"/>
        <v>2040570</v>
      </c>
    </row>
    <row r="77" spans="1:10" ht="28.5" thickBot="1">
      <c r="A77" s="41">
        <v>1995</v>
      </c>
      <c r="B77" s="43">
        <v>4424701</v>
      </c>
      <c r="C77" s="43">
        <v>3171277</v>
      </c>
      <c r="D77" s="43">
        <v>1253424</v>
      </c>
      <c r="F77" s="43">
        <v>2060125</v>
      </c>
      <c r="G77" s="41">
        <v>40</v>
      </c>
      <c r="H77" s="41">
        <v>30</v>
      </c>
      <c r="I77" s="47" t="s">
        <v>133</v>
      </c>
      <c r="J77" s="24">
        <f>F77</f>
        <v>2060125</v>
      </c>
    </row>
    <row r="78" spans="1:10" ht="15.75" thickBot="1">
      <c r="A78" s="41">
        <v>1996</v>
      </c>
      <c r="B78" s="43">
        <v>4756093</v>
      </c>
      <c r="C78" s="43">
        <v>3410060</v>
      </c>
      <c r="D78" s="43">
        <v>1346033</v>
      </c>
      <c r="F78" s="43">
        <v>2135276</v>
      </c>
      <c r="G78" s="41">
        <v>39.700000000000003</v>
      </c>
      <c r="H78" s="41">
        <v>30.2</v>
      </c>
      <c r="I78" s="41">
        <v>2621.8</v>
      </c>
      <c r="J78" s="24">
        <f t="shared" si="2"/>
        <v>2137897.7999999998</v>
      </c>
    </row>
    <row r="79" spans="1:10" ht="15.75" thickBot="1">
      <c r="A79" s="41">
        <v>1997</v>
      </c>
      <c r="B79" s="43">
        <v>4892117</v>
      </c>
      <c r="C79" s="43">
        <v>3502046</v>
      </c>
      <c r="D79" s="43">
        <v>1390071</v>
      </c>
      <c r="F79" s="43">
        <v>2005949</v>
      </c>
      <c r="G79" s="41">
        <v>39.200000000000003</v>
      </c>
      <c r="H79" s="41">
        <v>29.8</v>
      </c>
      <c r="I79" s="41">
        <v>2837.6</v>
      </c>
      <c r="J79" s="24">
        <f t="shared" si="2"/>
        <v>2008786.6</v>
      </c>
    </row>
    <row r="80" spans="1:10" ht="15.75" thickBot="1">
      <c r="A80" s="41">
        <v>1998</v>
      </c>
      <c r="B80" s="43">
        <v>4633370</v>
      </c>
      <c r="C80" s="43">
        <v>3165805</v>
      </c>
      <c r="D80" s="43">
        <v>1467565</v>
      </c>
      <c r="F80" s="43">
        <v>1711037</v>
      </c>
      <c r="G80" s="41">
        <v>39.4</v>
      </c>
      <c r="H80" s="41">
        <v>29.1</v>
      </c>
      <c r="I80" s="41">
        <v>2930</v>
      </c>
      <c r="J80" s="24">
        <f t="shared" si="2"/>
        <v>1713967</v>
      </c>
    </row>
    <row r="81" spans="1:10" ht="15.75" thickBot="1">
      <c r="A81" s="41">
        <v>1999</v>
      </c>
      <c r="B81" s="43">
        <v>4729421</v>
      </c>
      <c r="C81" s="43">
        <v>3118226</v>
      </c>
      <c r="D81" s="43">
        <v>1611195</v>
      </c>
      <c r="F81" s="43">
        <v>1664400</v>
      </c>
      <c r="G81" s="41">
        <v>41.7</v>
      </c>
      <c r="H81" s="41">
        <v>28.4</v>
      </c>
      <c r="I81" s="41">
        <v>3058.1</v>
      </c>
      <c r="J81" s="24">
        <f t="shared" si="2"/>
        <v>1667458.1</v>
      </c>
    </row>
    <row r="82" spans="1:10" ht="15.75" thickBot="1">
      <c r="A82" s="41">
        <v>2000</v>
      </c>
      <c r="B82" s="43">
        <v>5180651</v>
      </c>
      <c r="C82" s="43">
        <v>3429209</v>
      </c>
      <c r="D82" s="43">
        <v>1751442</v>
      </c>
      <c r="F82" s="43">
        <v>1771661</v>
      </c>
      <c r="G82" s="41">
        <v>43.2</v>
      </c>
      <c r="H82" s="41">
        <v>29.7</v>
      </c>
      <c r="I82" s="41">
        <v>3382.6</v>
      </c>
      <c r="J82" s="24">
        <f t="shared" si="2"/>
        <v>1775043.6</v>
      </c>
    </row>
    <row r="83" spans="1:10" ht="15.75" thickBot="1">
      <c r="A83" s="41">
        <v>2001</v>
      </c>
      <c r="B83" s="43">
        <v>5134629</v>
      </c>
      <c r="C83" s="43">
        <v>3354424</v>
      </c>
      <c r="D83" s="43">
        <v>1780205</v>
      </c>
      <c r="F83" s="43">
        <v>1715152</v>
      </c>
      <c r="G83" s="41">
        <v>42.2</v>
      </c>
      <c r="H83" s="41">
        <v>29</v>
      </c>
      <c r="I83" s="41">
        <v>3546.7</v>
      </c>
      <c r="J83" s="24">
        <f t="shared" si="2"/>
        <v>1718698.7</v>
      </c>
    </row>
    <row r="84" spans="1:10" ht="15.75" thickBot="1">
      <c r="A84" s="41">
        <v>2002</v>
      </c>
      <c r="B84" s="43">
        <v>5640389</v>
      </c>
      <c r="C84" s="43">
        <v>3485168</v>
      </c>
      <c r="D84" s="43">
        <v>2155221</v>
      </c>
      <c r="F84" s="43">
        <v>1680479</v>
      </c>
      <c r="G84" s="41">
        <v>42.4</v>
      </c>
      <c r="H84" s="41">
        <v>29</v>
      </c>
      <c r="I84" s="41">
        <v>3838.3</v>
      </c>
      <c r="J84" s="24">
        <f t="shared" si="2"/>
        <v>1684317.3</v>
      </c>
    </row>
    <row r="85" spans="1:10" ht="15.75" thickBot="1">
      <c r="A85" s="41">
        <v>2003</v>
      </c>
      <c r="B85" s="43">
        <v>6078282</v>
      </c>
      <c r="C85" s="43">
        <v>3520018</v>
      </c>
      <c r="D85" s="43">
        <v>2558264</v>
      </c>
      <c r="F85" s="43">
        <v>1715908</v>
      </c>
      <c r="G85" s="41">
        <v>42.6</v>
      </c>
      <c r="H85" s="41">
        <v>29.4</v>
      </c>
      <c r="I85" s="41">
        <v>4354.5</v>
      </c>
      <c r="J85" s="24">
        <f t="shared" si="2"/>
        <v>1720262.5</v>
      </c>
    </row>
    <row r="86" spans="1:10" ht="15.75" thickBot="1">
      <c r="A86" s="41">
        <v>2004</v>
      </c>
      <c r="B86" s="43">
        <v>6723674</v>
      </c>
      <c r="C86" s="43">
        <v>3680946</v>
      </c>
      <c r="D86" s="43">
        <v>3042728</v>
      </c>
      <c r="F86" s="43">
        <v>1759624</v>
      </c>
      <c r="G86" s="41">
        <v>44.4</v>
      </c>
      <c r="H86" s="41">
        <v>30.1</v>
      </c>
      <c r="I86" s="41">
        <v>4948.8</v>
      </c>
      <c r="J86" s="24">
        <f t="shared" si="2"/>
        <v>1764572.8</v>
      </c>
    </row>
    <row r="87" spans="1:10" ht="15.75" thickBot="1">
      <c r="A87" s="41">
        <v>2005</v>
      </c>
      <c r="B87" s="43">
        <v>7360885</v>
      </c>
      <c r="C87" s="43">
        <v>3789582</v>
      </c>
      <c r="D87" s="43">
        <v>3571303</v>
      </c>
      <c r="F87" s="43">
        <v>1714205</v>
      </c>
      <c r="G87" s="41">
        <v>43.6</v>
      </c>
      <c r="H87" s="41">
        <v>29.3</v>
      </c>
      <c r="I87" s="41">
        <v>5554.1</v>
      </c>
      <c r="J87" s="24">
        <f t="shared" si="2"/>
        <v>1719759.1</v>
      </c>
    </row>
    <row r="88" spans="1:10" ht="15.75" thickBot="1">
      <c r="A88" s="41">
        <v>2006</v>
      </c>
      <c r="B88" s="43">
        <v>8093163</v>
      </c>
      <c r="C88" s="43">
        <v>4194188</v>
      </c>
      <c r="D88" s="43">
        <v>3898975</v>
      </c>
      <c r="F88" s="43">
        <v>1692253</v>
      </c>
      <c r="G88" s="41">
        <v>45.5</v>
      </c>
      <c r="H88" s="41">
        <v>29.5</v>
      </c>
      <c r="I88" s="41">
        <v>6229.3</v>
      </c>
      <c r="J88" s="24">
        <f t="shared" si="2"/>
        <v>1698482.3</v>
      </c>
    </row>
    <row r="89" spans="1:10" ht="15.75" thickBot="1">
      <c r="A89" s="41">
        <v>2007</v>
      </c>
      <c r="B89" s="43">
        <v>8534690</v>
      </c>
      <c r="C89" s="43">
        <v>4226137</v>
      </c>
      <c r="D89" s="43">
        <v>4308553</v>
      </c>
      <c r="F89" s="43">
        <v>1587335</v>
      </c>
      <c r="G89" s="41">
        <v>46.2</v>
      </c>
      <c r="H89" s="41">
        <v>29.6</v>
      </c>
      <c r="I89" s="41">
        <v>6841.9</v>
      </c>
      <c r="J89" s="24">
        <f t="shared" si="2"/>
        <v>1594176.9</v>
      </c>
    </row>
    <row r="90" spans="1:10" ht="15.75" thickBot="1">
      <c r="A90" s="41">
        <v>2008</v>
      </c>
      <c r="B90" s="43">
        <v>8210558</v>
      </c>
      <c r="C90" s="43">
        <v>4012128</v>
      </c>
      <c r="D90" s="43">
        <v>4198430</v>
      </c>
      <c r="F90" s="43">
        <v>1470043</v>
      </c>
      <c r="G90" s="41">
        <v>45.7</v>
      </c>
      <c r="H90" s="41">
        <v>28.9</v>
      </c>
      <c r="I90" s="41">
        <v>6526.1</v>
      </c>
      <c r="J90" s="24">
        <f t="shared" si="2"/>
        <v>1476569.1</v>
      </c>
    </row>
    <row r="91" spans="1:10" ht="15.75" thickBot="1">
      <c r="A91" s="41">
        <v>2009</v>
      </c>
      <c r="B91" s="43">
        <v>6371291</v>
      </c>
      <c r="C91" s="43">
        <v>2792274</v>
      </c>
      <c r="D91" s="43">
        <v>3579017</v>
      </c>
      <c r="F91" s="43">
        <v>1375509</v>
      </c>
      <c r="G91" s="41">
        <v>47.1</v>
      </c>
      <c r="H91" s="41">
        <v>29.8</v>
      </c>
      <c r="I91" s="41">
        <v>5604</v>
      </c>
      <c r="J91" s="24">
        <f t="shared" si="2"/>
        <v>1381113</v>
      </c>
    </row>
    <row r="92" spans="1:10" ht="15.75" thickBot="1">
      <c r="A92" s="41">
        <v>2010</v>
      </c>
      <c r="B92" s="43">
        <v>7623349</v>
      </c>
      <c r="C92" s="43">
        <v>3282855</v>
      </c>
      <c r="D92" s="43">
        <v>4340494</v>
      </c>
      <c r="F92" s="43">
        <v>1566157</v>
      </c>
      <c r="G92" s="41">
        <v>48.5</v>
      </c>
      <c r="H92" s="41">
        <v>31.6</v>
      </c>
      <c r="I92" s="41">
        <v>5961.6</v>
      </c>
      <c r="J92" s="24">
        <f t="shared" si="2"/>
        <v>1572118.6</v>
      </c>
    </row>
    <row r="93" spans="1:10" ht="15.75" thickBot="1">
      <c r="A93" s="41">
        <v>2011</v>
      </c>
      <c r="B93" s="43">
        <v>6928813</v>
      </c>
      <c r="C93" s="43">
        <v>2760028</v>
      </c>
      <c r="D93" s="43">
        <v>4168785</v>
      </c>
      <c r="F93" s="43">
        <v>1200976</v>
      </c>
      <c r="G93" s="41">
        <v>44.4</v>
      </c>
      <c r="H93" s="41">
        <v>28.5</v>
      </c>
      <c r="I93" s="41">
        <v>5895.9</v>
      </c>
      <c r="J93" s="24">
        <f t="shared" si="2"/>
        <v>1206871.8999999999</v>
      </c>
    </row>
    <row r="95" spans="1:10" ht="15.75" thickBot="1">
      <c r="A95" t="s">
        <v>123</v>
      </c>
    </row>
    <row r="96" spans="1:10" ht="45.75" thickBot="1">
      <c r="A96" s="45" t="s">
        <v>112</v>
      </c>
      <c r="B96" s="45" t="s">
        <v>116</v>
      </c>
      <c r="C96" s="45" t="s">
        <v>117</v>
      </c>
      <c r="D96" s="45" t="s">
        <v>6</v>
      </c>
      <c r="E96" s="45" t="s">
        <v>118</v>
      </c>
    </row>
    <row r="97" spans="1:5" ht="15.75" thickBot="1">
      <c r="A97" s="46">
        <v>1950</v>
      </c>
      <c r="B97" s="41">
        <v>548</v>
      </c>
      <c r="C97" s="43">
        <v>8680</v>
      </c>
      <c r="D97" s="43">
        <v>9228</v>
      </c>
      <c r="E97" s="41">
        <v>34.4</v>
      </c>
    </row>
    <row r="98" spans="1:5" ht="15.75" thickBot="1">
      <c r="A98" s="46">
        <v>1951</v>
      </c>
      <c r="B98" s="43">
        <v>1718</v>
      </c>
      <c r="C98" s="43">
        <v>8408</v>
      </c>
      <c r="D98" s="43">
        <v>10126</v>
      </c>
      <c r="E98" s="41">
        <v>35.9</v>
      </c>
    </row>
    <row r="99" spans="1:5" ht="15.75" thickBot="1">
      <c r="A99" s="46">
        <v>1952</v>
      </c>
      <c r="B99" s="43">
        <v>2102</v>
      </c>
      <c r="C99" s="43">
        <v>12262</v>
      </c>
      <c r="D99" s="43">
        <v>14364</v>
      </c>
      <c r="E99" s="41">
        <v>38.6</v>
      </c>
    </row>
    <row r="100" spans="1:5" ht="15.75" thickBot="1">
      <c r="A100" s="46">
        <v>1953</v>
      </c>
      <c r="B100" s="43">
        <v>3530</v>
      </c>
      <c r="C100" s="43">
        <v>11353</v>
      </c>
      <c r="D100" s="43">
        <v>14883</v>
      </c>
      <c r="E100" s="41">
        <v>30.5</v>
      </c>
    </row>
    <row r="101" spans="1:5" ht="15.75" thickBot="1">
      <c r="A101" s="46">
        <v>1954</v>
      </c>
      <c r="B101" s="43">
        <v>4217</v>
      </c>
      <c r="C101" s="43">
        <v>16551</v>
      </c>
      <c r="D101" s="43">
        <v>20768</v>
      </c>
      <c r="E101" s="41">
        <v>33.299999999999997</v>
      </c>
    </row>
    <row r="102" spans="1:5" ht="15.75" thickBot="1">
      <c r="A102" s="46">
        <v>1955</v>
      </c>
      <c r="B102" s="43">
        <v>7055</v>
      </c>
      <c r="C102" s="43">
        <v>15185</v>
      </c>
      <c r="D102" s="43">
        <v>22240</v>
      </c>
      <c r="E102" s="41">
        <v>34.5</v>
      </c>
    </row>
    <row r="103" spans="1:5" ht="15.75" thickBot="1">
      <c r="A103" s="46">
        <v>1956</v>
      </c>
      <c r="B103" s="43">
        <v>11938</v>
      </c>
      <c r="C103" s="43">
        <v>31613</v>
      </c>
      <c r="D103" s="43">
        <v>43551</v>
      </c>
      <c r="E103" s="41">
        <v>41.5</v>
      </c>
    </row>
    <row r="104" spans="1:5" ht="15.75" thickBot="1">
      <c r="A104" s="46">
        <v>1957</v>
      </c>
      <c r="B104" s="43">
        <v>18666</v>
      </c>
      <c r="C104" s="43">
        <v>52742</v>
      </c>
      <c r="D104" s="43">
        <v>71408</v>
      </c>
      <c r="E104" s="41">
        <v>44.7</v>
      </c>
    </row>
    <row r="105" spans="1:5" ht="15.75" thickBot="1">
      <c r="A105" s="46">
        <v>1958</v>
      </c>
      <c r="B105" s="43">
        <v>20728</v>
      </c>
      <c r="C105" s="43">
        <v>54512</v>
      </c>
      <c r="D105" s="43">
        <v>75240</v>
      </c>
      <c r="E105" s="41">
        <v>44.2</v>
      </c>
    </row>
    <row r="106" spans="1:5" ht="15.75" thickBot="1">
      <c r="A106" s="46">
        <v>1959</v>
      </c>
      <c r="B106" s="43">
        <v>27876</v>
      </c>
      <c r="C106" s="43">
        <v>62268</v>
      </c>
      <c r="D106" s="43">
        <v>90144</v>
      </c>
      <c r="E106" s="41">
        <v>38.9</v>
      </c>
    </row>
    <row r="107" spans="1:5" ht="15.75" thickBot="1">
      <c r="A107" s="46">
        <v>1960</v>
      </c>
      <c r="B107" s="43">
        <v>39011</v>
      </c>
      <c r="C107" s="43">
        <v>88433</v>
      </c>
      <c r="D107" s="43">
        <v>127444</v>
      </c>
      <c r="E107" s="41">
        <v>37</v>
      </c>
    </row>
    <row r="108" spans="1:5" ht="15.75" thickBot="1">
      <c r="A108" s="46">
        <v>1961</v>
      </c>
      <c r="B108" s="43">
        <v>65506</v>
      </c>
      <c r="C108" s="43">
        <v>110737</v>
      </c>
      <c r="D108" s="43">
        <v>176243</v>
      </c>
      <c r="E108" s="41">
        <v>35.4</v>
      </c>
    </row>
    <row r="109" spans="1:5" ht="15.75" thickBot="1">
      <c r="A109" s="46">
        <v>1962</v>
      </c>
      <c r="B109" s="43">
        <v>75592</v>
      </c>
      <c r="C109" s="43">
        <v>131959</v>
      </c>
      <c r="D109" s="43">
        <v>207551</v>
      </c>
      <c r="E109" s="41">
        <v>35.200000000000003</v>
      </c>
    </row>
    <row r="110" spans="1:5" ht="15.75" thickBot="1">
      <c r="A110" s="46">
        <v>1963</v>
      </c>
      <c r="B110" s="43">
        <v>118614</v>
      </c>
      <c r="C110" s="43">
        <v>168619</v>
      </c>
      <c r="D110" s="43">
        <v>287233</v>
      </c>
      <c r="E110" s="41">
        <v>36.4</v>
      </c>
    </row>
    <row r="111" spans="1:5" ht="15.75" thickBot="1">
      <c r="A111" s="46">
        <v>1964</v>
      </c>
      <c r="B111" s="43">
        <v>158326</v>
      </c>
      <c r="C111" s="43">
        <v>210874</v>
      </c>
      <c r="D111" s="43">
        <v>369200</v>
      </c>
      <c r="E111" s="41">
        <v>35.700000000000003</v>
      </c>
    </row>
    <row r="112" spans="1:5" ht="15.75" thickBot="1">
      <c r="A112" s="46">
        <v>1965</v>
      </c>
      <c r="B112" s="43">
        <v>197679</v>
      </c>
      <c r="C112" s="43">
        <v>212171</v>
      </c>
      <c r="D112" s="43">
        <v>409850</v>
      </c>
      <c r="E112" s="41">
        <v>35.1</v>
      </c>
    </row>
    <row r="113" spans="1:8" ht="15.75" thickBot="1">
      <c r="A113" s="46">
        <v>1966</v>
      </c>
      <c r="B113" s="43">
        <v>245517</v>
      </c>
      <c r="C113" s="43">
        <v>237474</v>
      </c>
      <c r="D113" s="43">
        <v>482991</v>
      </c>
      <c r="E113" s="41">
        <v>32.9</v>
      </c>
    </row>
    <row r="114" spans="1:8" ht="15.75" thickBot="1">
      <c r="A114" s="46">
        <v>1967</v>
      </c>
      <c r="B114" s="43">
        <v>354435</v>
      </c>
      <c r="C114" s="43">
        <v>300306</v>
      </c>
      <c r="D114" s="43">
        <v>654741</v>
      </c>
      <c r="E114" s="41">
        <v>34</v>
      </c>
    </row>
    <row r="115" spans="1:8" ht="15.75" thickBot="1">
      <c r="A115" s="46">
        <v>1968</v>
      </c>
      <c r="B115" s="43">
        <v>452622</v>
      </c>
      <c r="C115" s="43">
        <v>354590</v>
      </c>
      <c r="D115" s="43">
        <v>807212</v>
      </c>
      <c r="E115" s="41">
        <v>35.4</v>
      </c>
    </row>
    <row r="116" spans="1:8" ht="15.75" thickBot="1">
      <c r="A116" s="46">
        <v>1969</v>
      </c>
      <c r="B116" s="43">
        <v>637348</v>
      </c>
      <c r="C116" s="43">
        <v>403596</v>
      </c>
      <c r="D116" s="43">
        <v>1040944</v>
      </c>
      <c r="E116" s="41">
        <v>38.4</v>
      </c>
    </row>
    <row r="117" spans="1:8" ht="15.75" thickBot="1">
      <c r="A117" s="46">
        <v>1970</v>
      </c>
      <c r="B117" s="43">
        <v>706962</v>
      </c>
      <c r="C117" s="43">
        <v>403486</v>
      </c>
      <c r="D117" s="43">
        <v>1110448</v>
      </c>
      <c r="E117" s="41">
        <v>39</v>
      </c>
    </row>
    <row r="118" spans="1:8" ht="15.75" thickBot="1">
      <c r="A118" s="46">
        <v>1971</v>
      </c>
      <c r="B118" s="43">
        <v>780802</v>
      </c>
      <c r="C118" s="43">
        <v>388648</v>
      </c>
      <c r="D118" s="43">
        <v>1169450</v>
      </c>
      <c r="E118" s="41">
        <v>40.200000000000003</v>
      </c>
    </row>
    <row r="119" spans="1:8" ht="15.75" thickBot="1">
      <c r="A119" s="46">
        <v>1972</v>
      </c>
      <c r="B119" s="43">
        <v>927085</v>
      </c>
      <c r="C119" s="43">
        <v>439542</v>
      </c>
      <c r="D119" s="43">
        <v>1366627</v>
      </c>
      <c r="E119" s="41">
        <v>39.9</v>
      </c>
    </row>
    <row r="120" spans="1:8" ht="15.75" thickBot="1">
      <c r="A120" s="46">
        <v>1973</v>
      </c>
      <c r="B120" s="43">
        <v>1073217</v>
      </c>
      <c r="C120" s="43">
        <v>491484</v>
      </c>
      <c r="D120" s="43">
        <v>1564701</v>
      </c>
      <c r="E120" s="41">
        <v>39.200000000000003</v>
      </c>
    </row>
    <row r="121" spans="1:8" ht="15.75" thickBot="1">
      <c r="A121" s="46">
        <v>1974</v>
      </c>
      <c r="B121" s="43">
        <v>885114</v>
      </c>
      <c r="C121" s="43">
        <v>381298</v>
      </c>
      <c r="D121" s="43">
        <v>1266412</v>
      </c>
      <c r="E121" s="41">
        <v>40.4</v>
      </c>
    </row>
    <row r="122" spans="1:8" ht="15.75" thickBot="1">
      <c r="A122" s="46">
        <v>1975</v>
      </c>
      <c r="B122" s="43">
        <v>1065943</v>
      </c>
      <c r="C122" s="43">
        <v>376576</v>
      </c>
      <c r="D122" s="43">
        <v>1442519</v>
      </c>
      <c r="E122" s="41">
        <v>38.700000000000003</v>
      </c>
    </row>
    <row r="123" spans="1:8" ht="75.75" thickBot="1">
      <c r="A123" s="45" t="s">
        <v>119</v>
      </c>
      <c r="B123" s="45" t="s">
        <v>116</v>
      </c>
      <c r="C123" s="45" t="s">
        <v>120</v>
      </c>
      <c r="D123" s="45" t="s">
        <v>121</v>
      </c>
      <c r="E123" s="45" t="s">
        <v>117</v>
      </c>
      <c r="F123" s="45" t="s">
        <v>6</v>
      </c>
      <c r="G123" s="45" t="s">
        <v>118</v>
      </c>
      <c r="H123" s="45" t="s">
        <v>122</v>
      </c>
    </row>
    <row r="124" spans="1:8" ht="15.75" thickBot="1">
      <c r="A124" s="46">
        <v>1976</v>
      </c>
      <c r="B124" s="43">
        <v>898673</v>
      </c>
      <c r="C124" s="43">
        <v>29124</v>
      </c>
      <c r="D124" s="43">
        <v>927797</v>
      </c>
      <c r="E124" s="43">
        <v>378060</v>
      </c>
      <c r="F124" s="43">
        <v>1305857</v>
      </c>
      <c r="G124" s="41">
        <v>37.6</v>
      </c>
      <c r="H124" s="41">
        <v>31.8</v>
      </c>
    </row>
    <row r="125" spans="1:8" ht="15.75" thickBot="1">
      <c r="A125" s="46">
        <v>1977</v>
      </c>
      <c r="B125" s="43">
        <v>892501</v>
      </c>
      <c r="C125" s="43">
        <v>47727</v>
      </c>
      <c r="D125" s="43">
        <v>940228</v>
      </c>
      <c r="E125" s="43">
        <v>363071</v>
      </c>
      <c r="F125" s="43">
        <v>1303299</v>
      </c>
      <c r="G125" s="41">
        <v>37</v>
      </c>
      <c r="H125" s="41">
        <v>31.1</v>
      </c>
    </row>
    <row r="126" spans="1:8" ht="15.75" thickBot="1">
      <c r="A126" s="46">
        <v>1978</v>
      </c>
      <c r="B126" s="43">
        <v>1081919</v>
      </c>
      <c r="C126" s="43">
        <v>62337</v>
      </c>
      <c r="D126" s="43">
        <v>1144256</v>
      </c>
      <c r="E126" s="43">
        <v>368768</v>
      </c>
      <c r="F126" s="43">
        <v>1513024</v>
      </c>
      <c r="G126" s="41">
        <v>38.200000000000003</v>
      </c>
      <c r="H126" s="41">
        <v>32.299999999999997</v>
      </c>
    </row>
    <row r="127" spans="1:8" ht="15.75" thickBot="1">
      <c r="A127" s="46">
        <v>1979</v>
      </c>
      <c r="B127" s="43">
        <v>1142426</v>
      </c>
      <c r="C127" s="43">
        <v>89483</v>
      </c>
      <c r="D127" s="43">
        <v>1231909</v>
      </c>
      <c r="E127" s="43">
        <v>379358</v>
      </c>
      <c r="F127" s="43">
        <v>1611267</v>
      </c>
      <c r="G127" s="41">
        <v>37.5</v>
      </c>
      <c r="H127" s="41">
        <v>31.3</v>
      </c>
    </row>
    <row r="128" spans="1:8" ht="15.75" thickBot="1">
      <c r="A128" s="46">
        <v>1980</v>
      </c>
      <c r="B128" s="43">
        <v>1064241</v>
      </c>
      <c r="C128" s="43">
        <v>101496</v>
      </c>
      <c r="D128" s="43">
        <v>1165737</v>
      </c>
      <c r="E128" s="43">
        <v>328733</v>
      </c>
      <c r="F128" s="43">
        <v>1494470</v>
      </c>
      <c r="G128" s="41">
        <v>37.299999999999997</v>
      </c>
      <c r="H128" s="41">
        <v>29.8</v>
      </c>
    </row>
    <row r="129" spans="1:8" ht="15.75" thickBot="1">
      <c r="A129" s="46">
        <v>1981</v>
      </c>
      <c r="B129" s="43">
        <v>1098088</v>
      </c>
      <c r="C129" s="43">
        <v>95960</v>
      </c>
      <c r="D129" s="43">
        <v>1194048</v>
      </c>
      <c r="E129" s="43">
        <v>298756</v>
      </c>
      <c r="F129" s="43">
        <v>1492804</v>
      </c>
      <c r="G129" s="41">
        <v>38.299999999999997</v>
      </c>
      <c r="H129" s="41">
        <v>29.1</v>
      </c>
    </row>
    <row r="130" spans="1:8" ht="15.75" thickBot="1">
      <c r="A130" s="46">
        <v>1982</v>
      </c>
      <c r="B130" s="43">
        <v>1173850</v>
      </c>
      <c r="C130" s="43">
        <v>77371</v>
      </c>
      <c r="D130" s="43">
        <v>1251221</v>
      </c>
      <c r="E130" s="43">
        <v>272565</v>
      </c>
      <c r="F130" s="43">
        <v>1523786</v>
      </c>
      <c r="G130" s="41">
        <v>38.799999999999997</v>
      </c>
      <c r="H130" s="41">
        <v>29</v>
      </c>
    </row>
    <row r="131" spans="1:8" ht="15.75" thickBot="1">
      <c r="A131" s="46">
        <v>1983</v>
      </c>
      <c r="B131" s="43">
        <v>1247610</v>
      </c>
      <c r="C131" s="43">
        <v>81574</v>
      </c>
      <c r="D131" s="43">
        <v>1329184</v>
      </c>
      <c r="E131" s="43">
        <v>269454</v>
      </c>
      <c r="F131" s="43">
        <v>1598638</v>
      </c>
      <c r="G131" s="41">
        <v>40.200000000000003</v>
      </c>
      <c r="H131" s="41">
        <v>29.7</v>
      </c>
    </row>
    <row r="132" spans="1:8" ht="15.75" thickBot="1">
      <c r="A132" s="46">
        <v>1984</v>
      </c>
      <c r="B132" s="43">
        <v>1274910</v>
      </c>
      <c r="C132" s="43">
        <v>83031</v>
      </c>
      <c r="D132" s="43">
        <v>1357941</v>
      </c>
      <c r="E132" s="43">
        <v>266068</v>
      </c>
      <c r="F132" s="43">
        <v>1624009</v>
      </c>
      <c r="G132" s="41">
        <v>40.799999999999997</v>
      </c>
      <c r="H132" s="41">
        <v>29.9</v>
      </c>
    </row>
    <row r="133" spans="1:8" ht="15.75" thickBot="1">
      <c r="A133" s="46">
        <v>1985</v>
      </c>
      <c r="B133" s="43">
        <v>1322893</v>
      </c>
      <c r="C133" s="43">
        <v>95558</v>
      </c>
      <c r="D133" s="43">
        <v>1418451</v>
      </c>
      <c r="E133" s="43">
        <v>265043</v>
      </c>
      <c r="F133" s="43">
        <v>1683494</v>
      </c>
      <c r="G133" s="41">
        <v>41.8</v>
      </c>
      <c r="H133" s="41">
        <v>30.3</v>
      </c>
    </row>
    <row r="134" spans="1:8" ht="15.75" thickBot="1">
      <c r="A134" s="46">
        <v>1986</v>
      </c>
      <c r="B134" s="43">
        <v>1382609</v>
      </c>
      <c r="C134" s="43">
        <v>112210</v>
      </c>
      <c r="D134" s="43">
        <v>1494819</v>
      </c>
      <c r="E134" s="43">
        <v>259165</v>
      </c>
      <c r="F134" s="43">
        <v>1753984</v>
      </c>
      <c r="G134" s="41">
        <v>42.8</v>
      </c>
      <c r="H134" s="41">
        <v>30.7</v>
      </c>
    </row>
    <row r="135" spans="1:8" ht="15.75" thickBot="1">
      <c r="A135" s="46">
        <v>1987</v>
      </c>
      <c r="B135" s="43">
        <v>1453833</v>
      </c>
      <c r="C135" s="43">
        <v>132277</v>
      </c>
      <c r="D135" s="43">
        <v>1586110</v>
      </c>
      <c r="E135" s="43">
        <v>289601</v>
      </c>
      <c r="F135" s="43">
        <v>1875711</v>
      </c>
      <c r="G135" s="41">
        <v>43.2</v>
      </c>
      <c r="H135" s="41">
        <v>31.2</v>
      </c>
    </row>
    <row r="136" spans="1:8" ht="15.75" thickBot="1">
      <c r="A136" s="46">
        <v>1988</v>
      </c>
      <c r="B136" s="43">
        <v>1633227</v>
      </c>
      <c r="C136" s="43">
        <v>158081</v>
      </c>
      <c r="D136" s="43">
        <v>1791308</v>
      </c>
      <c r="E136" s="43">
        <v>328965</v>
      </c>
      <c r="F136" s="43">
        <v>2120273</v>
      </c>
      <c r="G136" s="41">
        <v>42.7</v>
      </c>
      <c r="H136" s="41">
        <v>31.5</v>
      </c>
    </row>
    <row r="137" spans="1:8" ht="15.75" thickBot="1">
      <c r="A137" s="46">
        <v>1989</v>
      </c>
      <c r="B137" s="43">
        <v>1760966</v>
      </c>
      <c r="C137" s="43">
        <v>207477</v>
      </c>
      <c r="D137" s="43">
        <v>1968443</v>
      </c>
      <c r="E137" s="43">
        <v>340420</v>
      </c>
      <c r="F137" s="43">
        <v>2308863</v>
      </c>
      <c r="G137" s="41">
        <v>41.5</v>
      </c>
      <c r="H137" s="41">
        <v>31.8</v>
      </c>
    </row>
    <row r="138" spans="1:8" ht="15.75" thickBot="1">
      <c r="A138" s="46">
        <v>1990</v>
      </c>
      <c r="B138" s="43">
        <v>1893462</v>
      </c>
      <c r="C138" s="43">
        <v>262735</v>
      </c>
      <c r="D138" s="43">
        <v>2156197</v>
      </c>
      <c r="E138" s="43">
        <v>348094</v>
      </c>
      <c r="F138" s="43">
        <v>2504291</v>
      </c>
      <c r="G138" s="41">
        <v>41.9</v>
      </c>
      <c r="H138" s="41">
        <v>32.200000000000003</v>
      </c>
    </row>
    <row r="139" spans="1:8" ht="15.75" thickBot="1">
      <c r="A139" s="46">
        <v>1991</v>
      </c>
      <c r="B139" s="43">
        <v>1728403</v>
      </c>
      <c r="C139" s="43">
        <v>285212</v>
      </c>
      <c r="D139" s="43">
        <v>2013615</v>
      </c>
      <c r="E139" s="43">
        <v>341741</v>
      </c>
      <c r="F139" s="43">
        <v>2355356</v>
      </c>
      <c r="G139" s="41">
        <v>41</v>
      </c>
      <c r="H139" s="41">
        <v>31.3</v>
      </c>
    </row>
    <row r="140" spans="1:8" ht="15.75" thickBot="1">
      <c r="A140" s="46">
        <v>1992</v>
      </c>
      <c r="B140" s="43">
        <v>1576484</v>
      </c>
      <c r="C140" s="43">
        <v>348466</v>
      </c>
      <c r="D140" s="43">
        <v>1924950</v>
      </c>
      <c r="E140" s="43">
        <v>306167</v>
      </c>
      <c r="F140" s="43">
        <v>2231117</v>
      </c>
      <c r="G140" s="41">
        <v>41.8</v>
      </c>
      <c r="H140" s="41">
        <v>32.1</v>
      </c>
    </row>
    <row r="141" spans="1:8" ht="15.75" thickBot="1">
      <c r="A141" s="46">
        <v>1993</v>
      </c>
      <c r="B141" s="43">
        <v>1473053</v>
      </c>
      <c r="C141" s="43">
        <v>324242</v>
      </c>
      <c r="D141" s="43">
        <v>1797295</v>
      </c>
      <c r="E141" s="43">
        <v>268392</v>
      </c>
      <c r="F141" s="43">
        <v>2065687</v>
      </c>
      <c r="G141" s="41">
        <v>42.3</v>
      </c>
      <c r="H141" s="41">
        <v>31.9</v>
      </c>
    </row>
    <row r="142" spans="1:8" ht="15.75" thickBot="1">
      <c r="A142" s="46">
        <v>1994</v>
      </c>
      <c r="B142" s="43">
        <v>1426385</v>
      </c>
      <c r="C142" s="43">
        <v>351008</v>
      </c>
      <c r="D142" s="43">
        <v>1777393</v>
      </c>
      <c r="E142" s="43">
        <v>263177</v>
      </c>
      <c r="F142" s="43">
        <v>2040570</v>
      </c>
      <c r="G142" s="41">
        <v>41.5</v>
      </c>
      <c r="H142" s="41">
        <v>31.3</v>
      </c>
    </row>
    <row r="143" spans="1:8" ht="15.75" thickBot="1">
      <c r="A143" s="46">
        <v>1995</v>
      </c>
      <c r="B143" s="43">
        <v>1403594</v>
      </c>
      <c r="C143" s="43">
        <v>373572</v>
      </c>
      <c r="D143" s="43">
        <v>1777166</v>
      </c>
      <c r="E143" s="43">
        <v>282959</v>
      </c>
      <c r="F143" s="43">
        <v>2060125</v>
      </c>
      <c r="G143" s="41">
        <v>40</v>
      </c>
      <c r="H143" s="41">
        <v>30</v>
      </c>
    </row>
    <row r="144" spans="1:8" ht="15.75" thickBot="1">
      <c r="A144" s="46">
        <v>1996</v>
      </c>
      <c r="B144" s="43">
        <v>1346166</v>
      </c>
      <c r="C144" s="43">
        <v>503591</v>
      </c>
      <c r="D144" s="43">
        <v>1849757</v>
      </c>
      <c r="E144" s="43">
        <v>285519</v>
      </c>
      <c r="F144" s="43">
        <v>2135276</v>
      </c>
      <c r="G144" s="41">
        <v>39.700000000000003</v>
      </c>
      <c r="H144" s="41">
        <v>30.2</v>
      </c>
    </row>
    <row r="145" spans="1:8" ht="15.75" thickBot="1">
      <c r="A145" s="46">
        <v>1997</v>
      </c>
      <c r="B145" s="43">
        <v>1245681</v>
      </c>
      <c r="C145" s="43">
        <v>501232</v>
      </c>
      <c r="D145" s="43">
        <v>1746913</v>
      </c>
      <c r="E145" s="43">
        <v>259036</v>
      </c>
      <c r="F145" s="43">
        <v>2005949</v>
      </c>
      <c r="G145" s="41">
        <v>39.200000000000003</v>
      </c>
      <c r="H145" s="41">
        <v>29.8</v>
      </c>
    </row>
    <row r="146" spans="1:8" ht="15.75" thickBot="1">
      <c r="A146" s="46">
        <v>1998</v>
      </c>
      <c r="B146" s="43">
        <v>1062224</v>
      </c>
      <c r="C146" s="43">
        <v>450522</v>
      </c>
      <c r="D146" s="43">
        <v>1512746</v>
      </c>
      <c r="E146" s="43">
        <v>198291</v>
      </c>
      <c r="F146" s="43">
        <v>1711037</v>
      </c>
      <c r="G146" s="41">
        <v>39.4</v>
      </c>
      <c r="H146" s="41">
        <v>29.1</v>
      </c>
    </row>
    <row r="147" spans="1:8" ht="15.75" thickBot="1">
      <c r="A147" s="46">
        <v>1999</v>
      </c>
      <c r="B147" s="43">
        <v>1077447</v>
      </c>
      <c r="C147" s="43">
        <v>403227</v>
      </c>
      <c r="D147" s="43">
        <v>1480674</v>
      </c>
      <c r="E147" s="43">
        <v>183726</v>
      </c>
      <c r="F147" s="43">
        <v>1664400</v>
      </c>
      <c r="G147" s="41">
        <v>41.7</v>
      </c>
      <c r="H147" s="41">
        <v>28.4</v>
      </c>
    </row>
    <row r="148" spans="1:8" ht="15.75" thickBot="1">
      <c r="A148" s="46">
        <v>2000</v>
      </c>
      <c r="B148" s="43">
        <v>1160469</v>
      </c>
      <c r="C148" s="43">
        <v>425127</v>
      </c>
      <c r="D148" s="43">
        <v>1585596</v>
      </c>
      <c r="E148" s="43">
        <v>186065</v>
      </c>
      <c r="F148" s="43">
        <v>1771661</v>
      </c>
      <c r="G148" s="41">
        <v>43.2</v>
      </c>
      <c r="H148" s="41">
        <v>29.7</v>
      </c>
    </row>
    <row r="149" spans="1:8" ht="15.75" thickBot="1">
      <c r="A149" s="46">
        <v>2001</v>
      </c>
      <c r="B149" s="43">
        <v>1091858</v>
      </c>
      <c r="C149" s="43">
        <v>443916</v>
      </c>
      <c r="D149" s="43">
        <v>1535774</v>
      </c>
      <c r="E149" s="43">
        <v>179378</v>
      </c>
      <c r="F149" s="43">
        <v>1715152</v>
      </c>
      <c r="G149" s="41">
        <v>42.2</v>
      </c>
      <c r="H149" s="41">
        <v>29</v>
      </c>
    </row>
    <row r="150" spans="1:8" ht="15.75" thickBot="1">
      <c r="A150" s="46">
        <v>2002</v>
      </c>
      <c r="B150" s="43">
        <v>1028887</v>
      </c>
      <c r="C150" s="43">
        <v>493546</v>
      </c>
      <c r="D150" s="43">
        <v>1522433</v>
      </c>
      <c r="E150" s="43">
        <v>158046</v>
      </c>
      <c r="F150" s="43">
        <v>1680479</v>
      </c>
      <c r="G150" s="41">
        <v>42.4</v>
      </c>
      <c r="H150" s="41">
        <v>29</v>
      </c>
    </row>
    <row r="151" spans="1:8" ht="15.75" thickBot="1">
      <c r="A151" s="46">
        <v>2003</v>
      </c>
      <c r="B151" s="43">
        <v>899333</v>
      </c>
      <c r="C151" s="43">
        <v>629813</v>
      </c>
      <c r="D151" s="43">
        <v>1529146</v>
      </c>
      <c r="E151" s="43">
        <v>186762</v>
      </c>
      <c r="F151" s="43">
        <v>1715908</v>
      </c>
      <c r="G151" s="41">
        <v>42.6</v>
      </c>
      <c r="H151" s="41">
        <v>29.4</v>
      </c>
    </row>
    <row r="152" spans="1:8" ht="15.75" thickBot="1">
      <c r="A152" s="46">
        <v>2004</v>
      </c>
      <c r="B152" s="43">
        <v>968085</v>
      </c>
      <c r="C152" s="43">
        <v>609836</v>
      </c>
      <c r="D152" s="43">
        <v>1577921</v>
      </c>
      <c r="E152" s="43">
        <v>181703</v>
      </c>
      <c r="F152" s="43">
        <v>1759624</v>
      </c>
      <c r="G152" s="41">
        <v>44.4</v>
      </c>
      <c r="H152" s="41">
        <v>30.1</v>
      </c>
    </row>
    <row r="153" spans="1:8" ht="15.75" thickBot="1">
      <c r="A153" s="46">
        <v>2005</v>
      </c>
      <c r="B153" s="43">
        <v>942717</v>
      </c>
      <c r="C153" s="43">
        <v>575832</v>
      </c>
      <c r="D153" s="43">
        <v>1518549</v>
      </c>
      <c r="E153" s="43">
        <v>195656</v>
      </c>
      <c r="F153" s="43">
        <v>1714205</v>
      </c>
      <c r="G153" s="41">
        <v>43.6</v>
      </c>
      <c r="H153" s="41">
        <v>29.3</v>
      </c>
    </row>
    <row r="154" spans="1:8" ht="15.75" thickBot="1">
      <c r="A154" s="46">
        <v>2006</v>
      </c>
      <c r="B154" s="43">
        <v>922705</v>
      </c>
      <c r="C154" s="43">
        <v>569060</v>
      </c>
      <c r="D154" s="43">
        <v>1491765</v>
      </c>
      <c r="E154" s="43">
        <v>200488</v>
      </c>
      <c r="F154" s="43">
        <v>1692253</v>
      </c>
      <c r="G154" s="41">
        <v>45.5</v>
      </c>
      <c r="H154" s="41">
        <v>29.5</v>
      </c>
    </row>
    <row r="155" spans="1:8" ht="15.75" thickBot="1">
      <c r="A155" s="46">
        <v>2007</v>
      </c>
      <c r="B155" s="43">
        <v>906092</v>
      </c>
      <c r="C155" s="43">
        <v>503753</v>
      </c>
      <c r="D155" s="43">
        <v>1409845</v>
      </c>
      <c r="E155" s="43">
        <v>177490</v>
      </c>
      <c r="F155" s="43">
        <v>1587335</v>
      </c>
      <c r="G155" s="41">
        <v>46.2</v>
      </c>
      <c r="H155" s="41">
        <v>29.6</v>
      </c>
    </row>
    <row r="156" spans="1:8" ht="15.75" thickBot="1">
      <c r="A156" s="46">
        <v>2008</v>
      </c>
      <c r="B156" s="43">
        <v>841427</v>
      </c>
      <c r="C156" s="43">
        <v>475932</v>
      </c>
      <c r="D156" s="43">
        <v>1317359</v>
      </c>
      <c r="E156" s="43">
        <v>152684</v>
      </c>
      <c r="F156" s="43">
        <v>1470043</v>
      </c>
      <c r="G156" s="41">
        <v>45.7</v>
      </c>
      <c r="H156" s="41">
        <v>28.9</v>
      </c>
    </row>
    <row r="157" spans="1:8" ht="15.75" thickBot="1">
      <c r="A157" s="46">
        <v>2009</v>
      </c>
      <c r="B157" s="43">
        <v>799974</v>
      </c>
      <c r="C157" s="43">
        <v>466100</v>
      </c>
      <c r="D157" s="43">
        <v>1266074</v>
      </c>
      <c r="E157" s="43">
        <v>109435</v>
      </c>
      <c r="F157" s="43">
        <v>1375509</v>
      </c>
      <c r="G157" s="41">
        <v>47.1</v>
      </c>
      <c r="H157" s="41">
        <v>29.8</v>
      </c>
    </row>
    <row r="158" spans="1:8" ht="15.75" thickBot="1">
      <c r="A158" s="46">
        <v>2010</v>
      </c>
      <c r="B158" s="43">
        <v>972620</v>
      </c>
      <c r="C158" s="43">
        <v>475852</v>
      </c>
      <c r="D158" s="43">
        <v>1448472</v>
      </c>
      <c r="E158" s="43">
        <v>117685</v>
      </c>
      <c r="F158" s="43">
        <v>1566157</v>
      </c>
      <c r="G158" s="41">
        <v>48.5</v>
      </c>
      <c r="H158" s="41">
        <v>31.6</v>
      </c>
    </row>
    <row r="159" spans="1:8" ht="15.75" thickBot="1">
      <c r="A159" s="46">
        <v>2011</v>
      </c>
      <c r="B159" s="43">
        <v>709245</v>
      </c>
      <c r="C159" s="43">
        <v>370443</v>
      </c>
      <c r="D159" s="43">
        <v>1079688</v>
      </c>
      <c r="E159" s="43">
        <v>121288</v>
      </c>
      <c r="F159" s="43">
        <v>1200976</v>
      </c>
      <c r="G159" s="41">
        <v>44.4</v>
      </c>
      <c r="H159" s="41">
        <v>28.5</v>
      </c>
    </row>
    <row r="162" spans="1:10" ht="15.75" thickBot="1">
      <c r="A162" t="s">
        <v>132</v>
      </c>
    </row>
    <row r="163" spans="1:10" ht="30.75" thickBot="1">
      <c r="A163" s="45" t="s">
        <v>112</v>
      </c>
      <c r="B163" s="45" t="s">
        <v>124</v>
      </c>
      <c r="C163" s="45" t="s">
        <v>125</v>
      </c>
      <c r="D163" s="45" t="s">
        <v>126</v>
      </c>
      <c r="E163" s="45" t="s">
        <v>127</v>
      </c>
      <c r="F163" s="45" t="s">
        <v>128</v>
      </c>
      <c r="G163" s="45" t="s">
        <v>129</v>
      </c>
      <c r="H163" s="45" t="s">
        <v>130</v>
      </c>
      <c r="I163" s="45" t="s">
        <v>131</v>
      </c>
      <c r="J163" s="45" t="s">
        <v>6</v>
      </c>
    </row>
    <row r="164" spans="1:10" ht="15.75" thickBot="1">
      <c r="A164" s="46">
        <v>1996</v>
      </c>
      <c r="B164" s="41">
        <v>1233.3</v>
      </c>
      <c r="C164" s="41">
        <v>100.4</v>
      </c>
      <c r="D164" s="41">
        <v>438.8</v>
      </c>
      <c r="E164" s="41">
        <v>135.5</v>
      </c>
      <c r="F164" s="41">
        <v>431.5</v>
      </c>
      <c r="G164" s="41">
        <v>23.8</v>
      </c>
      <c r="H164" s="41">
        <v>114.4</v>
      </c>
      <c r="I164" s="41">
        <v>144.19999999999999</v>
      </c>
      <c r="J164" s="41">
        <v>2621.8</v>
      </c>
    </row>
    <row r="165" spans="1:10" ht="15.75" thickBot="1">
      <c r="A165" s="46">
        <v>1997</v>
      </c>
      <c r="B165" s="41">
        <v>1336.4</v>
      </c>
      <c r="C165" s="41">
        <v>135.4</v>
      </c>
      <c r="D165" s="41">
        <v>501.8</v>
      </c>
      <c r="E165" s="41">
        <v>143.6</v>
      </c>
      <c r="F165" s="41">
        <v>379.4</v>
      </c>
      <c r="G165" s="41">
        <v>46.3</v>
      </c>
      <c r="H165" s="41">
        <v>146.69999999999999</v>
      </c>
      <c r="I165" s="41">
        <v>148.19999999999999</v>
      </c>
      <c r="J165" s="41">
        <v>2837.6</v>
      </c>
    </row>
    <row r="166" spans="1:10" ht="15.75" thickBot="1">
      <c r="A166" s="46">
        <v>1998</v>
      </c>
      <c r="B166" s="41">
        <v>1489.4</v>
      </c>
      <c r="C166" s="41">
        <v>151.6</v>
      </c>
      <c r="D166" s="41">
        <v>560.5</v>
      </c>
      <c r="E166" s="41">
        <v>129.69999999999999</v>
      </c>
      <c r="F166" s="41">
        <v>201.2</v>
      </c>
      <c r="G166" s="41">
        <v>38.9</v>
      </c>
      <c r="H166" s="41">
        <v>182.3</v>
      </c>
      <c r="I166" s="41">
        <v>176.5</v>
      </c>
      <c r="J166" s="41">
        <v>2930</v>
      </c>
    </row>
    <row r="167" spans="1:10" ht="15.75" thickBot="1">
      <c r="A167" s="46">
        <v>1999</v>
      </c>
      <c r="B167" s="41">
        <v>1605.3</v>
      </c>
      <c r="C167" s="41">
        <v>125.9</v>
      </c>
      <c r="D167" s="41">
        <v>606.79999999999995</v>
      </c>
      <c r="E167" s="41">
        <v>123.2</v>
      </c>
      <c r="F167" s="41">
        <v>249.3</v>
      </c>
      <c r="G167" s="41">
        <v>14.3</v>
      </c>
      <c r="H167" s="41">
        <v>161.4</v>
      </c>
      <c r="I167" s="41">
        <v>171.8</v>
      </c>
      <c r="J167" s="41">
        <v>3058.1</v>
      </c>
    </row>
    <row r="168" spans="1:10" ht="15.75" thickBot="1">
      <c r="A168" s="46">
        <v>2000</v>
      </c>
      <c r="B168" s="41">
        <v>1742.8</v>
      </c>
      <c r="C168" s="41">
        <v>129.1</v>
      </c>
      <c r="D168" s="41">
        <v>671.9</v>
      </c>
      <c r="E168" s="41">
        <v>121.8</v>
      </c>
      <c r="F168" s="41">
        <v>348.2</v>
      </c>
      <c r="G168" s="41">
        <v>23.5</v>
      </c>
      <c r="H168" s="41">
        <v>168.7</v>
      </c>
      <c r="I168" s="41">
        <v>176.7</v>
      </c>
      <c r="J168" s="41">
        <v>3382.6</v>
      </c>
    </row>
    <row r="169" spans="1:10" ht="15.75" thickBot="1">
      <c r="A169" s="46">
        <v>2001</v>
      </c>
      <c r="B169" s="41">
        <v>1869</v>
      </c>
      <c r="C169" s="41">
        <v>132</v>
      </c>
      <c r="D169" s="41">
        <v>672.3</v>
      </c>
      <c r="E169" s="41">
        <v>126.5</v>
      </c>
      <c r="F169" s="41">
        <v>348.3</v>
      </c>
      <c r="G169" s="41">
        <v>32</v>
      </c>
      <c r="H169" s="41">
        <v>204.3</v>
      </c>
      <c r="I169" s="41">
        <v>162.19999999999999</v>
      </c>
      <c r="J169" s="41">
        <v>3546.7</v>
      </c>
    </row>
    <row r="170" spans="1:10" ht="15.75" thickBot="1">
      <c r="A170" s="46">
        <v>2002</v>
      </c>
      <c r="B170" s="41">
        <v>1908.9</v>
      </c>
      <c r="C170" s="41">
        <v>128.80000000000001</v>
      </c>
      <c r="D170" s="41">
        <v>764.8</v>
      </c>
      <c r="E170" s="41">
        <v>139.80000000000001</v>
      </c>
      <c r="F170" s="41">
        <v>431.1</v>
      </c>
      <c r="G170" s="41">
        <v>62.3</v>
      </c>
      <c r="H170" s="41">
        <v>220.3</v>
      </c>
      <c r="I170" s="41">
        <v>182.2</v>
      </c>
      <c r="J170" s="41">
        <v>3838.3</v>
      </c>
    </row>
    <row r="171" spans="1:10" ht="15.75" thickBot="1">
      <c r="A171" s="46">
        <v>2003</v>
      </c>
      <c r="B171" s="41">
        <v>2031.3</v>
      </c>
      <c r="C171" s="41">
        <v>162.1</v>
      </c>
      <c r="D171" s="41">
        <v>851.5</v>
      </c>
      <c r="E171" s="41">
        <v>160.6</v>
      </c>
      <c r="F171" s="41">
        <v>575.1</v>
      </c>
      <c r="G171" s="41">
        <v>107.3</v>
      </c>
      <c r="H171" s="41">
        <v>251.4</v>
      </c>
      <c r="I171" s="41">
        <v>215.1</v>
      </c>
      <c r="J171" s="41">
        <v>4354.5</v>
      </c>
    </row>
    <row r="172" spans="1:10" ht="15.75" thickBot="1">
      <c r="A172" s="46">
        <v>2004</v>
      </c>
      <c r="B172" s="41">
        <v>2230.3000000000002</v>
      </c>
      <c r="C172" s="41">
        <v>214.9</v>
      </c>
      <c r="D172" s="41">
        <v>946.9</v>
      </c>
      <c r="E172" s="41">
        <v>206.7</v>
      </c>
      <c r="F172" s="41">
        <v>718.9</v>
      </c>
      <c r="G172" s="41">
        <v>127.4</v>
      </c>
      <c r="H172" s="41">
        <v>270.89999999999998</v>
      </c>
      <c r="I172" s="41">
        <v>232.8</v>
      </c>
      <c r="J172" s="41">
        <v>4948.8</v>
      </c>
    </row>
    <row r="173" spans="1:10" ht="15.75" thickBot="1">
      <c r="A173" s="46">
        <v>2005</v>
      </c>
      <c r="B173" s="41">
        <v>2436.1</v>
      </c>
      <c r="C173" s="41">
        <v>270.5</v>
      </c>
      <c r="D173" s="41">
        <v>995.2</v>
      </c>
      <c r="E173" s="41">
        <v>227.2</v>
      </c>
      <c r="F173" s="41">
        <v>868.6</v>
      </c>
      <c r="G173" s="41">
        <v>194.3</v>
      </c>
      <c r="H173" s="41">
        <v>325.3</v>
      </c>
      <c r="I173" s="41">
        <v>236.9</v>
      </c>
      <c r="J173" s="41">
        <v>5554.1</v>
      </c>
    </row>
    <row r="174" spans="1:10" ht="15.75" thickBot="1">
      <c r="A174" s="46">
        <v>2006</v>
      </c>
      <c r="B174" s="41">
        <v>2738.3</v>
      </c>
      <c r="C174" s="41">
        <v>339.4</v>
      </c>
      <c r="D174" s="41">
        <v>1124.0999999999999</v>
      </c>
      <c r="E174" s="41">
        <v>265.7</v>
      </c>
      <c r="F174" s="41">
        <v>788.1</v>
      </c>
      <c r="G174" s="41">
        <v>318.60000000000002</v>
      </c>
      <c r="H174" s="41">
        <v>404.8</v>
      </c>
      <c r="I174" s="41">
        <v>250.3</v>
      </c>
      <c r="J174" s="41">
        <v>6229.3</v>
      </c>
    </row>
    <row r="175" spans="1:10" ht="15.75" thickBot="1">
      <c r="A175" s="46">
        <v>2007</v>
      </c>
      <c r="B175" s="41">
        <v>2822.2</v>
      </c>
      <c r="C175" s="41">
        <v>379.4</v>
      </c>
      <c r="D175" s="41">
        <v>1238.5999999999999</v>
      </c>
      <c r="E175" s="41">
        <v>313.5</v>
      </c>
      <c r="F175" s="41">
        <v>818.2</v>
      </c>
      <c r="G175" s="41">
        <v>511.4</v>
      </c>
      <c r="H175" s="41">
        <v>482.7</v>
      </c>
      <c r="I175" s="41">
        <v>275.89999999999998</v>
      </c>
      <c r="J175" s="41">
        <v>6841.9</v>
      </c>
    </row>
    <row r="176" spans="1:10" ht="15.75" thickBot="1">
      <c r="A176" s="46">
        <v>2008</v>
      </c>
      <c r="B176" s="41">
        <v>2441.8000000000002</v>
      </c>
      <c r="C176" s="41">
        <v>370.2</v>
      </c>
      <c r="D176" s="41">
        <v>1119.5</v>
      </c>
      <c r="E176" s="41">
        <v>288.10000000000002</v>
      </c>
      <c r="F176" s="41">
        <v>840.4</v>
      </c>
      <c r="G176" s="41">
        <v>598.20000000000005</v>
      </c>
      <c r="H176" s="41">
        <v>590.1</v>
      </c>
      <c r="I176" s="41">
        <v>277.7</v>
      </c>
      <c r="J176" s="41">
        <v>6526.1</v>
      </c>
    </row>
    <row r="177" spans="1:10" ht="15.75" thickBot="1">
      <c r="A177" s="46">
        <v>2009</v>
      </c>
      <c r="B177" s="41">
        <v>1975.4</v>
      </c>
      <c r="C177" s="41">
        <v>293.60000000000002</v>
      </c>
      <c r="D177" s="41">
        <v>886</v>
      </c>
      <c r="E177" s="41">
        <v>201.4</v>
      </c>
      <c r="F177" s="41">
        <v>817.8</v>
      </c>
      <c r="G177" s="41">
        <v>716.1</v>
      </c>
      <c r="H177" s="41">
        <v>482.5</v>
      </c>
      <c r="I177" s="41">
        <v>231.2</v>
      </c>
      <c r="J177" s="41">
        <v>5604</v>
      </c>
    </row>
    <row r="178" spans="1:10" ht="15.75" thickBot="1">
      <c r="A178" s="46">
        <v>2010</v>
      </c>
      <c r="B178" s="41">
        <v>1935.5</v>
      </c>
      <c r="C178" s="41">
        <v>342.1</v>
      </c>
      <c r="D178" s="41">
        <v>785.8</v>
      </c>
      <c r="E178" s="41">
        <v>198</v>
      </c>
      <c r="F178" s="41">
        <v>1038.8</v>
      </c>
      <c r="G178" s="41">
        <v>857</v>
      </c>
      <c r="H178" s="41">
        <v>554.6</v>
      </c>
      <c r="I178" s="41">
        <v>249.7</v>
      </c>
      <c r="J178" s="41">
        <v>5961.6</v>
      </c>
    </row>
    <row r="179" spans="1:10" ht="15.75" thickBot="1">
      <c r="A179" s="46">
        <v>2011</v>
      </c>
      <c r="B179" s="41">
        <v>1806.9</v>
      </c>
      <c r="C179" s="41">
        <v>333.5</v>
      </c>
      <c r="D179" s="41">
        <v>801.9</v>
      </c>
      <c r="E179" s="41">
        <v>211.9</v>
      </c>
      <c r="F179" s="41">
        <v>1103</v>
      </c>
      <c r="G179" s="41">
        <v>895.2</v>
      </c>
      <c r="H179" s="41">
        <v>527.5</v>
      </c>
      <c r="I179" s="41">
        <v>215.9</v>
      </c>
      <c r="J179" s="41">
        <v>5895.9</v>
      </c>
    </row>
  </sheetData>
  <mergeCells count="7">
    <mergeCell ref="A12:C12"/>
    <mergeCell ref="A1:A3"/>
    <mergeCell ref="B1:B3"/>
    <mergeCell ref="C1:C3"/>
    <mergeCell ref="A4:A8"/>
    <mergeCell ref="B7:B8"/>
    <mergeCell ref="A9:B10"/>
  </mergeCells>
  <phoneticPr fontId="1"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I E A A B Q S w M E F A A C A A g A Q X N F U c Q W + p 2 q A A A A + A A A A B I A H A B D b 2 5 m a W c v U G F j a 2 F n Z S 5 4 b W w g o h g A K K A U A A A A A A A A A A A A A A A A A A A A A A A A A A A A h Y / R C o I w G I V f R X b v N s 1 Q 5 H d e d B O U E A T R 7 V h L R z r D z S a 9 W h c 9 U q + Q U F Z 3 X Z 7 D d + A 7 j 9 s d 8 q G p v Y v s j G p 1 h g J M k S e 1 a A 9 K l x n q 7 d F P U M 5 g w 8 W J l 9 I b Y W 3 S w a g M V d a e U 0 K c c 9 j N c N u V J K Q 0 I P t i v R W V b L i v t L F c C 4 k + q 8 P / F W K w e 8 m w E M c J n s c R x V E S A J l q K J T + I u F o j C m Q n x I W f W 3 7 T r J r 5 S 9 X Q K Y I 5 P 2 C P Q F Q S w M E F A A C A A g A Q X N F 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F z R V G l X V T k d g E A A B 4 H A A A T A B w A R m 9 y b X V s Y X M v U 2 V j d G l v b j E u b S C i G A A o o B Q A A A A A A A A A A A A A A A A A A A A A A A A A A A D t k 8 t O g 0 A U h v c k v M N k u o G E k N 4 T N S w M 1 e h C o 6 G 7 1 s U I p 5 R k m C F z a U q a v r u D F I v a q L H u K h v g / 5 g z h + + A h F h l n K G o P v c u b M u 2 5 J I I S F A h e K J r H C A K y r a Q O S K u R Q w m C e X K n / B Y 5 8 C U c 5 1 R 8 E P O l L m R D g 7 P 5 3 e l g f N F x g i L Y b 6 v 5 a u 1 w q 4 3 m w D N 8 k y B C L C H P R R y q n M m g 4 G H r l j M k 4 y l w d m o 6 6 F H z R V E q q Q Q 7 C / 9 e 8 7 g y f X q l j o 4 X B K W m p a n Z Q H Y 9 D Y l z + a h q S B M L r j I 6 + I V l E 7 d v 7 f Z 4 D r t m c 2 V I U j B W m 0 9 1 O R 9 k 9 8 y N R 7 6 1 b o W G L w H W 9 e 2 M n a w k b b M D m 7 p d P o u / n d 6 t N P E v O 4 K R H m 8 y q b S i Y r s 4 D e V f / N p n r h P A a n 5 K w k 9 X m R T 6 R u R w 5 b I 8 a j b 7 f 1 Q 5 Y P g u W E J u g G S g J B 7 n T u y y x u R a L b L L y m N Y k K J k I E S + p f T O b B / N S q p C E u I M B q r S q i g W n 4 a G + U s r X m D m M 6 f Q b z C A k S 1 V S X w A P 0 Q f T X S F 1 B L A Q I t A B Q A A g A I A E F z R V H E F v q d q g A A A P g A A A A S A A A A A A A A A A A A A A A A A A A A A A B D b 2 5 m a W c v U G F j a 2 F n Z S 5 4 b W x Q S w E C L Q A U A A I A C A B B c 0 V R D 8 r p q 6 Q A A A D p A A A A E w A A A A A A A A A A A A A A A A D 2 A A A A W 0 N v b n R l b n R f V H l w Z X N d L n h t b F B L A Q I t A B Q A A g A I A E F z R V G l X V T k d g E A A B 4 H A A A T A A A A A A A A A A A A A A A A A O c B A A B G b 3 J t d W x h c y 9 T Z W N 0 a W 9 u M S 5 t U E s F B g A A A A A D A A M A w g A A A K o 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w n A A A A A A A A e i c 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B y b 2 R 1 Y 3 R 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O C I g L z 4 8 R W 5 0 c n k g V H l w Z T 0 i R m l s b E V y c m 9 y Q 2 9 k Z S I g V m F s d W U 9 I n N V b m t u b 3 d u I i A v P j x F b n R y e S B U e X B l P S J G a W x s R X J y b 3 J D b 3 V u d C I g V m F s d W U 9 I m w w I i A v P j x F b n R y e S B U e X B l P S J G a W x s T G F z d F V w Z G F 0 Z W Q i I F Z h b H V l P S J k M j A y M C 0 w O S 0 z M F Q w M j o 1 N D o 0 N S 4 w O T Y 2 M z E x W i I g L z 4 8 R W 5 0 c n k g V H l w Z T 0 i R m l s b E N v b H V t b l R 5 c G V z I i B W Y W x 1 Z T 0 i c 0 J n T U Q 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w c m 9 k d W N 0 a W 9 u L 0 N o Y W 5 n Z W Q g V H l w Z S 5 7 Q 2 9 s d W 1 u M S w w f S Z x d W 9 0 O y w m c X V v d D t T Z W N 0 a W 9 u M S 9 w c m 9 k d W N 0 a W 9 u L 0 N o Y W 5 n Z W Q g V H l w Z S 5 7 Q 2 9 s d W 1 u M i w x f S Z x d W 9 0 O y w m c X V v d D t T Z W N 0 a W 9 u M S 9 w c m 9 k d W N 0 a W 9 u L 0 N o Y W 5 n Z W Q g V H l w Z S 5 7 Q 2 9 s d W 1 u M y w y f S Z x d W 9 0 O 1 0 s J n F 1 b 3 Q 7 Q 2 9 s d W 1 u Q 2 9 1 b n Q m c X V v d D s 6 M y w m c X V v d D t L Z X l D b 2 x 1 b W 5 O Y W 1 l c y Z x d W 9 0 O z p b X S w m c X V v d D t D b 2 x 1 b W 5 J Z G V u d G l 0 a W V z J n F 1 b 3 Q 7 O l s m c X V v d D t T Z W N 0 a W 9 u M S 9 w c m 9 k d W N 0 a W 9 u L 0 N o Y W 5 n Z W Q g V H l w Z S 5 7 Q 2 9 s d W 1 u M S w w f S Z x d W 9 0 O y w m c X V v d D t T Z W N 0 a W 9 u M S 9 w c m 9 k d W N 0 a W 9 u L 0 N o Y W 5 n Z W Q g V H l w Z S 5 7 Q 2 9 s d W 1 u M i w x f S Z x d W 9 0 O y w m c X V v d D t T Z W N 0 a W 9 u M S 9 w c m 9 k d W N 0 a W 9 u L 0 N o Y W 5 n Z W Q g V H l w Z S 5 7 Q 2 9 s d W 1 u M y w y f S Z x d W 9 0 O 1 0 s J n F 1 b 3 Q 7 U m V s Y X R p b 2 5 z a G l w S W 5 m b y Z x d W 9 0 O z p b X X 0 i I C 8 + P C 9 T d G F i b G V F b n R y a W V z P j w v S X R l b T 4 8 S X R l b T 4 8 S X R l b U x v Y 2 F 0 a W 9 u P j x J d G V t V H l w Z T 5 G b 3 J t d W x h P C 9 J d G V t V H l w Z T 4 8 S X R l b V B h d G g + U 2 V j d G l v b j E v c H J v Z H V j d G l v b i 9 T b 3 V y Y 2 U 8 L 0 l 0 Z W 1 Q Y X R o P j w v S X R l b U x v Y 2 F 0 a W 9 u P j x T d G F i b G V F b n R y a W V z I C 8 + P C 9 J d G V t P j x J d G V t P j x J d G V t T G 9 j Y X R p b 2 4 + P E l 0 Z W 1 U e X B l P k Z v c m 1 1 b G E 8 L 0 l 0 Z W 1 U e X B l P j x J d G V t U G F 0 a D 5 T Z W N 0 a W 9 u M S 9 w c m 9 k d W N 0 a W 9 u L 0 N o Y W 5 n Z W Q l M j B U e X B l P C 9 J d G V t U G F 0 a D 4 8 L 0 l 0 Z W 1 M b 2 N h d G l v b j 4 8 U 3 R h Y m x l R W 5 0 c m l l c y A v P j w v S X R l b T 4 8 S X R l b T 4 8 S X R l b U x v Y 2 F 0 a W 9 u P j x J d G V t V H l w Z T 5 G b 3 J t d W x h P C 9 J d G V t V H l w Z T 4 8 S X R l b V B h d G g + U 2 V j d G l v b j E v c H J v Z H V j d G l v b i 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3 B y b 2 R 1 Y 3 R p b 2 4 z 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C 0 w O S 0 z M F Q w M j o 1 N D o 0 N S 4 w O T Y 2 M z E x W i I g L z 4 8 R W 5 0 c n k g V H l w Z T 0 i R m l s b E N v b H V t b l R 5 c G V z I i B W Y W x 1 Z T 0 i c 0 J n T U Q i I C 8 + P E V u d H J 5 I F R 5 c G U 9 I k Z p b G x D b 2 x 1 b W 5 O Y W 1 l c y I g V m F s d W U 9 I n N b J n F 1 b 3 Q 7 Q 2 9 s d W 1 u M S Z x d W 9 0 O y w m c X V v d D t D b 2 x 1 b W 4 y J n F 1 b 3 Q 7 L C Z x d W 9 0 O 0 N v b H V t b j M m c X V v d D t d I i A v P j x F b n R y e S B U e X B l P S J G a W x s U 3 R h d H V z I i B W Y W x 1 Z T 0 i c 0 N v b X B s Z X R l I i A v P j x F b n R y e S B U e X B l P S J G a W x s Q 2 9 1 b n Q i I F Z h b H V l P S J s M T g i I C 8 + P E V u d H J 5 I F R 5 c G U 9 I l J l b G F 0 a W 9 u c 2 h p c E l u Z m 9 D b 2 5 0 Y W l u Z X I i I F Z h b H V l P S J z e y Z x d W 9 0 O 2 N v b H V t b k N v d W 5 0 J n F 1 b 3 Q 7 O j M s J n F 1 b 3 Q 7 a 2 V 5 Q 2 9 s d W 1 u T m F t Z X M m c X V v d D s 6 W 1 0 s J n F 1 b 3 Q 7 c X V l c n l S Z W x h d G l v b n N o a X B z J n F 1 b 3 Q 7 O l t d L C Z x d W 9 0 O 2 N v b H V t b k l k Z W 5 0 a X R p Z X M m c X V v d D s 6 W y Z x d W 9 0 O 1 N l Y 3 R p b 2 4 x L 3 B y b 2 R 1 Y 3 R p b 2 4 v Q 2 h h b m d l Z C B U e X B l L n t D b 2 x 1 b W 4 x L D B 9 J n F 1 b 3 Q 7 L C Z x d W 9 0 O 1 N l Y 3 R p b 2 4 x L 3 B y b 2 R 1 Y 3 R p b 2 4 v Q 2 h h b m d l Z C B U e X B l L n t D b 2 x 1 b W 4 y L D F 9 J n F 1 b 3 Q 7 L C Z x d W 9 0 O 1 N l Y 3 R p b 2 4 x L 3 B y b 2 R 1 Y 3 R p b 2 4 v Q 2 h h b m d l Z C B U e X B l L n t D b 2 x 1 b W 4 z L D J 9 J n F 1 b 3 Q 7 X S w m c X V v d D t D b 2 x 1 b W 5 D b 3 V u d C Z x d W 9 0 O z o z L C Z x d W 9 0 O 0 t l e U N v b H V t b k 5 h b W V z J n F 1 b 3 Q 7 O l t d L C Z x d W 9 0 O 0 N v b H V t b k l k Z W 5 0 a X R p Z X M m c X V v d D s 6 W y Z x d W 9 0 O 1 N l Y 3 R p b 2 4 x L 3 B y b 2 R 1 Y 3 R p b 2 4 v Q 2 h h b m d l Z C B U e X B l L n t D b 2 x 1 b W 4 x L D B 9 J n F 1 b 3 Q 7 L C Z x d W 9 0 O 1 N l Y 3 R p b 2 4 x L 3 B y b 2 R 1 Y 3 R p b 2 4 v Q 2 h h b m d l Z C B U e X B l L n t D b 2 x 1 b W 4 y L D F 9 J n F 1 b 3 Q 7 L C Z x d W 9 0 O 1 N l Y 3 R p b 2 4 x L 3 B y b 2 R 1 Y 3 R p b 2 4 v Q 2 h h b m d l Z C B U e X B l L n t D b 2 x 1 b W 4 z L D J 9 J n F 1 b 3 Q 7 X S w m c X V v d D t S Z W x h d G l v b n N o a X B J b m Z v J n F 1 b 3 Q 7 O l t d f S I g L z 4 8 R W 5 0 c n k g V H l w Z T 0 i T G 9 h Z G V k V G 9 B b m F s e X N p c 1 N l c n Z p Y 2 V z I i B W Y W x 1 Z T 0 i b D A i I C 8 + P C 9 T d G F i b G V F b n R y a W V z P j w v S X R l b T 4 8 S X R l b T 4 8 S X R l b U x v Y 2 F 0 a W 9 u P j x J d G V t V H l w Z T 5 G b 3 J t d W x h P C 9 J d G V t V H l w Z T 4 8 S X R l b V B h d G g + U 2 V j d G l v b j E v c H J v Z H V j d G l v b i U y M C g y K S 9 T b 3 V y Y 2 U 8 L 0 l 0 Z W 1 Q Y X R o P j w v S X R l b U x v Y 2 F 0 a W 9 u P j x T d G F i b G V F b n R y a W V z I C 8 + P C 9 J d G V t P j x J d G V t P j x J d G V t T G 9 j Y X R p b 2 4 + P E l 0 Z W 1 U e X B l P k Z v c m 1 1 b G E 8 L 0 l 0 Z W 1 U e X B l P j x J d G V t U G F 0 a D 5 T Z W N 0 a W 9 u M S 9 w c m 9 k d W N 0 a W 9 u J T I w K D I p L 0 N o Y W 5 n Z W Q l M j B U e X B l P C 9 J d G V t U G F 0 a D 4 8 L 0 l 0 Z W 1 M b 2 N h d G l v b j 4 8 U 3 R h Y m x l R W 5 0 c m l l c y A v P j w v S X R l b T 4 8 S X R l b T 4 8 S X R l b U x v Y 2 F 0 a W 9 u P j x J d G V t V H l w Z T 5 G b 3 J t d W x h P C 9 J d G V t V H l w Z T 4 8 S X R l b V B h d G g + U 2 V j d G l v b j E v Z G V s a X Z l c n 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O C I g L z 4 8 R W 5 0 c n k g V H l w Z T 0 i R m l s b E V y c m 9 y Q 2 9 k Z S I g V m F s d W U 9 I n N V b m t u b 3 d u I i A v P j x F b n R y e S B U e X B l P S J G a W x s R X J y b 3 J D b 3 V u d C I g V m F s d W U 9 I m w w I i A v P j x F b n R y e S B U e X B l P S J G a W x s T G F z d F V w Z G F 0 Z W Q i I F Z h b H V l P S J k M j A y M C 0 w O S 0 z M F Q w M z o z N T o 1 M y 4 3 N D Y 2 M z E x W i I g L z 4 8 R W 5 0 c n k g V H l w Z T 0 i R m l s b E N v b H V t b l R 5 c G V z I i B W Y W x 1 Z T 0 i c 0 J n T U Q 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k Z W x p d m V y e S 9 D a G F u Z 2 V k I F R 5 c G U u e 0 N v b H V t b j E s M H 0 m c X V v d D s s J n F 1 b 3 Q 7 U 2 V j d G l v b j E v Z G V s a X Z l c n k v Q 2 h h b m d l Z C B U e X B l L n t D b 2 x 1 b W 4 y L D F 9 J n F 1 b 3 Q 7 L C Z x d W 9 0 O 1 N l Y 3 R p b 2 4 x L 2 R l b G l 2 Z X J 5 L 0 N o Y W 5 n Z W Q g V H l w Z S 5 7 Q 2 9 s d W 1 u M y w y f S Z x d W 9 0 O 1 0 s J n F 1 b 3 Q 7 Q 2 9 s d W 1 u Q 2 9 1 b n Q m c X V v d D s 6 M y w m c X V v d D t L Z X l D b 2 x 1 b W 5 O Y W 1 l c y Z x d W 9 0 O z p b X S w m c X V v d D t D b 2 x 1 b W 5 J Z G V u d G l 0 a W V z J n F 1 b 3 Q 7 O l s m c X V v d D t T Z W N 0 a W 9 u M S 9 k Z W x p d m V y e S 9 D a G F u Z 2 V k I F R 5 c G U u e 0 N v b H V t b j E s M H 0 m c X V v d D s s J n F 1 b 3 Q 7 U 2 V j d G l v b j E v Z G V s a X Z l c n k v Q 2 h h b m d l Z C B U e X B l L n t D b 2 x 1 b W 4 y L D F 9 J n F 1 b 3 Q 7 L C Z x d W 9 0 O 1 N l Y 3 R p b 2 4 x L 2 R l b G l 2 Z X J 5 L 0 N o Y W 5 n Z W Q g V H l w Z S 5 7 Q 2 9 s d W 1 u M y w y f S Z x d W 9 0 O 1 0 s J n F 1 b 3 Q 7 U m V s Y X R p b 2 5 z a G l w S W 5 m b y Z x d W 9 0 O z p b X X 0 i I C 8 + P C 9 T d G F i b G V F b n R y a W V z P j w v S X R l b T 4 8 S X R l b T 4 8 S X R l b U x v Y 2 F 0 a W 9 u P j x J d G V t V H l w Z T 5 G b 3 J t d W x h P C 9 J d G V t V H l w Z T 4 8 S X R l b V B h d G g + U 2 V j d G l v b j E v Z G V s a X Z l c n k v U 2 9 1 c m N l P C 9 J d G V t U G F 0 a D 4 8 L 0 l 0 Z W 1 M b 2 N h d G l v b j 4 8 U 3 R h Y m x l R W 5 0 c m l l c y A v P j w v S X R l b T 4 8 S X R l b T 4 8 S X R l b U x v Y 2 F 0 a W 9 u P j x J d G V t V H l w Z T 5 G b 3 J t d W x h P C 9 J d G V t V H l w Z T 4 8 S X R l b V B h d G g + U 2 V j d G l v b j E v Z G V s a X Z l c n k v Q 2 h h b m d l Z C U y M F R 5 c G U 8 L 0 l 0 Z W 1 Q Y X R o P j w v S X R l b U x v Y 2 F 0 a W 9 u P j x T d G F i b G V F b n R y a W V z I C 8 + P C 9 J d G V t P j x J d G V t P j x J d G V t T G 9 j Y X R p b 2 4 + P E l 0 Z W 1 U e X B l P k Z v c m 1 1 b G E 8 L 0 l 0 Z W 1 U e X B l P j x J d G V t U G F 0 a D 5 T Z W N 0 a W 9 u M S 9 k Z W x p d m V y e 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2 R l b G l 2 Z X J 5 N C 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A t M D k t M z B U M D M 6 M z U 6 N T M u N z Q 2 N j M x M V o i I C 8 + P E V u d H J 5 I F R 5 c G U 9 I k Z p b G x D b 2 x 1 b W 5 U e X B l c y I g V m F s d W U 9 I n N C Z 0 1 E I i A v P j x F b n R y e S B U e X B l P S J G a W x s Q 2 9 s d W 1 u T m F t Z X M i I F Z h b H V l P S J z W y Z x d W 9 0 O 0 N v b H V t b j E m c X V v d D s s J n F 1 b 3 Q 7 Q 2 9 s d W 1 u M i Z x d W 9 0 O y w m c X V v d D t D b 2 x 1 b W 4 z J n F 1 b 3 Q 7 X S I g L z 4 8 R W 5 0 c n k g V H l w Z T 0 i R m l s b F N 0 Y X R 1 c y I g V m F s d W U 9 I n N D b 2 1 w b G V 0 Z S I g L z 4 8 R W 5 0 c n k g V H l w Z T 0 i R m l s b E N v d W 5 0 I i B W Y W x 1 Z T 0 i b D E 4 I i A v P j x F b n R y e S B U e X B l P S J S Z W x h d G l v b n N o a X B J b m Z v Q 2 9 u d G F p b m V y I i B W Y W x 1 Z T 0 i c 3 s m c X V v d D t j b 2 x 1 b W 5 D b 3 V u d C Z x d W 9 0 O z o z L C Z x d W 9 0 O 2 t l e U N v b H V t b k 5 h b W V z J n F 1 b 3 Q 7 O l t d L C Z x d W 9 0 O 3 F 1 Z X J 5 U m V s Y X R p b 2 5 z a G l w c y Z x d W 9 0 O z p b X S w m c X V v d D t j b 2 x 1 b W 5 J Z G V u d G l 0 a W V z J n F 1 b 3 Q 7 O l s m c X V v d D t T Z W N 0 a W 9 u M S 9 k Z W x p d m V y e S 9 D a G F u Z 2 V k I F R 5 c G U u e 0 N v b H V t b j E s M H 0 m c X V v d D s s J n F 1 b 3 Q 7 U 2 V j d G l v b j E v Z G V s a X Z l c n k v Q 2 h h b m d l Z C B U e X B l L n t D b 2 x 1 b W 4 y L D F 9 J n F 1 b 3 Q 7 L C Z x d W 9 0 O 1 N l Y 3 R p b 2 4 x L 2 R l b G l 2 Z X J 5 L 0 N o Y W 5 n Z W Q g V H l w Z S 5 7 Q 2 9 s d W 1 u M y w y f S Z x d W 9 0 O 1 0 s J n F 1 b 3 Q 7 Q 2 9 s d W 1 u Q 2 9 1 b n Q m c X V v d D s 6 M y w m c X V v d D t L Z X l D b 2 x 1 b W 5 O Y W 1 l c y Z x d W 9 0 O z p b X S w m c X V v d D t D b 2 x 1 b W 5 J Z G V u d G l 0 a W V z J n F 1 b 3 Q 7 O l s m c X V v d D t T Z W N 0 a W 9 u M S 9 k Z W x p d m V y e S 9 D a G F u Z 2 V k I F R 5 c G U u e 0 N v b H V t b j E s M H 0 m c X V v d D s s J n F 1 b 3 Q 7 U 2 V j d G l v b j E v Z G V s a X Z l c n k v Q 2 h h b m d l Z C B U e X B l L n t D b 2 x 1 b W 4 y L D F 9 J n F 1 b 3 Q 7 L C Z x d W 9 0 O 1 N l Y 3 R p b 2 4 x L 2 R l b G l 2 Z X J 5 L 0 N o Y W 5 n Z W Q g V H l w Z S 5 7 Q 2 9 s d W 1 u M y w y f S Z x d W 9 0 O 1 0 s J n F 1 b 3 Q 7 U m V s Y X R p b 2 5 z a G l w S W 5 m b y Z x d W 9 0 O z p b X X 0 i I C 8 + P E V u d H J 5 I F R 5 c G U 9 I k x v Y W R l Z F R v Q W 5 h b H l z a X N T Z X J 2 a W N l c y I g V m F s d W U 9 I m w w I i A v P j w v U 3 R h Y m x l R W 5 0 c m l l c z 4 8 L 0 l 0 Z W 0 + P E l 0 Z W 0 + P E l 0 Z W 1 M b 2 N h d G l v b j 4 8 S X R l b V R 5 c G U + R m 9 y b X V s Y T w v S X R l b V R 5 c G U + P E l 0 Z W 1 Q Y X R o P l N l Y 3 R p b 2 4 x L 2 R l b G l 2 Z X J 5 J T I w K D I p L 1 N v d X J j Z T w v S X R l b V B h d G g + P C 9 J d G V t T G 9 j Y X R p b 2 4 + P F N 0 Y W J s Z U V u d H J p Z X M g L z 4 8 L 0 l 0 Z W 0 + P E l 0 Z W 0 + P E l 0 Z W 1 M b 2 N h d G l v b j 4 8 S X R l b V R 5 c G U + R m 9 y b X V s Y T w v S X R l b V R 5 c G U + P E l 0 Z W 1 Q Y X R o P l N l Y 3 R p b 2 4 x L 2 R l b G l 2 Z X J 5 J T I w K D I p L 0 N o Y W 5 n Z W Q l M j B U e X B l P C 9 J d G V t U G F 0 a D 4 8 L 0 l 0 Z W 1 M b 2 N h d G l v b j 4 8 U 3 R h Y m x l R W 5 0 c m l l c y A v P j w v S X R l b T 4 8 S X R l b T 4 8 S X R l b U x v Y 2 F 0 a W 9 u P j x J d G V t V H l w Z T 5 G b 3 J t d W x h P C 9 J d G V t V H l w Z T 4 8 S X R l b V B h d G g + U 2 V j d G l v b j E v c m V n a W 9 u Y W w 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y Z W d p b 2 5 h b C I g L z 4 8 R W 5 0 c n k g V H l w Z T 0 i R m l s b G V k Q 2 9 t c G x l d G V S Z X N 1 b H R U b 1 d v c m t z a G V l d C I g V m F s d W U 9 I m w x I i A v P j x F b n R y e S B U e X B l P S J B Z G R l Z F R v R G F 0 Y U 1 v Z G V s I i B W Y W x 1 Z T 0 i b D A i I C 8 + P E V u d H J 5 I F R 5 c G U 9 I k Z p b G x D b 3 V u d C I g V m F s d W U 9 I m w x M S I g L z 4 8 R W 5 0 c n k g V H l w Z T 0 i R m l s b E V y c m 9 y Q 2 9 k Z S I g V m F s d W U 9 I n N V b m t u b 3 d u I i A v P j x F b n R y e S B U e X B l P S J G a W x s R X J y b 3 J D b 3 V u d C I g V m F s d W U 9 I m w w I i A v P j x F b n R y e S B U e X B l P S J G a W x s T G F z d F V w Z G F 0 Z W Q i I F Z h b H V l P S J k M j A y M C 0 x M C 0 w N V Q w N j o y N j o w M y 4 y M j k w M D A w W i I g L z 4 8 R W 5 0 c n k g V H l w Z T 0 i R m l s b E N v b H V t b l R 5 c G V z I i B W Y W x 1 Z T 0 i c 0 J n V U Z C U T 0 9 I i A v P j x F b n R y e S B U e X B l P S J G a W x s Q 2 9 s d W 1 u T m F t Z X M i I F Z h b H V l P S J z W y Z x d W 9 0 O 3 N 0 Y W 5 k Y X J k I H J h b m d l I H B s d X M m c X V v d D s s J n F 1 b 3 Q 7 b G 9 u Z y B y Y W 5 n Z S Z x d W 9 0 O y w m c X V v d D t w Z X J m b 3 J t Y W 5 j Z S Z x d W 9 0 O y w m c X V v d D t D b 2 x 1 b W 4 x 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c m V n a W 9 u Y W w v Q 2 h h b m d l Z C B U e X B l L n t z d G F u Z G F y Z C B y Y W 5 n Z S B w b H V z L D B 9 J n F 1 b 3 Q 7 L C Z x d W 9 0 O 1 N l Y 3 R p b 2 4 x L 3 J l Z 2 l v b m F s L 0 N o Y W 5 n Z W Q g V H l w Z S 5 7 b G 9 u Z y B y Y W 5 n Z S w x f S Z x d W 9 0 O y w m c X V v d D t T Z W N 0 a W 9 u M S 9 y Z W d p b 2 5 h b C 9 D a G F u Z 2 V k I F R 5 c G U u e 3 B l c m Z v c m 1 h b m N l L D J 9 J n F 1 b 3 Q 7 L C Z x d W 9 0 O 1 N l Y 3 R p b 2 4 x L 3 J l Z 2 l v b m F s L 0 N o Y W 5 n Z W Q g V H l w Z S 5 7 L D N 9 J n F 1 b 3 Q 7 X S w m c X V v d D t D b 2 x 1 b W 5 D b 3 V u d C Z x d W 9 0 O z o 0 L C Z x d W 9 0 O 0 t l e U N v b H V t b k 5 h b W V z J n F 1 b 3 Q 7 O l t d L C Z x d W 9 0 O 0 N v b H V t b k l k Z W 5 0 a X R p Z X M m c X V v d D s 6 W y Z x d W 9 0 O 1 N l Y 3 R p b 2 4 x L 3 J l Z 2 l v b m F s L 0 N o Y W 5 n Z W Q g V H l w Z S 5 7 c 3 R h b m R h c m Q g c m F u Z 2 U g c G x 1 c y w w f S Z x d W 9 0 O y w m c X V v d D t T Z W N 0 a W 9 u M S 9 y Z W d p b 2 5 h b C 9 D a G F u Z 2 V k I F R 5 c G U u e 2 x v b m c g c m F u Z 2 U s M X 0 m c X V v d D s s J n F 1 b 3 Q 7 U 2 V j d G l v b j E v c m V n a W 9 u Y W w v Q 2 h h b m d l Z C B U e X B l L n t w Z X J m b 3 J t Y W 5 j Z S w y f S Z x d W 9 0 O y w m c X V v d D t T Z W N 0 a W 9 u M S 9 y Z W d p b 2 5 h b C 9 D a G F u Z 2 V k I F R 5 c G U u e y w z f S Z x d W 9 0 O 1 0 s J n F 1 b 3 Q 7 U m V s Y X R p b 2 5 z a G l w S W 5 m b y Z x d W 9 0 O z p b X X 0 i I C 8 + P C 9 T d G F i b G V F b n R y a W V z P j w v S X R l b T 4 8 S X R l b T 4 8 S X R l b U x v Y 2 F 0 a W 9 u P j x J d G V t V H l w Z T 5 G b 3 J t d W x h P C 9 J d G V t V H l w Z T 4 8 S X R l b V B h d G g + U 2 V j d G l v b j E v c m V n a W 9 u Y W w v U 2 9 1 c m N l P C 9 J d G V t U G F 0 a D 4 8 L 0 l 0 Z W 1 M b 2 N h d G l v b j 4 8 U 3 R h Y m x l R W 5 0 c m l l c y A v P j w v S X R l b T 4 8 S X R l b T 4 8 S X R l b U x v Y 2 F 0 a W 9 u P j x J d G V t V H l w Z T 5 G b 3 J t d W x h P C 9 J d G V t V H l w Z T 4 8 S X R l b V B h d G g + U 2 V j d G l v b j E v c m V n a W 9 u Y W w v U H J v b W 9 0 Z W Q l M j B I Z W F k Z X J z P C 9 J d G V t U G F 0 a D 4 8 L 0 l 0 Z W 1 M b 2 N h d G l v b j 4 8 U 3 R h Y m x l R W 5 0 c m l l c y A v P j w v S X R l b T 4 8 S X R l b T 4 8 S X R l b U x v Y 2 F 0 a W 9 u P j x J d G V t V H l w Z T 5 G b 3 J t d W x h P C 9 J d G V t V H l w Z T 4 8 S X R l b V B h d G g + U 2 V j d G l v b j E v c m V n a W 9 u Y W w v Q 2 h h b m d l Z C U y M F R 5 c G U 8 L 0 l 0 Z W 1 Q Y X R o P j w v S X R l b U x v Y 2 F 0 a W 9 u P j x T d G F i b G V F b n R y a W V z I C 8 + P C 9 J d G V t P j w v S X R l b X M + P C 9 M b 2 N h b F B h Y 2 t h Z 2 V N Z X R h Z G F 0 Y U Z p b G U + F g A A A F B L B Q Y A A A A A A A A A A A A A A A A A A A A A A A D a A A A A A Q A A A N C M n d 8 B F d E R j H o A w E / C l + s B A A A A + u + H h C x 5 o E S j l 6 K m o r F 9 w Q A A A A A C A A A A A A A D Z g A A w A A A A B A A A A B 2 g T H a h t w C 5 f s T L k m 9 6 m P 5 A A A A A A S A A A C g A A A A E A A A A A 0 L H w H Q u 9 Z c U / Z F 5 e j 1 / f p Q A A A A Z + J 4 / Y r S e H O d n y I D W v n i 8 M H q L 5 t + a m K H 2 c 5 k X p k o F e e M s p Z I h s A Z A 7 0 G O l J l w 6 x S j B x R o H X k + 3 L f 1 p x N h 1 y 9 l L o n R T q v j 5 B u I q / U k m H l v r 0 U A A A A s L I J m d g J I o C r Y d v / r c Y Y 3 6 G n 9 Q M = < / D a t a M a s h u p > 
</file>

<file path=customXml/itemProps1.xml><?xml version="1.0" encoding="utf-8"?>
<ds:datastoreItem xmlns:ds="http://schemas.openxmlformats.org/officeDocument/2006/customXml" ds:itemID="{F42E790B-890C-4DB1-9B48-4C74895904D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Valuation</vt:lpstr>
      <vt:lpstr>Dividend Stock</vt:lpstr>
      <vt:lpstr>EV Battery Supply chain</vt:lpstr>
      <vt:lpstr>WACC</vt:lpstr>
      <vt:lpstr>Decreasing Indusctry Cost</vt:lpstr>
      <vt:lpstr>Toyota - production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Sheung KAM (Raymond) WONG</dc:creator>
  <cp:lastModifiedBy>raymond wong</cp:lastModifiedBy>
  <dcterms:created xsi:type="dcterms:W3CDTF">2015-06-05T18:17:20Z</dcterms:created>
  <dcterms:modified xsi:type="dcterms:W3CDTF">2024-01-01T11:33:43Z</dcterms:modified>
</cp:coreProperties>
</file>