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319103-BD13-4BE3-80A2-596F3687E46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yPortfolio" sheetId="1" r:id="rId1"/>
    <sheet name="correlation" sheetId="2" r:id="rId2"/>
    <sheet name="lognormal" sheetId="3" r:id="rId3"/>
    <sheet name="beta" sheetId="4" r:id="rId4"/>
    <sheet name="tangentPorfolio" sheetId="5" r:id="rId5"/>
  </sheets>
  <calcPr calcId="191029"/>
  <extLst>
    <ext uri="GoogleSheetsCustomDataVersion1">
      <go:sheetsCustomData xmlns:go="http://customooxmlschemas.google.com/" r:id="rId10" roundtripDataSignature="AMtx7mg3djwjKCAmetazX1NuZIsTUEdZDA=="/>
    </ext>
  </extLst>
</workbook>
</file>

<file path=xl/calcChain.xml><?xml version="1.0" encoding="utf-8"?>
<calcChain xmlns="http://schemas.openxmlformats.org/spreadsheetml/2006/main">
  <c r="AC39" i="1" l="1"/>
  <c r="AD39" i="1"/>
  <c r="AB39" i="1"/>
  <c r="AB23" i="1"/>
  <c r="AC37" i="1"/>
  <c r="Y5" i="1"/>
  <c r="Y6" i="1"/>
  <c r="D4" i="1" s="1"/>
  <c r="Y7" i="1"/>
  <c r="Y8" i="1"/>
  <c r="C8" i="1" s="1"/>
  <c r="Y9" i="1"/>
  <c r="Y10" i="1"/>
  <c r="Y11" i="1"/>
  <c r="Y12" i="1"/>
  <c r="C12" i="1" s="1"/>
  <c r="Y13" i="1"/>
  <c r="Y14" i="1"/>
  <c r="Y4" i="1"/>
  <c r="C19" i="1"/>
  <c r="D19" i="1"/>
  <c r="E19" i="1"/>
  <c r="G19" i="1"/>
  <c r="H19" i="1"/>
  <c r="I19" i="1"/>
  <c r="K19" i="1"/>
  <c r="L19" i="1"/>
  <c r="C4" i="1"/>
  <c r="E4" i="1"/>
  <c r="G4" i="1"/>
  <c r="H4" i="1"/>
  <c r="I4" i="1"/>
  <c r="J4" i="1"/>
  <c r="K4" i="1"/>
  <c r="L4" i="1"/>
  <c r="C5" i="1"/>
  <c r="D5" i="1"/>
  <c r="E5" i="1"/>
  <c r="G5" i="1"/>
  <c r="H5" i="1"/>
  <c r="I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G7" i="1"/>
  <c r="H7" i="1"/>
  <c r="I7" i="1"/>
  <c r="K7" i="1"/>
  <c r="L7" i="1"/>
  <c r="F8" i="1"/>
  <c r="J8" i="1"/>
  <c r="C9" i="1"/>
  <c r="D9" i="1"/>
  <c r="E9" i="1"/>
  <c r="G9" i="1"/>
  <c r="H9" i="1"/>
  <c r="I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G11" i="1"/>
  <c r="H11" i="1"/>
  <c r="I11" i="1"/>
  <c r="K11" i="1"/>
  <c r="L11" i="1"/>
  <c r="F12" i="1"/>
  <c r="J12" i="1"/>
  <c r="C13" i="1"/>
  <c r="D13" i="1"/>
  <c r="E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L14" i="1"/>
  <c r="B5" i="1"/>
  <c r="B6" i="1"/>
  <c r="B7" i="1"/>
  <c r="B8" i="1"/>
  <c r="B9" i="1"/>
  <c r="B10" i="1"/>
  <c r="B11" i="1"/>
  <c r="B12" i="1"/>
  <c r="B13" i="1"/>
  <c r="B14" i="1"/>
  <c r="B4" i="1"/>
  <c r="U22" i="1"/>
  <c r="AD37" i="1" l="1"/>
  <c r="AB37" i="1"/>
  <c r="I12" i="1"/>
  <c r="E12" i="1"/>
  <c r="I8" i="1"/>
  <c r="E8" i="1"/>
  <c r="J19" i="1"/>
  <c r="F19" i="1"/>
  <c r="F4" i="1"/>
  <c r="F13" i="1"/>
  <c r="L12" i="1"/>
  <c r="H12" i="1"/>
  <c r="D12" i="1"/>
  <c r="J11" i="1"/>
  <c r="F11" i="1"/>
  <c r="J9" i="1"/>
  <c r="F9" i="1"/>
  <c r="L8" i="1"/>
  <c r="H8" i="1"/>
  <c r="D8" i="1"/>
  <c r="J7" i="1"/>
  <c r="F7" i="1"/>
  <c r="J5" i="1"/>
  <c r="F5" i="1"/>
  <c r="K12" i="1"/>
  <c r="G12" i="1"/>
  <c r="K8" i="1"/>
  <c r="G8" i="1"/>
  <c r="K13" i="3"/>
  <c r="C13" i="3"/>
  <c r="F13" i="3" s="1"/>
  <c r="K12" i="3"/>
  <c r="C12" i="3"/>
  <c r="F12" i="3" s="1"/>
  <c r="K11" i="3"/>
  <c r="C11" i="3"/>
  <c r="F11" i="3" s="1"/>
  <c r="K10" i="3"/>
  <c r="C10" i="3"/>
  <c r="F10" i="3" s="1"/>
  <c r="K9" i="3"/>
  <c r="C9" i="3"/>
  <c r="F9" i="3" s="1"/>
  <c r="K8" i="3"/>
  <c r="C8" i="3"/>
  <c r="F8" i="3" s="1"/>
  <c r="K7" i="3"/>
  <c r="N7" i="3" s="1"/>
  <c r="C7" i="3"/>
  <c r="K6" i="3"/>
  <c r="N6" i="3" s="1"/>
  <c r="C6" i="3"/>
  <c r="F6" i="3" s="1"/>
  <c r="K5" i="3"/>
  <c r="C5" i="3"/>
  <c r="F5" i="3" s="1"/>
  <c r="K4" i="3"/>
  <c r="C4" i="3"/>
  <c r="K3" i="3"/>
  <c r="C3" i="3"/>
  <c r="F3" i="3" s="1"/>
  <c r="M15" i="2"/>
  <c r="L15" i="2"/>
  <c r="K15" i="2"/>
  <c r="J15" i="2"/>
  <c r="I15" i="2"/>
  <c r="H15" i="2"/>
  <c r="G15" i="2"/>
  <c r="F15" i="2"/>
  <c r="E15" i="2"/>
  <c r="D15" i="2"/>
  <c r="C15" i="2"/>
  <c r="AB50" i="1"/>
  <c r="AC50" i="1" s="1"/>
  <c r="AD36" i="1"/>
  <c r="AC36" i="1"/>
  <c r="AB36" i="1"/>
  <c r="AA17" i="1"/>
  <c r="AB17" i="1" s="1"/>
  <c r="AA16" i="1"/>
  <c r="AB16" i="1" s="1"/>
  <c r="AA14" i="1"/>
  <c r="AB14" i="1" s="1"/>
  <c r="Z14" i="1"/>
  <c r="S14" i="1" a="1"/>
  <c r="S14" i="1" s="1"/>
  <c r="R14" i="1" a="1"/>
  <c r="R14" i="1" s="1"/>
  <c r="N14" i="1" a="1"/>
  <c r="N14" i="1" s="1"/>
  <c r="AA13" i="1"/>
  <c r="AB13" i="1" s="1"/>
  <c r="Z13" i="1"/>
  <c r="S13" i="1" a="1"/>
  <c r="S13" i="1" s="1"/>
  <c r="R13" i="1" a="1"/>
  <c r="R13" i="1" s="1"/>
  <c r="N13" i="1" a="1"/>
  <c r="N13" i="1" s="1"/>
  <c r="AA12" i="1"/>
  <c r="AB12" i="1" s="1"/>
  <c r="Z12" i="1"/>
  <c r="S12" i="1" a="1"/>
  <c r="S12" i="1" s="1"/>
  <c r="R12" i="1" a="1"/>
  <c r="R12" i="1" s="1"/>
  <c r="N12" i="1" a="1"/>
  <c r="N12" i="1" s="1"/>
  <c r="AA11" i="1"/>
  <c r="AB11" i="1" s="1"/>
  <c r="Z11" i="1"/>
  <c r="S11" i="1" a="1"/>
  <c r="S11" i="1" s="1"/>
  <c r="R11" i="1" a="1"/>
  <c r="R11" i="1" s="1"/>
  <c r="N11" i="1" a="1"/>
  <c r="N11" i="1" s="1"/>
  <c r="AA10" i="1"/>
  <c r="AB10" i="1" s="1"/>
  <c r="Z10" i="1"/>
  <c r="S10" i="1" a="1"/>
  <c r="S10" i="1" s="1"/>
  <c r="R10" i="1" a="1"/>
  <c r="R10" i="1" s="1"/>
  <c r="N10" i="1" a="1"/>
  <c r="N10" i="1" s="1"/>
  <c r="AA9" i="1"/>
  <c r="AB9" i="1" s="1"/>
  <c r="Z9" i="1"/>
  <c r="S9" i="1" a="1"/>
  <c r="S9" i="1" s="1"/>
  <c r="R9" i="1" a="1"/>
  <c r="R9" i="1" s="1"/>
  <c r="N9" i="1" a="1"/>
  <c r="N9" i="1" s="1"/>
  <c r="AA8" i="1"/>
  <c r="AB8" i="1" s="1"/>
  <c r="Z8" i="1"/>
  <c r="S8" i="1" a="1"/>
  <c r="S8" i="1" s="1"/>
  <c r="R8" i="1" a="1"/>
  <c r="R8" i="1" s="1"/>
  <c r="N8" i="1" a="1"/>
  <c r="N8" i="1" s="1"/>
  <c r="AA7" i="1"/>
  <c r="AB7" i="1" s="1"/>
  <c r="Z7" i="1"/>
  <c r="S7" i="1" a="1"/>
  <c r="S7" i="1" s="1"/>
  <c r="R7" i="1" a="1"/>
  <c r="R7" i="1" s="1"/>
  <c r="N7" i="1" a="1"/>
  <c r="N7" i="1" s="1"/>
  <c r="AA6" i="1"/>
  <c r="AB6" i="1" s="1"/>
  <c r="Z6" i="1"/>
  <c r="S6" i="1" a="1"/>
  <c r="S6" i="1" s="1"/>
  <c r="R6" i="1" a="1"/>
  <c r="R6" i="1" s="1"/>
  <c r="N6" i="1" a="1"/>
  <c r="N6" i="1" s="1"/>
  <c r="P6" i="1" s="1"/>
  <c r="Q6" i="1" s="1"/>
  <c r="AA5" i="1"/>
  <c r="AB5" i="1" s="1"/>
  <c r="Z5" i="1"/>
  <c r="S5" i="1" a="1"/>
  <c r="S5" i="1" s="1"/>
  <c r="R5" i="1" a="1"/>
  <c r="R5" i="1" s="1"/>
  <c r="N5" i="1" a="1"/>
  <c r="N5" i="1" s="1"/>
  <c r="AA4" i="1"/>
  <c r="AB4" i="1" s="1"/>
  <c r="Z4" i="1"/>
  <c r="S4" i="1" a="1"/>
  <c r="S4" i="1" s="1"/>
  <c r="R4" i="1" a="1"/>
  <c r="R4" i="1" s="1"/>
  <c r="N4" i="1" a="1"/>
  <c r="N4" i="1" s="1"/>
  <c r="Z3" i="1"/>
  <c r="P11" i="1" l="1"/>
  <c r="Q11" i="1" s="1"/>
  <c r="N3" i="3"/>
  <c r="P3" i="3" s="1"/>
  <c r="R3" i="3" s="1"/>
  <c r="M3" i="3"/>
  <c r="O3" i="3" s="1"/>
  <c r="Q3" i="3" s="1"/>
  <c r="P4" i="1"/>
  <c r="Q4" i="1" s="1"/>
  <c r="P12" i="1"/>
  <c r="Q12" i="1" s="1"/>
  <c r="E7" i="3"/>
  <c r="O15" i="2"/>
  <c r="M6" i="3"/>
  <c r="O6" i="3" s="1"/>
  <c r="Q6" i="3" s="1"/>
  <c r="D7" i="3"/>
  <c r="P8" i="1"/>
  <c r="Q8" i="1" s="1"/>
  <c r="P6" i="3"/>
  <c r="R6" i="3" s="1"/>
  <c r="D9" i="3"/>
  <c r="M4" i="3"/>
  <c r="N4" i="3"/>
  <c r="M11" i="3"/>
  <c r="O11" i="3" s="1"/>
  <c r="Q11" i="3" s="1"/>
  <c r="N11" i="3"/>
  <c r="P11" i="3" s="1"/>
  <c r="R11" i="3" s="1"/>
  <c r="M5" i="3"/>
  <c r="O5" i="3" s="1"/>
  <c r="Q5" i="3" s="1"/>
  <c r="N5" i="3"/>
  <c r="P5" i="3" s="1"/>
  <c r="R5" i="3" s="1"/>
  <c r="M8" i="3"/>
  <c r="O8" i="3" s="1"/>
  <c r="Q8" i="3" s="1"/>
  <c r="N8" i="3"/>
  <c r="P8" i="3" s="1"/>
  <c r="R8" i="3" s="1"/>
  <c r="M12" i="3"/>
  <c r="O12" i="3" s="1"/>
  <c r="Q12" i="3" s="1"/>
  <c r="N12" i="3"/>
  <c r="P12" i="3" s="1"/>
  <c r="R12" i="3" s="1"/>
  <c r="E3" i="3"/>
  <c r="E10" i="3"/>
  <c r="N9" i="3"/>
  <c r="P9" i="3" s="1"/>
  <c r="R9" i="3" s="1"/>
  <c r="L13" i="3"/>
  <c r="N13" i="3"/>
  <c r="P13" i="3" s="1"/>
  <c r="R13" i="3" s="1"/>
  <c r="N10" i="3"/>
  <c r="P10" i="3" s="1"/>
  <c r="R10" i="3" s="1"/>
  <c r="M10" i="3"/>
  <c r="O10" i="3" s="1"/>
  <c r="Q10" i="3" s="1"/>
  <c r="L6" i="3"/>
  <c r="L9" i="3"/>
  <c r="M9" i="3"/>
  <c r="O9" i="3" s="1"/>
  <c r="Q9" i="3" s="1"/>
  <c r="F7" i="3"/>
  <c r="P7" i="3" s="1"/>
  <c r="R7" i="3" s="1"/>
  <c r="L7" i="3"/>
  <c r="L5" i="3"/>
  <c r="P13" i="1"/>
  <c r="Q13" i="1" s="1"/>
  <c r="D6" i="3"/>
  <c r="E6" i="3"/>
  <c r="M7" i="3"/>
  <c r="D10" i="3"/>
  <c r="L10" i="3"/>
  <c r="D3" i="3"/>
  <c r="P7" i="1"/>
  <c r="Q7" i="1" s="1"/>
  <c r="P9" i="1"/>
  <c r="Q9" i="1" s="1"/>
  <c r="P10" i="1"/>
  <c r="Q10" i="1" s="1"/>
  <c r="AB18" i="1"/>
  <c r="AB19" i="1" s="1"/>
  <c r="P5" i="1"/>
  <c r="Q5" i="1" s="1"/>
  <c r="P14" i="1"/>
  <c r="Q14" i="1" s="1"/>
  <c r="Z15" i="1"/>
  <c r="L4" i="3"/>
  <c r="D8" i="3"/>
  <c r="E9" i="3"/>
  <c r="L12" i="3"/>
  <c r="M13" i="3"/>
  <c r="O13" i="3" s="1"/>
  <c r="Q13" i="3" s="1"/>
  <c r="L3" i="3"/>
  <c r="E8" i="3"/>
  <c r="L11" i="3"/>
  <c r="D5" i="3"/>
  <c r="D13" i="3"/>
  <c r="D4" i="3"/>
  <c r="E5" i="3"/>
  <c r="L8" i="3"/>
  <c r="D12" i="3"/>
  <c r="E13" i="3"/>
  <c r="E4" i="3"/>
  <c r="D11" i="3"/>
  <c r="E12" i="3"/>
  <c r="F4" i="3"/>
  <c r="E11" i="3"/>
  <c r="P4" i="3" l="1"/>
  <c r="R4" i="3" s="1"/>
  <c r="J16" i="3" s="1"/>
  <c r="J18" i="3" s="1"/>
  <c r="O4" i="3"/>
  <c r="Q4" i="3" s="1"/>
  <c r="O7" i="3"/>
  <c r="Q7" i="3" s="1"/>
  <c r="X9" i="1"/>
  <c r="X6" i="1"/>
  <c r="X12" i="1"/>
  <c r="X4" i="1"/>
  <c r="X11" i="1"/>
  <c r="X5" i="1"/>
  <c r="X13" i="1"/>
  <c r="X7" i="1"/>
  <c r="X8" i="1"/>
  <c r="X14" i="1"/>
  <c r="O14" i="1" s="1"/>
  <c r="X10" i="1"/>
  <c r="B19" i="1" l="1"/>
  <c r="O4" i="1"/>
  <c r="O13" i="1"/>
  <c r="O5" i="1"/>
  <c r="Y15" i="1"/>
  <c r="O11" i="1"/>
  <c r="X15" i="1"/>
  <c r="O10" i="1"/>
  <c r="O12" i="1"/>
  <c r="O8" i="1"/>
  <c r="O6" i="1"/>
  <c r="O7" i="1"/>
  <c r="O9" i="1"/>
  <c r="M13" i="1" l="1"/>
  <c r="M11" i="1"/>
  <c r="M9" i="1"/>
  <c r="M7" i="1"/>
  <c r="M8" i="1"/>
  <c r="M10" i="1"/>
  <c r="M14" i="1"/>
  <c r="M12" i="1"/>
  <c r="M4" i="1"/>
  <c r="M6" i="1"/>
  <c r="M5" i="1"/>
  <c r="N16" i="1"/>
  <c r="AB30" i="1"/>
  <c r="N17" i="1" l="1"/>
  <c r="N18" i="1" s="1"/>
  <c r="P16" i="1"/>
  <c r="Q16" i="1" s="1"/>
  <c r="AB32" i="1"/>
  <c r="AB22" i="1"/>
  <c r="AC23" i="1" s="1"/>
  <c r="AB52" i="1"/>
  <c r="AC30" i="1"/>
  <c r="AC41" i="1" l="1"/>
  <c r="AD41" i="1"/>
  <c r="AB41" i="1"/>
  <c r="AB53" i="1"/>
  <c r="AB25" i="1"/>
  <c r="AB26" i="1" s="1"/>
  <c r="AC52" i="1"/>
  <c r="AB55" i="1"/>
  <c r="O18" i="1"/>
  <c r="AC55" i="1" s="1"/>
  <c r="P20" i="1" l="1"/>
  <c r="AB33" i="1"/>
  <c r="P19" i="1" s="1"/>
  <c r="AB54" i="1"/>
  <c r="AB56" i="1" s="1"/>
  <c r="AC40" i="1"/>
  <c r="AB40" i="1"/>
  <c r="AD40" i="1"/>
  <c r="AB38" i="1"/>
  <c r="AD38" i="1"/>
  <c r="AB29" i="1"/>
  <c r="AB21" i="1"/>
  <c r="AC38" i="1"/>
  <c r="AB57" i="1"/>
  <c r="AC53" i="1"/>
  <c r="AC57" i="1" s="1"/>
  <c r="Q19" i="1" l="1"/>
  <c r="AC21" i="1"/>
  <c r="AC29" i="1"/>
  <c r="AC54" i="1"/>
  <c r="AC56" i="1" s="1"/>
  <c r="AC42" i="1"/>
  <c r="AB42" i="1"/>
  <c r="AD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B23" authorId="0" shapeId="0" xr:uid="{F41C3033-3BC2-4FE9-99F5-48D6A87735F8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becos of negative std as input 
</t>
        </r>
      </text>
    </comment>
  </commentList>
</comments>
</file>

<file path=xl/sharedStrings.xml><?xml version="1.0" encoding="utf-8"?>
<sst xmlns="http://schemas.openxmlformats.org/spreadsheetml/2006/main" count="202" uniqueCount="100">
  <si>
    <t>Days of Compounding</t>
  </si>
  <si>
    <t>Y(252)</t>
  </si>
  <si>
    <t>Q(63)</t>
  </si>
  <si>
    <t>M(21)</t>
  </si>
  <si>
    <t>Position Index</t>
  </si>
  <si>
    <t>covariance(HPR) matrix</t>
  </si>
  <si>
    <t>Beta</t>
  </si>
  <si>
    <t>Portfolio</t>
  </si>
  <si>
    <t>Ticker</t>
  </si>
  <si>
    <t>159919.SZ</t>
  </si>
  <si>
    <t>DBC</t>
  </si>
  <si>
    <t>2800.HK</t>
  </si>
  <si>
    <t>BRK-B</t>
  </si>
  <si>
    <t>REET</t>
  </si>
  <si>
    <t>ARKK</t>
  </si>
  <si>
    <t>LIT</t>
  </si>
  <si>
    <t>SPY</t>
  </si>
  <si>
    <t>Subtotal Covariance</t>
  </si>
  <si>
    <t xml:space="preserve">Weighted </t>
  </si>
  <si>
    <t>CAPM E[R]</t>
  </si>
  <si>
    <t>Alpha</t>
  </si>
  <si>
    <t>Market value</t>
  </si>
  <si>
    <t>Qty</t>
  </si>
  <si>
    <t>Price</t>
  </si>
  <si>
    <t>Position</t>
  </si>
  <si>
    <t>Input</t>
  </si>
  <si>
    <t>Exchange rate</t>
  </si>
  <si>
    <t>Market value(HKD)</t>
  </si>
  <si>
    <t>Subtotal</t>
  </si>
  <si>
    <t>Portfolio Beta</t>
  </si>
  <si>
    <t>Portfolio Alpha</t>
  </si>
  <si>
    <t>Cash - HKD</t>
  </si>
  <si>
    <t>Systematic Var</t>
  </si>
  <si>
    <t>Cash - USD</t>
  </si>
  <si>
    <t>Systematic Risk</t>
  </si>
  <si>
    <t>stock - HKD</t>
  </si>
  <si>
    <t>Weighted (HPR) return</t>
  </si>
  <si>
    <t>total</t>
  </si>
  <si>
    <t>HKD/USD</t>
  </si>
  <si>
    <t>HKD/CNY</t>
  </si>
  <si>
    <t>Risk</t>
  </si>
  <si>
    <t>Normal if lognormal</t>
  </si>
  <si>
    <t>1 Year T-bill Log return</t>
  </si>
  <si>
    <t xml:space="preserve">Total Covariance </t>
  </si>
  <si>
    <t>1 Year T-bill</t>
  </si>
  <si>
    <t>Portfolio Risk(%)</t>
  </si>
  <si>
    <t>Quote Date</t>
  </si>
  <si>
    <t>Non-Systematic Var</t>
  </si>
  <si>
    <t>Non-Systematic Risk</t>
  </si>
  <si>
    <t>Risk Adjusted Return</t>
  </si>
  <si>
    <t>Portfolio Return(%)</t>
  </si>
  <si>
    <t>sharpe ratio</t>
  </si>
  <si>
    <t>Confidence Level</t>
  </si>
  <si>
    <t>Z-Score</t>
  </si>
  <si>
    <t>Remark</t>
  </si>
  <si>
    <t>NORM.INV</t>
  </si>
  <si>
    <t>Value At Risk</t>
  </si>
  <si>
    <t>Compounded</t>
  </si>
  <si>
    <t>Daily</t>
  </si>
  <si>
    <t>https://financetrainingcourse.com/education/2012/07/value-at-risk-var-case-study-explanation/</t>
  </si>
  <si>
    <t>https://www.investopedia.com/ask/answers/033115/how-can-you-calculate-value-risk-var-excel.asp</t>
  </si>
  <si>
    <t>https://medium.com/fintechexplained/market-risk-explanation-of-var-calculations-e31734f26d93</t>
  </si>
  <si>
    <t>Leverage/Deleverage</t>
  </si>
  <si>
    <t>Margin</t>
  </si>
  <si>
    <t>Leverage ratio</t>
  </si>
  <si>
    <t>Monthly Return</t>
  </si>
  <si>
    <t>Monthly Excess Return</t>
  </si>
  <si>
    <t>Diversified Risk</t>
  </si>
  <si>
    <t>Sharpe Ratio</t>
  </si>
  <si>
    <t>Sharpe Ratio(Sys)</t>
  </si>
  <si>
    <t>Date</t>
  </si>
  <si>
    <t>Name</t>
  </si>
  <si>
    <t>avg correlation</t>
  </si>
  <si>
    <t>Input Index</t>
  </si>
  <si>
    <t>Historical Log Daily Return</t>
  </si>
  <si>
    <t>Ln(Geometric Mean)</t>
  </si>
  <si>
    <t>Arithmetic Mean</t>
  </si>
  <si>
    <t>Mode</t>
  </si>
  <si>
    <t>Median/Geometric Mean</t>
  </si>
  <si>
    <t>Historical Log Daily Var</t>
  </si>
  <si>
    <t>Log Std</t>
  </si>
  <si>
    <t>Arithmetic</t>
  </si>
  <si>
    <t>Avg Std</t>
  </si>
  <si>
    <t>limit of deversification</t>
  </si>
  <si>
    <t xml:space="preserve">Remark: arithmetic std = [1 + x1 - (1+m)]/1 = x1-m , so no need to minus 1 for HPR like gemetric   </t>
  </si>
  <si>
    <t>M^2 Alpha</t>
  </si>
  <si>
    <t>M^2 leverage ratio</t>
  </si>
  <si>
    <t>Treynor Ratio</t>
  </si>
  <si>
    <t>Return at + 1 Std</t>
  </si>
  <si>
    <t>Geometric(-)</t>
  </si>
  <si>
    <t>Return at - 1 Std</t>
  </si>
  <si>
    <t>JPM</t>
  </si>
  <si>
    <t>AMZN</t>
  </si>
  <si>
    <t>TSLA</t>
  </si>
  <si>
    <t>MSFT</t>
  </si>
  <si>
    <t>NVDA</t>
  </si>
  <si>
    <t>Diff(x+1)</t>
  </si>
  <si>
    <t>Diff(1/(1+x))</t>
  </si>
  <si>
    <t>Geometric(+)</t>
  </si>
  <si>
    <t>Scale to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</si>
</sst>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HK$&quot;* #,##0.00_);_(&quot;HK$&quot;* \(#,##0.00\);_(&quot;HK$&quot;* &quot;-&quot;??_);_(@_)"/>
    <numFmt numFmtId="165" formatCode="_(&quot;CNY$&quot;* #,##0.00_);_(&quot;CNY$&quot;* \(#,##0.00\);_(&quot;CNY$&quot;* &quot;-&quot;??_);_(@_)"/>
    <numFmt numFmtId="166" formatCode="0.00_ "/>
    <numFmt numFmtId="167" formatCode="_(&quot;US$&quot;* #,##0.00_);_(&quot;US$&quot;* \(#,##0.00\);_(&quot;US$&quot;* &quot;-&quot;??_);_(@_)"/>
    <numFmt numFmtId="168" formatCode="yyyy/m/d"/>
    <numFmt numFmtId="169" formatCode="0.0000%"/>
    <numFmt numFmtId="170" formatCode="0.00000"/>
  </numFmts>
  <fonts count="22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3F3F3F"/>
      <name val="Calibri"/>
    </font>
    <font>
      <sz val="11"/>
      <color rgb="FF3F3F76"/>
      <name val="Calibri"/>
    </font>
    <font>
      <sz val="11"/>
      <color rgb="FF333333"/>
      <name val="Arial"/>
    </font>
    <font>
      <sz val="11"/>
      <color rgb="FF006100"/>
      <name val="Calibri"/>
    </font>
    <font>
      <sz val="11"/>
      <color rgb="FF9C0006"/>
      <name val="Calibri"/>
    </font>
    <font>
      <i/>
      <sz val="11"/>
      <color rgb="FF7F7F7F"/>
      <name val="Calibri"/>
    </font>
    <font>
      <sz val="9"/>
      <color rgb="FF2A2A2A"/>
      <name val="Arial"/>
    </font>
    <font>
      <u/>
      <sz val="11"/>
      <color rgb="FF0563C1"/>
      <name val="Calibri"/>
    </font>
    <font>
      <sz val="11"/>
      <color rgb="FF9C5700"/>
      <name val="Calibri"/>
    </font>
    <font>
      <u/>
      <sz val="11"/>
      <color rgb="FF0563C1"/>
      <name val="Calibri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4" fillId="8" borderId="0" applyNumberFormat="0" applyBorder="0" applyAlignment="0" applyProtection="0"/>
    <xf numFmtId="0" fontId="15" fillId="9" borderId="14" applyNumberFormat="0" applyAlignment="0" applyProtection="0"/>
    <xf numFmtId="0" fontId="16" fillId="0" borderId="27" applyNumberFormat="0" applyFill="0" applyAlignment="0" applyProtection="0"/>
    <xf numFmtId="0" fontId="18" fillId="10" borderId="1" applyNumberFormat="0" applyAlignment="0" applyProtection="0"/>
    <xf numFmtId="0" fontId="19" fillId="0" borderId="0" applyNumberFormat="0" applyFill="0" applyBorder="0" applyAlignment="0" applyProtection="0"/>
  </cellStyleXfs>
  <cellXfs count="9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0" fillId="3" borderId="2" xfId="0" applyFont="1" applyFill="1" applyBorder="1"/>
    <xf numFmtId="0" fontId="0" fillId="0" borderId="0" xfId="0" applyFont="1"/>
    <xf numFmtId="0" fontId="3" fillId="0" borderId="0" xfId="0" applyFont="1"/>
    <xf numFmtId="0" fontId="0" fillId="0" borderId="12" xfId="0" applyFont="1" applyBorder="1"/>
    <xf numFmtId="0" fontId="0" fillId="0" borderId="13" xfId="0" applyFont="1" applyBorder="1"/>
    <xf numFmtId="0" fontId="4" fillId="4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5" fillId="2" borderId="1" xfId="0" applyFont="1" applyFill="1" applyBorder="1"/>
    <xf numFmtId="0" fontId="0" fillId="0" borderId="18" xfId="0" applyFont="1" applyBorder="1"/>
    <xf numFmtId="11" fontId="4" fillId="4" borderId="14" xfId="0" applyNumberFormat="1" applyFont="1" applyFill="1" applyBorder="1"/>
    <xf numFmtId="10" fontId="4" fillId="4" borderId="14" xfId="0" applyNumberFormat="1" applyFont="1" applyFill="1" applyBorder="1"/>
    <xf numFmtId="164" fontId="0" fillId="0" borderId="0" xfId="0" applyNumberFormat="1" applyFont="1"/>
    <xf numFmtId="10" fontId="0" fillId="0" borderId="15" xfId="0" applyNumberFormat="1" applyFont="1" applyBorder="1"/>
    <xf numFmtId="10" fontId="5" fillId="2" borderId="1" xfId="0" applyNumberFormat="1" applyFont="1" applyFill="1" applyBorder="1"/>
    <xf numFmtId="10" fontId="0" fillId="3" borderId="2" xfId="0" applyNumberFormat="1" applyFont="1" applyFill="1" applyBorder="1"/>
    <xf numFmtId="0" fontId="0" fillId="0" borderId="19" xfId="0" applyFont="1" applyBorder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0" fontId="6" fillId="0" borderId="0" xfId="0" applyFont="1"/>
    <xf numFmtId="10" fontId="0" fillId="0" borderId="0" xfId="0" applyNumberFormat="1" applyFont="1"/>
    <xf numFmtId="10" fontId="6" fillId="0" borderId="0" xfId="0" applyNumberFormat="1" applyFont="1"/>
    <xf numFmtId="0" fontId="7" fillId="5" borderId="14" xfId="0" applyFont="1" applyFill="1" applyBorder="1"/>
    <xf numFmtId="0" fontId="8" fillId="6" borderId="14" xfId="0" applyFont="1" applyFill="1" applyBorder="1"/>
    <xf numFmtId="10" fontId="8" fillId="6" borderId="14" xfId="0" applyNumberFormat="1" applyFont="1" applyFill="1" applyBorder="1"/>
    <xf numFmtId="0" fontId="7" fillId="5" borderId="20" xfId="0" applyFont="1" applyFill="1" applyBorder="1"/>
    <xf numFmtId="10" fontId="7" fillId="5" borderId="20" xfId="0" applyNumberFormat="1" applyFont="1" applyFill="1" applyBorder="1"/>
    <xf numFmtId="164" fontId="4" fillId="4" borderId="14" xfId="0" applyNumberFormat="1" applyFont="1" applyFill="1" applyBorder="1"/>
    <xf numFmtId="9" fontId="0" fillId="0" borderId="11" xfId="0" applyNumberFormat="1" applyFont="1" applyBorder="1"/>
    <xf numFmtId="166" fontId="0" fillId="3" borderId="2" xfId="0" applyNumberFormat="1" applyFont="1" applyFill="1" applyBorder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10" fontId="9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10" fontId="10" fillId="3" borderId="2" xfId="0" applyNumberFormat="1" applyFont="1" applyFill="1" applyBorder="1"/>
    <xf numFmtId="0" fontId="8" fillId="6" borderId="14" xfId="0" applyFont="1" applyFill="1" applyBorder="1" applyAlignment="1">
      <alignment wrapText="1"/>
    </xf>
    <xf numFmtId="10" fontId="8" fillId="6" borderId="14" xfId="0" applyNumberFormat="1" applyFont="1" applyFill="1" applyBorder="1" applyAlignment="1">
      <alignment horizontal="center" vertical="center"/>
    </xf>
    <xf numFmtId="168" fontId="10" fillId="3" borderId="2" xfId="0" applyNumberFormat="1" applyFont="1" applyFill="1" applyBorder="1"/>
    <xf numFmtId="0" fontId="11" fillId="0" borderId="0" xfId="0" applyFont="1"/>
    <xf numFmtId="0" fontId="9" fillId="0" borderId="0" xfId="0" applyFont="1"/>
    <xf numFmtId="10" fontId="9" fillId="0" borderId="0" xfId="0" applyNumberFormat="1" applyFont="1"/>
    <xf numFmtId="0" fontId="12" fillId="7" borderId="14" xfId="0" applyFont="1" applyFill="1" applyBorder="1" applyAlignment="1">
      <alignment horizontal="center" vertical="center" wrapText="1"/>
    </xf>
    <xf numFmtId="10" fontId="12" fillId="7" borderId="14" xfId="0" applyNumberFormat="1" applyFont="1" applyFill="1" applyBorder="1"/>
    <xf numFmtId="166" fontId="7" fillId="5" borderId="14" xfId="0" applyNumberFormat="1" applyFont="1" applyFill="1" applyBorder="1"/>
    <xf numFmtId="10" fontId="13" fillId="0" borderId="0" xfId="0" applyNumberFormat="1" applyFont="1"/>
    <xf numFmtId="2" fontId="0" fillId="3" borderId="2" xfId="0" applyNumberFormat="1" applyFont="1" applyFill="1" applyBorder="1"/>
    <xf numFmtId="0" fontId="8" fillId="6" borderId="20" xfId="0" applyFont="1" applyFill="1" applyBorder="1"/>
    <xf numFmtId="168" fontId="8" fillId="6" borderId="20" xfId="0" applyNumberFormat="1" applyFont="1" applyFill="1" applyBorder="1"/>
    <xf numFmtId="10" fontId="8" fillId="6" borderId="20" xfId="0" applyNumberFormat="1" applyFont="1" applyFill="1" applyBorder="1"/>
    <xf numFmtId="0" fontId="0" fillId="0" borderId="0" xfId="0" applyFont="1" applyAlignment="1"/>
    <xf numFmtId="0" fontId="0" fillId="0" borderId="22" xfId="0" applyBorder="1"/>
    <xf numFmtId="0" fontId="14" fillId="8" borderId="0" xfId="1"/>
    <xf numFmtId="10" fontId="14" fillId="8" borderId="0" xfId="1" applyNumberFormat="1"/>
    <xf numFmtId="0" fontId="16" fillId="0" borderId="27" xfId="3" applyAlignment="1"/>
    <xf numFmtId="10" fontId="15" fillId="9" borderId="14" xfId="2" applyNumberFormat="1"/>
    <xf numFmtId="10" fontId="0" fillId="0" borderId="0" xfId="0" applyNumberFormat="1" applyFont="1" applyAlignment="1"/>
    <xf numFmtId="0" fontId="17" fillId="0" borderId="0" xfId="0" applyFont="1" applyAlignment="1"/>
    <xf numFmtId="0" fontId="17" fillId="0" borderId="22" xfId="0" applyFont="1" applyFill="1" applyBorder="1" applyAlignment="1"/>
    <xf numFmtId="0" fontId="19" fillId="0" borderId="22" xfId="5" applyBorder="1"/>
    <xf numFmtId="0" fontId="18" fillId="10" borderId="1" xfId="4" applyAlignment="1"/>
    <xf numFmtId="10" fontId="18" fillId="10" borderId="1" xfId="4" applyNumberFormat="1" applyAlignment="1"/>
    <xf numFmtId="10" fontId="19" fillId="0" borderId="22" xfId="5" applyNumberFormat="1" applyBorder="1"/>
    <xf numFmtId="0" fontId="0" fillId="0" borderId="0" xfId="0" applyFont="1" applyAlignment="1"/>
    <xf numFmtId="0" fontId="0" fillId="0" borderId="0" xfId="0"/>
    <xf numFmtId="11" fontId="0" fillId="0" borderId="0" xfId="0" applyNumberFormat="1"/>
    <xf numFmtId="0" fontId="0" fillId="0" borderId="23" xfId="0" applyFont="1" applyBorder="1" applyAlignment="1">
      <alignment horizontal="center"/>
    </xf>
    <xf numFmtId="0" fontId="0" fillId="0" borderId="0" xfId="0" applyFont="1" applyAlignment="1"/>
    <xf numFmtId="10" fontId="0" fillId="0" borderId="0" xfId="0" applyNumberFormat="1" applyFont="1" applyAlignment="1">
      <alignment horizontal="center"/>
    </xf>
    <xf numFmtId="0" fontId="0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4" fillId="4" borderId="3" xfId="0" applyFont="1" applyFill="1" applyBorder="1" applyAlignment="1">
      <alignment horizontal="center"/>
    </xf>
    <xf numFmtId="0" fontId="2" fillId="0" borderId="4" xfId="0" applyFont="1" applyBorder="1"/>
    <xf numFmtId="0" fontId="0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10" fontId="8" fillId="6" borderId="21" xfId="0" applyNumberFormat="1" applyFont="1" applyFill="1" applyBorder="1" applyAlignment="1">
      <alignment horizontal="center" vertical="center"/>
    </xf>
    <xf numFmtId="0" fontId="2" fillId="0" borderId="22" xfId="0" applyFont="1" applyBorder="1"/>
    <xf numFmtId="0" fontId="7" fillId="5" borderId="2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15" fillId="9" borderId="14" xfId="2"/>
    <xf numFmtId="10" fontId="19" fillId="0" borderId="0" xfId="5" applyNumberFormat="1"/>
    <xf numFmtId="0" fontId="19" fillId="0" borderId="0" xfId="5" applyAlignment="1"/>
    <xf numFmtId="169" fontId="0" fillId="3" borderId="2" xfId="0" applyNumberFormat="1" applyFont="1" applyFill="1" applyBorder="1"/>
    <xf numFmtId="2" fontId="0" fillId="0" borderId="0" xfId="0" applyNumberFormat="1" applyFont="1" applyAlignment="1"/>
    <xf numFmtId="170" fontId="0" fillId="0" borderId="0" xfId="0" applyNumberFormat="1" applyFont="1"/>
  </cellXfs>
  <cellStyles count="6">
    <cellStyle name="Bad" xfId="1" builtinId="27"/>
    <cellStyle name="Explanatory Text" xfId="5" builtinId="53"/>
    <cellStyle name="Input" xfId="4" builtinId="20"/>
    <cellStyle name="Linked Cell" xfId="3" builtinId="2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fintechexplained/market-risk-explanation-of-var-calculations-e31734f26d93" TargetMode="External"/><Relationship Id="rId2" Type="http://schemas.openxmlformats.org/officeDocument/2006/relationships/hyperlink" Target="https://www.investopedia.com/ask/answers/033115/how-can-you-calculate-value-risk-var-excel.asp" TargetMode="External"/><Relationship Id="rId1" Type="http://schemas.openxmlformats.org/officeDocument/2006/relationships/hyperlink" Target="https://financetrainingcourse.com/education/2012/07/value-at-risk-var-case-study-explanation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"/>
  <sheetViews>
    <sheetView tabSelected="1" workbookViewId="0">
      <selection activeCell="A8" sqref="A8"/>
    </sheetView>
  </sheetViews>
  <sheetFormatPr defaultColWidth="14.42578125" defaultRowHeight="15" customHeight="1"/>
  <cols>
    <col min="1" max="1" width="29.5703125" customWidth="1"/>
    <col min="2" max="2" width="8.85546875" customWidth="1"/>
    <col min="3" max="3" width="9.140625" customWidth="1"/>
    <col min="4" max="4" width="8.85546875" customWidth="1"/>
    <col min="5" max="5" width="14.140625" customWidth="1"/>
    <col min="6" max="6" width="13.5703125" customWidth="1"/>
    <col min="7" max="7" width="14.85546875" customWidth="1"/>
    <col min="8" max="9" width="14.5703125" customWidth="1"/>
    <col min="10" max="10" width="12.85546875" customWidth="1"/>
    <col min="11" max="11" width="12.140625" customWidth="1"/>
    <col min="12" max="12" width="11.5703125" customWidth="1"/>
    <col min="13" max="13" width="17.5703125" customWidth="1"/>
    <col min="14" max="14" width="20.42578125" bestFit="1" customWidth="1"/>
    <col min="15" max="15" width="17.7109375" customWidth="1"/>
    <col min="16" max="16" width="14.7109375" bestFit="1" customWidth="1"/>
    <col min="17" max="17" width="17.7109375" customWidth="1"/>
    <col min="18" max="18" width="24.85546875" customWidth="1"/>
    <col min="19" max="19" width="23.85546875" customWidth="1"/>
    <col min="20" max="20" width="12.42578125" customWidth="1"/>
    <col min="21" max="23" width="20.5703125" customWidth="1"/>
    <col min="24" max="24" width="13.85546875" customWidth="1"/>
    <col min="25" max="25" width="15.85546875" customWidth="1"/>
    <col min="26" max="26" width="30.42578125" customWidth="1"/>
    <col min="27" max="27" width="18" customWidth="1"/>
    <col min="28" max="28" width="22.140625" customWidth="1"/>
    <col min="29" max="29" width="29.140625" customWidth="1"/>
    <col min="30" max="30" width="14.85546875" customWidth="1"/>
  </cols>
  <sheetData>
    <row r="1" spans="1:30" ht="15.75" thickBot="1">
      <c r="A1" s="1" t="s">
        <v>0</v>
      </c>
      <c r="B1" s="2">
        <v>252</v>
      </c>
      <c r="D1" s="3" t="s">
        <v>1</v>
      </c>
      <c r="E1" s="3" t="s">
        <v>2</v>
      </c>
      <c r="F1" s="3" t="s">
        <v>3</v>
      </c>
      <c r="I1" s="4"/>
      <c r="J1" s="4"/>
      <c r="K1" s="4"/>
      <c r="L1" s="4"/>
      <c r="M1" s="4"/>
      <c r="O1" s="4"/>
      <c r="P1" s="4"/>
      <c r="Q1" s="4"/>
      <c r="V1" s="4"/>
      <c r="W1" s="4"/>
      <c r="X1" s="5" t="s">
        <v>4</v>
      </c>
      <c r="Y1" s="4">
        <v>6</v>
      </c>
      <c r="Z1" s="4"/>
      <c r="AA1" s="4"/>
    </row>
    <row r="2" spans="1:30" ht="15.75" thickBot="1">
      <c r="A2" s="78" t="s">
        <v>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80" t="s">
        <v>6</v>
      </c>
      <c r="O2" s="81"/>
      <c r="P2" s="81"/>
      <c r="Q2" s="81"/>
      <c r="R2" s="81"/>
      <c r="S2" s="82"/>
      <c r="T2" s="83" t="s">
        <v>7</v>
      </c>
      <c r="U2" s="84"/>
      <c r="V2" s="84"/>
      <c r="W2" s="84"/>
      <c r="X2" s="84"/>
      <c r="Y2" s="84"/>
      <c r="Z2" s="84"/>
      <c r="AA2" s="84"/>
      <c r="AB2" s="85"/>
    </row>
    <row r="3" spans="1:30" ht="15.75" thickBot="1">
      <c r="A3" s="5" t="s">
        <v>8</v>
      </c>
      <c r="B3" s="70" t="s">
        <v>10</v>
      </c>
      <c r="C3" s="70" t="s">
        <v>93</v>
      </c>
      <c r="D3" s="70" t="s">
        <v>92</v>
      </c>
      <c r="E3" s="70" t="s">
        <v>95</v>
      </c>
      <c r="F3" s="70" t="s">
        <v>13</v>
      </c>
      <c r="G3" s="70" t="s">
        <v>91</v>
      </c>
      <c r="H3" s="70" t="s">
        <v>94</v>
      </c>
      <c r="I3" s="70" t="s">
        <v>12</v>
      </c>
      <c r="J3" s="70" t="s">
        <v>15</v>
      </c>
      <c r="K3" s="70" t="s">
        <v>14</v>
      </c>
      <c r="L3" s="70" t="s">
        <v>16</v>
      </c>
      <c r="M3" s="6" t="s">
        <v>17</v>
      </c>
      <c r="N3" s="7" t="s">
        <v>16</v>
      </c>
      <c r="O3" s="8" t="s">
        <v>18</v>
      </c>
      <c r="P3" s="8" t="s">
        <v>19</v>
      </c>
      <c r="Q3" s="8" t="s">
        <v>20</v>
      </c>
      <c r="R3" s="4" t="s">
        <v>9</v>
      </c>
      <c r="S3" s="9" t="s">
        <v>11</v>
      </c>
      <c r="T3" s="6" t="s">
        <v>8</v>
      </c>
      <c r="U3" s="10" t="s">
        <v>21</v>
      </c>
      <c r="V3" s="10" t="s">
        <v>22</v>
      </c>
      <c r="W3" s="10" t="s">
        <v>23</v>
      </c>
      <c r="X3" s="11" t="s">
        <v>24</v>
      </c>
      <c r="Y3" s="12" t="s">
        <v>25</v>
      </c>
      <c r="Z3" s="12" t="str">
        <f>CONCATENATE("Tengant Porfolio(%)"," - ", TEXT( tangentPorfolio!B1, "yyyy-mm-dd"))</f>
        <v>Tengant Porfolio(%) - 2021-01-01</v>
      </c>
      <c r="AA3" s="4" t="s">
        <v>26</v>
      </c>
      <c r="AB3" s="5" t="s">
        <v>27</v>
      </c>
    </row>
    <row r="4" spans="1:30">
      <c r="A4" s="70" t="s">
        <v>10</v>
      </c>
      <c r="B4" s="96">
        <f>VLOOKUP($A4,lognormal!$I$3:$R$13,lognormal!$M$1,FALSE) * VLOOKUP(B$3,lognormal!$I$3:$R$13,lognormal!$M$1,FALSE) *INDEX(correlation!$C$3:$M$13,MATCH($A4,correlation!$B$3:$B$13,0),MATCH(B$3,correlation!$C$2:$M$2,0))*VLOOKUP($A4,$T$4:$Y$14,$Y$1,FALSE)*VLOOKUP(B$3,$T$4:$Y$14,$Y$1,FALSE)</f>
        <v>8.1796833116289085E-3</v>
      </c>
      <c r="C4" s="96">
        <f>VLOOKUP($A4,lognormal!$I$3:$R$13,lognormal!$M$1,FALSE) * VLOOKUP(C$3,lognormal!$I$3:$R$13,lognormal!$M$1,FALSE) *INDEX(correlation!$C$3:$M$13,MATCH($A4,correlation!$B$3:$B$13,0),MATCH(C$3,correlation!$C$2:$M$2,0))*VLOOKUP($A4,$T$4:$Y$14,$Y$1,FALSE)*VLOOKUP(C$3,$T$4:$Y$14,$Y$1,FALSE)</f>
        <v>1.1277146100570626E-16</v>
      </c>
      <c r="D4" s="96">
        <f>VLOOKUP($A4,lognormal!$I$3:$R$13,lognormal!$M$1,FALSE) * VLOOKUP(D$3,lognormal!$I$3:$R$13,lognormal!$M$1,FALSE) *INDEX(correlation!$C$3:$M$13,MATCH($A4,correlation!$B$3:$B$13,0),MATCH(D$3,correlation!$C$2:$M$2,0))*VLOOKUP($A4,$T$4:$Y$14,$Y$1,FALSE)*VLOOKUP(D$3,$T$4:$Y$14,$Y$1,FALSE)</f>
        <v>4.0479644071040957E-17</v>
      </c>
      <c r="E4" s="96">
        <f>VLOOKUP($A4,lognormal!$I$3:$R$13,lognormal!$M$1,FALSE) * VLOOKUP(E$3,lognormal!$I$3:$R$13,lognormal!$M$1,FALSE) *INDEX(correlation!$C$3:$M$13,MATCH($A4,correlation!$B$3:$B$13,0),MATCH(E$3,correlation!$C$2:$M$2,0))*VLOOKUP($A4,$T$4:$Y$14,$Y$1,FALSE)*VLOOKUP(E$3,$T$4:$Y$14,$Y$1,FALSE)</f>
        <v>8.7329573573379502E-4</v>
      </c>
      <c r="F4" s="96">
        <f>VLOOKUP($A4,lognormal!$I$3:$R$13,lognormal!$M$1,FALSE) * VLOOKUP(F$3,lognormal!$I$3:$R$13,lognormal!$M$1,FALSE) *INDEX(correlation!$C$3:$M$13,MATCH($A4,correlation!$B$3:$B$13,0),MATCH(F$3,correlation!$C$2:$M$2,0))*VLOOKUP($A4,$T$4:$Y$14,$Y$1,FALSE)*VLOOKUP(F$3,$T$4:$Y$14,$Y$1,FALSE)</f>
        <v>2.5057378326602264E-3</v>
      </c>
      <c r="G4" s="96">
        <f>VLOOKUP($A4,lognormal!$I$3:$R$13,lognormal!$M$1,FALSE) * VLOOKUP(G$3,lognormal!$I$3:$R$13,lognormal!$M$1,FALSE) *INDEX(correlation!$C$3:$M$13,MATCH($A4,correlation!$B$3:$B$13,0),MATCH(G$3,correlation!$C$2:$M$2,0))*VLOOKUP($A4,$T$4:$Y$14,$Y$1,FALSE)*VLOOKUP(G$3,$T$4:$Y$14,$Y$1,FALSE)</f>
        <v>4.9833168405584124E-5</v>
      </c>
      <c r="H4" s="96">
        <f>VLOOKUP($A4,lognormal!$I$3:$R$13,lognormal!$M$1,FALSE) * VLOOKUP(H$3,lognormal!$I$3:$R$13,lognormal!$M$1,FALSE) *INDEX(correlation!$C$3:$M$13,MATCH($A4,correlation!$B$3:$B$13,0),MATCH(H$3,correlation!$C$2:$M$2,0))*VLOOKUP($A4,$T$4:$Y$14,$Y$1,FALSE)*VLOOKUP(H$3,$T$4:$Y$14,$Y$1,FALSE)</f>
        <v>1.2248219898952956E-3</v>
      </c>
      <c r="I4" s="96">
        <f>VLOOKUP($A4,lognormal!$I$3:$R$13,lognormal!$M$1,FALSE) * VLOOKUP(I$3,lognormal!$I$3:$R$13,lognormal!$M$1,FALSE) *INDEX(correlation!$C$3:$M$13,MATCH($A4,correlation!$B$3:$B$13,0),MATCH(I$3,correlation!$C$2:$M$2,0))*VLOOKUP($A4,$T$4:$Y$14,$Y$1,FALSE)*VLOOKUP(I$3,$T$4:$Y$14,$Y$1,FALSE)</f>
        <v>2.6695165343807223E-4</v>
      </c>
      <c r="J4" s="96">
        <f>VLOOKUP($A4,lognormal!$I$3:$R$13,lognormal!$M$1,FALSE) * VLOOKUP(J$3,lognormal!$I$3:$R$13,lognormal!$M$1,FALSE) *INDEX(correlation!$C$3:$M$13,MATCH($A4,correlation!$B$3:$B$13,0),MATCH(J$3,correlation!$C$2:$M$2,0))*VLOOKUP($A4,$T$4:$Y$14,$Y$1,FALSE)*VLOOKUP(J$3,$T$4:$Y$14,$Y$1,FALSE)</f>
        <v>1.7271869793803973E-16</v>
      </c>
      <c r="K4" s="96">
        <f>VLOOKUP($A4,lognormal!$I$3:$R$13,lognormal!$M$1,FALSE) * VLOOKUP(K$3,lognormal!$I$3:$R$13,lognormal!$M$1,FALSE) *INDEX(correlation!$C$3:$M$13,MATCH($A4,correlation!$B$3:$B$13,0),MATCH(K$3,correlation!$C$2:$M$2,0))*VLOOKUP($A4,$T$4:$Y$14,$Y$1,FALSE)*VLOOKUP(K$3,$T$4:$Y$14,$Y$1,FALSE)</f>
        <v>1.1974470010217791E-16</v>
      </c>
      <c r="L4" s="96">
        <f>VLOOKUP($A4,lognormal!$I$3:$R$13,lognormal!$M$1,FALSE) * VLOOKUP(L$3,lognormal!$I$3:$R$13,lognormal!$M$1,FALSE) *INDEX(correlation!$C$3:$M$13,MATCH($A4,correlation!$B$3:$B$13,0),MATCH(L$3,correlation!$C$2:$M$2,0))*VLOOKUP($A4,$T$4:$Y$14,$Y$1,FALSE)*VLOOKUP(L$3,$T$4:$Y$14,$Y$1,FALSE)</f>
        <v>3.3732806674423575E-17</v>
      </c>
      <c r="M4" s="13">
        <f t="shared" ref="M4:M14" si="0">SUM(C4:L4)</f>
        <v>4.9206403801334529E-3</v>
      </c>
      <c r="N4" s="7">
        <f t="array" ref="N4">INDEX(beta!$B$3:$B$13,MATCH($A4,beta!$A$3:$A$13,0),MATCH(N$3,beta!$B$2:$B$2,0))</f>
        <v>0.40275485869578198</v>
      </c>
      <c r="O4" s="8">
        <f t="shared" ref="O4:O14" si="1">N4*VLOOKUP(A4,$T$4:$Y$14,$Y$1,FALSE)</f>
        <v>0.12494984870945568</v>
      </c>
      <c r="P4" s="14">
        <f>N4*(VLOOKUP($N$3,lognormal!$A$3:$C$13,3,FALSE)-$U$22)+$U$22</f>
        <v>0.12889105874500378</v>
      </c>
      <c r="Q4" s="15">
        <f>EXP(VLOOKUP(A4,lognormal!$A$3:$C$13,3,FALSE)-P4)-1</f>
        <v>0.45521107806843997</v>
      </c>
      <c r="R4" s="4" t="e">
        <f t="array" ref="R4">INDEX(beta!$B$3:$B$13,MATCH($A4,beta!$A$3:$A$13,0),MATCH(R$3,beta!$B$2:$B$2,0))</f>
        <v>#N/A</v>
      </c>
      <c r="S4" s="9" t="e">
        <f t="array" ref="S4">INDEX(beta!$B$3:$B$13,MATCH($A4,beta!$A$3:$A$13,0),MATCH(S$3,beta!$B$2:$B$2,0))</f>
        <v>#N/A</v>
      </c>
      <c r="T4" s="70" t="s">
        <v>10</v>
      </c>
      <c r="U4" s="16"/>
      <c r="V4" s="16"/>
      <c r="W4" s="16"/>
      <c r="X4" s="17">
        <f t="shared" ref="X4:X14" si="2">AB4/$AB$19</f>
        <v>0</v>
      </c>
      <c r="Y4" s="18">
        <f>Z4</f>
        <v>0.31023796736822401</v>
      </c>
      <c r="Z4" s="94">
        <f>VLOOKUP(T4,tangentPorfolio!$A$2:$B$12,2,FALSE)</f>
        <v>0.31023796736822401</v>
      </c>
      <c r="AA4" s="4">
        <f>IF(ISNUMBER(SEARCH("HK",T4)),1,$U$20)</f>
        <v>7.75</v>
      </c>
      <c r="AB4" s="16">
        <f t="shared" ref="AB4:AB14" si="3">U4*AA4</f>
        <v>0</v>
      </c>
    </row>
    <row r="5" spans="1:30">
      <c r="A5" s="70" t="s">
        <v>93</v>
      </c>
      <c r="B5" s="96">
        <f>VLOOKUP($A5,lognormal!$I$3:$R$13,lognormal!$M$1,FALSE) * VLOOKUP(B$3,lognormal!$I$3:$R$13,lognormal!$M$1,FALSE) *INDEX(correlation!$C$3:$M$13,MATCH($A5,correlation!$B$3:$B$13,0),MATCH(B$3,correlation!$C$2:$M$2,0))*VLOOKUP($A5,$T$4:$Y$14,$Y$1,FALSE)*VLOOKUP(B$3,$T$4:$Y$14,$Y$1,FALSE)</f>
        <v>1.1277146100570626E-16</v>
      </c>
      <c r="C5" s="96">
        <f>VLOOKUP($A5,lognormal!$I$3:$R$13,lognormal!$M$1,FALSE) * VLOOKUP(C$3,lognormal!$I$3:$R$13,lognormal!$M$1,FALSE) *INDEX(correlation!$C$3:$M$13,MATCH($A5,correlation!$B$3:$B$13,0),MATCH(C$3,correlation!$C$2:$M$2,0))*VLOOKUP($A5,$T$4:$Y$14,$Y$1,FALSE)*VLOOKUP(C$3,$T$4:$Y$14,$Y$1,FALSE)</f>
        <v>2.8384127204522345E-29</v>
      </c>
      <c r="D5" s="96">
        <f>VLOOKUP($A5,lognormal!$I$3:$R$13,lognormal!$M$1,FALSE) * VLOOKUP(D$3,lognormal!$I$3:$R$13,lognormal!$M$1,FALSE) *INDEX(correlation!$C$3:$M$13,MATCH($A5,correlation!$B$3:$B$13,0),MATCH(D$3,correlation!$C$2:$M$2,0))*VLOOKUP($A5,$T$4:$Y$14,$Y$1,FALSE)*VLOOKUP(D$3,$T$4:$Y$14,$Y$1,FALSE)</f>
        <v>3.2275016940658274E-30</v>
      </c>
      <c r="E5" s="96">
        <f>VLOOKUP($A5,lognormal!$I$3:$R$13,lognormal!$M$1,FALSE) * VLOOKUP(E$3,lognormal!$I$3:$R$13,lognormal!$M$1,FALSE) *INDEX(correlation!$C$3:$M$13,MATCH($A5,correlation!$B$3:$B$13,0),MATCH(E$3,correlation!$C$2:$M$2,0))*VLOOKUP($A5,$T$4:$Y$14,$Y$1,FALSE)*VLOOKUP(E$3,$T$4:$Y$14,$Y$1,FALSE)</f>
        <v>6.6671295432159409E-17</v>
      </c>
      <c r="F5" s="96">
        <f>VLOOKUP($A5,lognormal!$I$3:$R$13,lognormal!$M$1,FALSE) * VLOOKUP(F$3,lognormal!$I$3:$R$13,lognormal!$M$1,FALSE) *INDEX(correlation!$C$3:$M$13,MATCH($A5,correlation!$B$3:$B$13,0),MATCH(F$3,correlation!$C$2:$M$2,0))*VLOOKUP($A5,$T$4:$Y$14,$Y$1,FALSE)*VLOOKUP(F$3,$T$4:$Y$14,$Y$1,FALSE)</f>
        <v>1.4013163257277503E-16</v>
      </c>
      <c r="G5" s="96">
        <f>VLOOKUP($A5,lognormal!$I$3:$R$13,lognormal!$M$1,FALSE) * VLOOKUP(G$3,lognormal!$I$3:$R$13,lognormal!$M$1,FALSE) *INDEX(correlation!$C$3:$M$13,MATCH($A5,correlation!$B$3:$B$13,0),MATCH(G$3,correlation!$C$2:$M$2,0))*VLOOKUP($A5,$T$4:$Y$14,$Y$1,FALSE)*VLOOKUP(G$3,$T$4:$Y$14,$Y$1,FALSE)</f>
        <v>1.9594582352170712E-18</v>
      </c>
      <c r="H5" s="96">
        <f>VLOOKUP($A5,lognormal!$I$3:$R$13,lognormal!$M$1,FALSE) * VLOOKUP(H$3,lognormal!$I$3:$R$13,lognormal!$M$1,FALSE) *INDEX(correlation!$C$3:$M$13,MATCH($A5,correlation!$B$3:$B$13,0),MATCH(H$3,correlation!$C$2:$M$2,0))*VLOOKUP($A5,$T$4:$Y$14,$Y$1,FALSE)*VLOOKUP(H$3,$T$4:$Y$14,$Y$1,FALSE)</f>
        <v>7.7453618054375535E-17</v>
      </c>
      <c r="I5" s="96">
        <f>VLOOKUP($A5,lognormal!$I$3:$R$13,lognormal!$M$1,FALSE) * VLOOKUP(I$3,lognormal!$I$3:$R$13,lognormal!$M$1,FALSE) *INDEX(correlation!$C$3:$M$13,MATCH($A5,correlation!$B$3:$B$13,0),MATCH(I$3,correlation!$C$2:$M$2,0))*VLOOKUP($A5,$T$4:$Y$14,$Y$1,FALSE)*VLOOKUP(I$3,$T$4:$Y$14,$Y$1,FALSE)</f>
        <v>1.1734248085014376E-17</v>
      </c>
      <c r="J5" s="96">
        <f>VLOOKUP($A5,lognormal!$I$3:$R$13,lognormal!$M$1,FALSE) * VLOOKUP(J$3,lognormal!$I$3:$R$13,lognormal!$M$1,FALSE) *INDEX(correlation!$C$3:$M$13,MATCH($A5,correlation!$B$3:$B$13,0),MATCH(J$3,correlation!$C$2:$M$2,0))*VLOOKUP($A5,$T$4:$Y$14,$Y$1,FALSE)*VLOOKUP(J$3,$T$4:$Y$14,$Y$1,FALSE)</f>
        <v>9.6566110400385289E-30</v>
      </c>
      <c r="K5" s="96">
        <f>VLOOKUP($A5,lognormal!$I$3:$R$13,lognormal!$M$1,FALSE) * VLOOKUP(K$3,lognormal!$I$3:$R$13,lognormal!$M$1,FALSE) *INDEX(correlation!$C$3:$M$13,MATCH($A5,correlation!$B$3:$B$13,0),MATCH(K$3,correlation!$C$2:$M$2,0))*VLOOKUP($A5,$T$4:$Y$14,$Y$1,FALSE)*VLOOKUP(K$3,$T$4:$Y$14,$Y$1,FALSE)</f>
        <v>1.3613401280932493E-29</v>
      </c>
      <c r="L5" s="96">
        <f>VLOOKUP($A5,lognormal!$I$3:$R$13,lognormal!$M$1,FALSE) * VLOOKUP(L$3,lognormal!$I$3:$R$13,lognormal!$M$1,FALSE) *INDEX(correlation!$C$3:$M$13,MATCH($A5,correlation!$B$3:$B$13,0),MATCH(L$3,correlation!$C$2:$M$2,0))*VLOOKUP($A5,$T$4:$Y$14,$Y$1,FALSE)*VLOOKUP(L$3,$T$4:$Y$14,$Y$1,FALSE)</f>
        <v>1.6783451786040955E-30</v>
      </c>
      <c r="M5" s="20">
        <f t="shared" si="0"/>
        <v>2.9795025237959798E-16</v>
      </c>
      <c r="N5" s="7">
        <f t="array" ref="N5">INDEX(beta!$B$3:$B$13,MATCH($A5,beta!$A$3:$A$13,0),MATCH(N$3,beta!$B$2:$B$2,0))</f>
        <v>2.2951340465485401</v>
      </c>
      <c r="O5" s="8">
        <f t="shared" si="1"/>
        <v>3.1234076108077681E-14</v>
      </c>
      <c r="P5" s="14">
        <f>N5*(VLOOKUP($N$3,lognormal!$A$3:$C$13,3,FALSE)-$U$22)+$U$22</f>
        <v>0.71714436080048105</v>
      </c>
      <c r="Q5" s="15">
        <f>EXP(VLOOKUP(A5,lognormal!$A$3:$C$13,3,FALSE)-P5)-1</f>
        <v>-0.56059179241672441</v>
      </c>
      <c r="R5" s="4" t="e">
        <f t="array" ref="R5">INDEX(beta!$B$3:$B$13,MATCH($A5,beta!$A$3:$A$13,0),MATCH(R$3,beta!$B$2:$B$2,0))</f>
        <v>#N/A</v>
      </c>
      <c r="S5" s="9" t="e">
        <f t="array" ref="S5">INDEX(beta!$B$3:$B$13,MATCH($A5,beta!$A$3:$A$13,0),MATCH(S$3,beta!$B$2:$B$2,0))</f>
        <v>#N/A</v>
      </c>
      <c r="T5" s="70" t="s">
        <v>93</v>
      </c>
      <c r="U5" s="21"/>
      <c r="V5" s="21"/>
      <c r="W5" s="21"/>
      <c r="X5" s="17">
        <f t="shared" si="2"/>
        <v>0</v>
      </c>
      <c r="Y5" s="18">
        <f t="shared" ref="Y5:Y14" si="4">Z5</f>
        <v>1.3608824353875099E-14</v>
      </c>
      <c r="Z5" s="94">
        <f>VLOOKUP(T5,tangentPorfolio!$A$2:$B$12,2,FALSE)</f>
        <v>1.3608824353875099E-14</v>
      </c>
      <c r="AA5" s="22">
        <f>IF(ISNUMBER(SEARCH("HK",T5)),1,IF(ISNUMBER(SEARCH("SZ",T5)), U21, U20))</f>
        <v>7.75</v>
      </c>
      <c r="AB5" s="16">
        <f t="shared" si="3"/>
        <v>0</v>
      </c>
    </row>
    <row r="6" spans="1:30">
      <c r="A6" s="70" t="s">
        <v>92</v>
      </c>
      <c r="B6" s="96">
        <f>VLOOKUP($A6,lognormal!$I$3:$R$13,lognormal!$M$1,FALSE) * VLOOKUP(B$3,lognormal!$I$3:$R$13,lognormal!$M$1,FALSE) *INDEX(correlation!$C$3:$M$13,MATCH($A6,correlation!$B$3:$B$13,0),MATCH(B$3,correlation!$C$2:$M$2,0))*VLOOKUP($A6,$T$4:$Y$14,$Y$1,FALSE)*VLOOKUP(B$3,$T$4:$Y$14,$Y$1,FALSE)</f>
        <v>4.0479644071040957E-17</v>
      </c>
      <c r="C6" s="96">
        <f>VLOOKUP($A6,lognormal!$I$3:$R$13,lognormal!$M$1,FALSE) * VLOOKUP(C$3,lognormal!$I$3:$R$13,lognormal!$M$1,FALSE) *INDEX(correlation!$C$3:$M$13,MATCH($A6,correlation!$B$3:$B$13,0),MATCH(C$3,correlation!$C$2:$M$2,0))*VLOOKUP($A6,$T$4:$Y$14,$Y$1,FALSE)*VLOOKUP(C$3,$T$4:$Y$14,$Y$1,FALSE)</f>
        <v>3.2275016940658274E-30</v>
      </c>
      <c r="D6" s="96">
        <f>VLOOKUP($A6,lognormal!$I$3:$R$13,lognormal!$M$1,FALSE) * VLOOKUP(D$3,lognormal!$I$3:$R$13,lognormal!$M$1,FALSE) *INDEX(correlation!$C$3:$M$13,MATCH($A6,correlation!$B$3:$B$13,0),MATCH(D$3,correlation!$C$2:$M$2,0))*VLOOKUP($A6,$T$4:$Y$14,$Y$1,FALSE)*VLOOKUP(D$3,$T$4:$Y$14,$Y$1,FALSE)</f>
        <v>3.5075646895305773E-30</v>
      </c>
      <c r="E6" s="96">
        <f>VLOOKUP($A6,lognormal!$I$3:$R$13,lognormal!$M$1,FALSE) * VLOOKUP(E$3,lognormal!$I$3:$R$13,lognormal!$M$1,FALSE) *INDEX(correlation!$C$3:$M$13,MATCH($A6,correlation!$B$3:$B$13,0),MATCH(E$3,correlation!$C$2:$M$2,0))*VLOOKUP($A6,$T$4:$Y$14,$Y$1,FALSE)*VLOOKUP(E$3,$T$4:$Y$14,$Y$1,FALSE)</f>
        <v>3.031593761791662E-17</v>
      </c>
      <c r="F6" s="96">
        <f>VLOOKUP($A6,lognormal!$I$3:$R$13,lognormal!$M$1,FALSE) * VLOOKUP(F$3,lognormal!$I$3:$R$13,lognormal!$M$1,FALSE) *INDEX(correlation!$C$3:$M$13,MATCH($A6,correlation!$B$3:$B$13,0),MATCH(F$3,correlation!$C$2:$M$2,0))*VLOOKUP($A6,$T$4:$Y$14,$Y$1,FALSE)*VLOOKUP(F$3,$T$4:$Y$14,$Y$1,FALSE)</f>
        <v>4.651617445621919E-17</v>
      </c>
      <c r="G6" s="96">
        <f>VLOOKUP($A6,lognormal!$I$3:$R$13,lognormal!$M$1,FALSE) * VLOOKUP(G$3,lognormal!$I$3:$R$13,lognormal!$M$1,FALSE) *INDEX(correlation!$C$3:$M$13,MATCH($A6,correlation!$B$3:$B$13,0),MATCH(G$3,correlation!$C$2:$M$2,0))*VLOOKUP($A6,$T$4:$Y$14,$Y$1,FALSE)*VLOOKUP(G$3,$T$4:$Y$14,$Y$1,FALSE)</f>
        <v>8.4921863908255232E-19</v>
      </c>
      <c r="H6" s="96">
        <f>VLOOKUP($A6,lognormal!$I$3:$R$13,lognormal!$M$1,FALSE) * VLOOKUP(H$3,lognormal!$I$3:$R$13,lognormal!$M$1,FALSE) *INDEX(correlation!$C$3:$M$13,MATCH($A6,correlation!$B$3:$B$13,0),MATCH(H$3,correlation!$C$2:$M$2,0))*VLOOKUP($A6,$T$4:$Y$14,$Y$1,FALSE)*VLOOKUP(H$3,$T$4:$Y$14,$Y$1,FALSE)</f>
        <v>4.3571680685085925E-17</v>
      </c>
      <c r="I6" s="96">
        <f>VLOOKUP($A6,lognormal!$I$3:$R$13,lognormal!$M$1,FALSE) * VLOOKUP(I$3,lognormal!$I$3:$R$13,lognormal!$M$1,FALSE) *INDEX(correlation!$C$3:$M$13,MATCH($A6,correlation!$B$3:$B$13,0),MATCH(I$3,correlation!$C$2:$M$2,0))*VLOOKUP($A6,$T$4:$Y$14,$Y$1,FALSE)*VLOOKUP(I$3,$T$4:$Y$14,$Y$1,FALSE)</f>
        <v>5.9368998189732683E-18</v>
      </c>
      <c r="J6" s="96">
        <f>VLOOKUP($A6,lognormal!$I$3:$R$13,lognormal!$M$1,FALSE) * VLOOKUP(J$3,lognormal!$I$3:$R$13,lognormal!$M$1,FALSE) *INDEX(correlation!$C$3:$M$13,MATCH($A6,correlation!$B$3:$B$13,0),MATCH(J$3,correlation!$C$2:$M$2,0))*VLOOKUP($A6,$T$4:$Y$14,$Y$1,FALSE)*VLOOKUP(J$3,$T$4:$Y$14,$Y$1,FALSE)</f>
        <v>3.2432304766570016E-30</v>
      </c>
      <c r="K6" s="96">
        <f>VLOOKUP($A6,lognormal!$I$3:$R$13,lognormal!$M$1,FALSE) * VLOOKUP(K$3,lognormal!$I$3:$R$13,lognormal!$M$1,FALSE) *INDEX(correlation!$C$3:$M$13,MATCH($A6,correlation!$B$3:$B$13,0),MATCH(K$3,correlation!$C$2:$M$2,0))*VLOOKUP($A6,$T$4:$Y$14,$Y$1,FALSE)*VLOOKUP(K$3,$T$4:$Y$14,$Y$1,FALSE)</f>
        <v>4.3534717022895768E-30</v>
      </c>
      <c r="L6" s="96">
        <f>VLOOKUP($A6,lognormal!$I$3:$R$13,lognormal!$M$1,FALSE) * VLOOKUP(L$3,lognormal!$I$3:$R$13,lognormal!$M$1,FALSE) *INDEX(correlation!$C$3:$M$13,MATCH($A6,correlation!$B$3:$B$13,0),MATCH(L$3,correlation!$C$2:$M$2,0))*VLOOKUP($A6,$T$4:$Y$14,$Y$1,FALSE)*VLOOKUP(L$3,$T$4:$Y$14,$Y$1,FALSE)</f>
        <v>8.2158692803835698E-31</v>
      </c>
      <c r="M6" s="20">
        <f t="shared" si="0"/>
        <v>1.2718991121729274E-16</v>
      </c>
      <c r="N6" s="7">
        <f t="array" ref="N6">INDEX(beta!$B$3:$B$13,MATCH($A6,beta!$A$3:$A$13,0),MATCH(N$3,beta!$B$2:$B$2,0))</f>
        <v>1.03719967618634</v>
      </c>
      <c r="O6" s="8">
        <f t="shared" si="1"/>
        <v>7.9758427437736819E-15</v>
      </c>
      <c r="P6" s="14">
        <f>N6*(VLOOKUP($N$3,lognormal!$A$3:$C$13,3,FALSE)-$U$22)+$U$22</f>
        <v>0.3261106547205247</v>
      </c>
      <c r="Q6" s="15">
        <f>EXP(VLOOKUP(A6,lognormal!$A$3:$C$13,3,FALSE)-P6)-1</f>
        <v>-0.22148185385665509</v>
      </c>
      <c r="R6" s="4" t="e">
        <f t="array" ref="R6">INDEX(beta!$B$3:$B$13,MATCH($A6,beta!$A$3:$A$13,0),MATCH(R$3,beta!$B$2:$B$2,0))</f>
        <v>#N/A</v>
      </c>
      <c r="S6" s="9" t="e">
        <f t="array" ref="S6">INDEX(beta!$B$3:$B$13,MATCH($A6,beta!$A$3:$A$13,0),MATCH(S$3,beta!$B$2:$B$2,0))</f>
        <v>#N/A</v>
      </c>
      <c r="T6" s="70" t="s">
        <v>92</v>
      </c>
      <c r="U6" s="16"/>
      <c r="V6" s="16"/>
      <c r="W6" s="16"/>
      <c r="X6" s="17">
        <f t="shared" si="2"/>
        <v>0</v>
      </c>
      <c r="Y6" s="18">
        <f t="shared" si="4"/>
        <v>7.6897852235163703E-15</v>
      </c>
      <c r="Z6" s="94">
        <f>VLOOKUP(T6,tangentPorfolio!$A$2:$B$12,2,FALSE)</f>
        <v>7.6897852235163703E-15</v>
      </c>
      <c r="AA6" s="4">
        <f t="shared" ref="AA6:AA14" si="5">IF(ISNUMBER(SEARCH("HK",T6)),1,$U$20)</f>
        <v>7.75</v>
      </c>
      <c r="AB6" s="16">
        <f t="shared" si="3"/>
        <v>0</v>
      </c>
    </row>
    <row r="7" spans="1:30">
      <c r="A7" s="70" t="s">
        <v>95</v>
      </c>
      <c r="B7" s="96">
        <f>VLOOKUP($A7,lognormal!$I$3:$R$13,lognormal!$M$1,FALSE) * VLOOKUP(B$3,lognormal!$I$3:$R$13,lognormal!$M$1,FALSE) *INDEX(correlation!$C$3:$M$13,MATCH($A7,correlation!$B$3:$B$13,0),MATCH(B$3,correlation!$C$2:$M$2,0))*VLOOKUP($A7,$T$4:$Y$14,$Y$1,FALSE)*VLOOKUP(B$3,$T$4:$Y$14,$Y$1,FALSE)</f>
        <v>8.7329573573379502E-4</v>
      </c>
      <c r="C7" s="96">
        <f>VLOOKUP($A7,lognormal!$I$3:$R$13,lognormal!$M$1,FALSE) * VLOOKUP(C$3,lognormal!$I$3:$R$13,lognormal!$M$1,FALSE) *INDEX(correlation!$C$3:$M$13,MATCH($A7,correlation!$B$3:$B$13,0),MATCH(C$3,correlation!$C$2:$M$2,0))*VLOOKUP($A7,$T$4:$Y$14,$Y$1,FALSE)*VLOOKUP(C$3,$T$4:$Y$14,$Y$1,FALSE)</f>
        <v>6.6671295432159409E-17</v>
      </c>
      <c r="D7" s="96">
        <f>VLOOKUP($A7,lognormal!$I$3:$R$13,lognormal!$M$1,FALSE) * VLOOKUP(D$3,lognormal!$I$3:$R$13,lognormal!$M$1,FALSE) *INDEX(correlation!$C$3:$M$13,MATCH($A7,correlation!$B$3:$B$13,0),MATCH(D$3,correlation!$C$2:$M$2,0))*VLOOKUP($A7,$T$4:$Y$14,$Y$1,FALSE)*VLOOKUP(D$3,$T$4:$Y$14,$Y$1,FALSE)</f>
        <v>3.0315937617916626E-17</v>
      </c>
      <c r="E7" s="96">
        <f>VLOOKUP($A7,lognormal!$I$3:$R$13,lognormal!$M$1,FALSE) * VLOOKUP(E$3,lognormal!$I$3:$R$13,lognormal!$M$1,FALSE) *INDEX(correlation!$C$3:$M$13,MATCH($A7,correlation!$B$3:$B$13,0),MATCH(E$3,correlation!$C$2:$M$2,0))*VLOOKUP($A7,$T$4:$Y$14,$Y$1,FALSE)*VLOOKUP(E$3,$T$4:$Y$14,$Y$1,FALSE)</f>
        <v>1.4415927800212384E-3</v>
      </c>
      <c r="F7" s="96">
        <f>VLOOKUP($A7,lognormal!$I$3:$R$13,lognormal!$M$1,FALSE) * VLOOKUP(F$3,lognormal!$I$3:$R$13,lognormal!$M$1,FALSE) *INDEX(correlation!$C$3:$M$13,MATCH($A7,correlation!$B$3:$B$13,0),MATCH(F$3,correlation!$C$2:$M$2,0))*VLOOKUP($A7,$T$4:$Y$14,$Y$1,FALSE)*VLOOKUP(F$3,$T$4:$Y$14,$Y$1,FALSE)</f>
        <v>1.0957719072133823E-3</v>
      </c>
      <c r="G7" s="96">
        <f>VLOOKUP($A7,lognormal!$I$3:$R$13,lognormal!$M$1,FALSE) * VLOOKUP(G$3,lognormal!$I$3:$R$13,lognormal!$M$1,FALSE) *INDEX(correlation!$C$3:$M$13,MATCH($A7,correlation!$B$3:$B$13,0),MATCH(G$3,correlation!$C$2:$M$2,0))*VLOOKUP($A7,$T$4:$Y$14,$Y$1,FALSE)*VLOOKUP(G$3,$T$4:$Y$14,$Y$1,FALSE)</f>
        <v>2.1386810521316975E-5</v>
      </c>
      <c r="H7" s="96">
        <f>VLOOKUP($A7,lognormal!$I$3:$R$13,lognormal!$M$1,FALSE) * VLOOKUP(H$3,lognormal!$I$3:$R$13,lognormal!$M$1,FALSE) *INDEX(correlation!$C$3:$M$13,MATCH($A7,correlation!$B$3:$B$13,0),MATCH(H$3,correlation!$C$2:$M$2,0))*VLOOKUP($A7,$T$4:$Y$14,$Y$1,FALSE)*VLOOKUP(H$3,$T$4:$Y$14,$Y$1,FALSE)</f>
        <v>9.0038254426031046E-4</v>
      </c>
      <c r="I7" s="96">
        <f>VLOOKUP($A7,lognormal!$I$3:$R$13,lognormal!$M$1,FALSE) * VLOOKUP(I$3,lognormal!$I$3:$R$13,lognormal!$M$1,FALSE) *INDEX(correlation!$C$3:$M$13,MATCH($A7,correlation!$B$3:$B$13,0),MATCH(I$3,correlation!$C$2:$M$2,0))*VLOOKUP($A7,$T$4:$Y$14,$Y$1,FALSE)*VLOOKUP(I$3,$T$4:$Y$14,$Y$1,FALSE)</f>
        <v>1.329865189782677E-4</v>
      </c>
      <c r="J7" s="96">
        <f>VLOOKUP($A7,lognormal!$I$3:$R$13,lognormal!$M$1,FALSE) * VLOOKUP(J$3,lognormal!$I$3:$R$13,lognormal!$M$1,FALSE) *INDEX(correlation!$C$3:$M$13,MATCH($A7,correlation!$B$3:$B$13,0),MATCH(J$3,correlation!$C$2:$M$2,0))*VLOOKUP($A7,$T$4:$Y$14,$Y$1,FALSE)*VLOOKUP(J$3,$T$4:$Y$14,$Y$1,FALSE)</f>
        <v>7.6866622665583121E-17</v>
      </c>
      <c r="K7" s="96">
        <f>VLOOKUP($A7,lognormal!$I$3:$R$13,lognormal!$M$1,FALSE) * VLOOKUP(K$3,lognormal!$I$3:$R$13,lognormal!$M$1,FALSE) *INDEX(correlation!$C$3:$M$13,MATCH($A7,correlation!$B$3:$B$13,0),MATCH(K$3,correlation!$C$2:$M$2,0))*VLOOKUP($A7,$T$4:$Y$14,$Y$1,FALSE)*VLOOKUP(K$3,$T$4:$Y$14,$Y$1,FALSE)</f>
        <v>1.0083373261128624E-16</v>
      </c>
      <c r="L7" s="96">
        <f>VLOOKUP($A7,lognormal!$I$3:$R$13,lognormal!$M$1,FALSE) * VLOOKUP(L$3,lognormal!$I$3:$R$13,lognormal!$M$1,FALSE) *INDEX(correlation!$C$3:$M$13,MATCH($A7,correlation!$B$3:$B$13,0),MATCH(L$3,correlation!$C$2:$M$2,0))*VLOOKUP($A7,$T$4:$Y$14,$Y$1,FALSE)*VLOOKUP(L$3,$T$4:$Y$14,$Y$1,FALSE)</f>
        <v>1.7914043320418066E-17</v>
      </c>
      <c r="M7" s="20">
        <f t="shared" si="0"/>
        <v>3.5921205609948082E-3</v>
      </c>
      <c r="N7" s="7">
        <f t="array" ref="N7">INDEX(beta!$B$3:$B$13,MATCH($A7,beta!$A$3:$A$13,0),MATCH(N$3,beta!$B$2:$B$2,0))</f>
        <v>1.8179676826449001</v>
      </c>
      <c r="O7" s="8">
        <f t="shared" si="1"/>
        <v>9.9632588669392702E-2</v>
      </c>
      <c r="P7" s="14">
        <f>N7*(VLOOKUP($N$3,lognormal!$A$3:$C$13,3,FALSE)-$U$22)+$U$22</f>
        <v>0.56881537314414354</v>
      </c>
      <c r="Q7" s="15">
        <f>EXP(VLOOKUP(A7,lognormal!$A$3:$C$13,3,FALSE)-P7)-1</f>
        <v>0.13474563005353546</v>
      </c>
      <c r="R7" s="4" t="e">
        <f t="array" ref="R7">INDEX(beta!$B$3:$B$13,MATCH($A7,beta!$A$3:$A$13,0),MATCH(R$3,beta!$B$2:$B$2,0))</f>
        <v>#N/A</v>
      </c>
      <c r="S7" s="9" t="e">
        <f t="array" ref="S7">INDEX(beta!$B$3:$B$13,MATCH($A7,beta!$A$3:$A$13,0),MATCH(S$3,beta!$B$2:$B$2,0))</f>
        <v>#N/A</v>
      </c>
      <c r="T7" s="70" t="s">
        <v>95</v>
      </c>
      <c r="U7" s="16"/>
      <c r="V7" s="16"/>
      <c r="W7" s="16"/>
      <c r="X7" s="17">
        <f t="shared" si="2"/>
        <v>0</v>
      </c>
      <c r="Y7" s="18">
        <f t="shared" si="4"/>
        <v>5.4804378328904398E-2</v>
      </c>
      <c r="Z7" s="94">
        <f>VLOOKUP(T7,tangentPorfolio!$A$2:$B$12,2,FALSE)</f>
        <v>5.4804378328904398E-2</v>
      </c>
      <c r="AA7" s="4">
        <f t="shared" si="5"/>
        <v>7.75</v>
      </c>
      <c r="AB7" s="16">
        <f t="shared" si="3"/>
        <v>0</v>
      </c>
    </row>
    <row r="8" spans="1:30">
      <c r="A8" s="70" t="s">
        <v>13</v>
      </c>
      <c r="B8" s="96">
        <f>VLOOKUP($A8,lognormal!$I$3:$R$13,lognormal!$M$1,FALSE) * VLOOKUP(B$3,lognormal!$I$3:$R$13,lognormal!$M$1,FALSE) *INDEX(correlation!$C$3:$M$13,MATCH($A8,correlation!$B$3:$B$13,0),MATCH(B$3,correlation!$C$2:$M$2,0))*VLOOKUP($A8,$T$4:$Y$14,$Y$1,FALSE)*VLOOKUP(B$3,$T$4:$Y$14,$Y$1,FALSE)</f>
        <v>2.505737832660226E-3</v>
      </c>
      <c r="C8" s="96">
        <f>VLOOKUP($A8,lognormal!$I$3:$R$13,lognormal!$M$1,FALSE) * VLOOKUP(C$3,lognormal!$I$3:$R$13,lognormal!$M$1,FALSE) *INDEX(correlation!$C$3:$M$13,MATCH($A8,correlation!$B$3:$B$13,0),MATCH(C$3,correlation!$C$2:$M$2,0))*VLOOKUP($A8,$T$4:$Y$14,$Y$1,FALSE)*VLOOKUP(C$3,$T$4:$Y$14,$Y$1,FALSE)</f>
        <v>1.4013163257277503E-16</v>
      </c>
      <c r="D8" s="96">
        <f>VLOOKUP($A8,lognormal!$I$3:$R$13,lognormal!$M$1,FALSE) * VLOOKUP(D$3,lognormal!$I$3:$R$13,lognormal!$M$1,FALSE) *INDEX(correlation!$C$3:$M$13,MATCH($A8,correlation!$B$3:$B$13,0),MATCH(D$3,correlation!$C$2:$M$2,0))*VLOOKUP($A8,$T$4:$Y$14,$Y$1,FALSE)*VLOOKUP(D$3,$T$4:$Y$14,$Y$1,FALSE)</f>
        <v>4.651617445621919E-17</v>
      </c>
      <c r="E8" s="96">
        <f>VLOOKUP($A8,lognormal!$I$3:$R$13,lognormal!$M$1,FALSE) * VLOOKUP(E$3,lognormal!$I$3:$R$13,lognormal!$M$1,FALSE) *INDEX(correlation!$C$3:$M$13,MATCH($A8,correlation!$B$3:$B$13,0),MATCH(E$3,correlation!$C$2:$M$2,0))*VLOOKUP($A8,$T$4:$Y$14,$Y$1,FALSE)*VLOOKUP(E$3,$T$4:$Y$14,$Y$1,FALSE)</f>
        <v>1.0957719072133823E-3</v>
      </c>
      <c r="F8" s="96">
        <f>VLOOKUP($A8,lognormal!$I$3:$R$13,lognormal!$M$1,FALSE) * VLOOKUP(F$3,lognormal!$I$3:$R$13,lognormal!$M$1,FALSE) *INDEX(correlation!$C$3:$M$13,MATCH($A8,correlation!$B$3:$B$13,0),MATCH(F$3,correlation!$C$2:$M$2,0))*VLOOKUP($A8,$T$4:$Y$14,$Y$1,FALSE)*VLOOKUP(F$3,$T$4:$Y$14,$Y$1,FALSE)</f>
        <v>6.8537882787083294E-3</v>
      </c>
      <c r="G8" s="96">
        <f>VLOOKUP($A8,lognormal!$I$3:$R$13,lognormal!$M$1,FALSE) * VLOOKUP(G$3,lognormal!$I$3:$R$13,lognormal!$M$1,FALSE) *INDEX(correlation!$C$3:$M$13,MATCH($A8,correlation!$B$3:$B$13,0),MATCH(G$3,correlation!$C$2:$M$2,0))*VLOOKUP($A8,$T$4:$Y$14,$Y$1,FALSE)*VLOOKUP(G$3,$T$4:$Y$14,$Y$1,FALSE)</f>
        <v>7.3610715683398621E-5</v>
      </c>
      <c r="H8" s="96">
        <f>VLOOKUP($A8,lognormal!$I$3:$R$13,lognormal!$M$1,FALSE) * VLOOKUP(H$3,lognormal!$I$3:$R$13,lognormal!$M$1,FALSE) *INDEX(correlation!$C$3:$M$13,MATCH($A8,correlation!$B$3:$B$13,0),MATCH(H$3,correlation!$C$2:$M$2,0))*VLOOKUP($A8,$T$4:$Y$14,$Y$1,FALSE)*VLOOKUP(H$3,$T$4:$Y$14,$Y$1,FALSE)</f>
        <v>1.8358577649063821E-3</v>
      </c>
      <c r="I8" s="96">
        <f>VLOOKUP($A8,lognormal!$I$3:$R$13,lognormal!$M$1,FALSE) * VLOOKUP(I$3,lognormal!$I$3:$R$13,lognormal!$M$1,FALSE) *INDEX(correlation!$C$3:$M$13,MATCH($A8,correlation!$B$3:$B$13,0),MATCH(I$3,correlation!$C$2:$M$2,0))*VLOOKUP($A8,$T$4:$Y$14,$Y$1,FALSE)*VLOOKUP(I$3,$T$4:$Y$14,$Y$1,FALSE)</f>
        <v>4.3842812902853594E-4</v>
      </c>
      <c r="J8" s="96">
        <f>VLOOKUP($A8,lognormal!$I$3:$R$13,lognormal!$M$1,FALSE) * VLOOKUP(J$3,lognormal!$I$3:$R$13,lognormal!$M$1,FALSE) *INDEX(correlation!$C$3:$M$13,MATCH($A8,correlation!$B$3:$B$13,0),MATCH(J$3,correlation!$C$2:$M$2,0))*VLOOKUP($A8,$T$4:$Y$14,$Y$1,FALSE)*VLOOKUP(J$3,$T$4:$Y$14,$Y$1,FALSE)</f>
        <v>1.959520517111409E-16</v>
      </c>
      <c r="K8" s="96">
        <f>VLOOKUP($A8,lognormal!$I$3:$R$13,lognormal!$M$1,FALSE) * VLOOKUP(K$3,lognormal!$I$3:$R$13,lognormal!$M$1,FALSE) *INDEX(correlation!$C$3:$M$13,MATCH($A8,correlation!$B$3:$B$13,0),MATCH(K$3,correlation!$C$2:$M$2,0))*VLOOKUP($A8,$T$4:$Y$14,$Y$1,FALSE)*VLOOKUP(K$3,$T$4:$Y$14,$Y$1,FALSE)</f>
        <v>1.7157255873917656E-16</v>
      </c>
      <c r="L8" s="96">
        <f>VLOOKUP($A8,lognormal!$I$3:$R$13,lognormal!$M$1,FALSE) * VLOOKUP(L$3,lognormal!$I$3:$R$13,lognormal!$M$1,FALSE) *INDEX(correlation!$C$3:$M$13,MATCH($A8,correlation!$B$3:$B$13,0),MATCH(L$3,correlation!$C$2:$M$2,0))*VLOOKUP($A8,$T$4:$Y$14,$Y$1,FALSE)*VLOOKUP(L$3,$T$4:$Y$14,$Y$1,FALSE)</f>
        <v>4.8324828664732618E-17</v>
      </c>
      <c r="M8" s="20">
        <f t="shared" si="0"/>
        <v>1.0297456795540632E-2</v>
      </c>
      <c r="N8" s="7">
        <f t="array" ref="N8">INDEX(beta!$B$3:$B$13,MATCH($A8,beta!$A$3:$A$13,0),MATCH(N$3,beta!$B$2:$B$2,0))</f>
        <v>0.65335495195986704</v>
      </c>
      <c r="O8" s="8">
        <f t="shared" si="1"/>
        <v>0.29331771828789266</v>
      </c>
      <c r="P8" s="14">
        <f>N8*(VLOOKUP($N$3,lognormal!$A$3:$C$13,3,FALSE)-$U$22)+$U$22</f>
        <v>0.20679105537584749</v>
      </c>
      <c r="Q8" s="15">
        <f>EXP(VLOOKUP(A8,lognormal!$A$3:$C$13,3,FALSE)-P8)-1</f>
        <v>0.22181242068295592</v>
      </c>
      <c r="R8" s="4" t="e">
        <f t="array" ref="R8">INDEX(beta!$B$3:$B$13,MATCH($A8,beta!$A$3:$A$13,0),MATCH(R$3,beta!$B$2:$B$2,0))</f>
        <v>#N/A</v>
      </c>
      <c r="S8" s="9" t="e">
        <f t="array" ref="S8">INDEX(beta!$B$3:$B$13,MATCH($A8,beta!$A$3:$A$13,0),MATCH(S$3,beta!$B$2:$B$2,0))</f>
        <v>#N/A</v>
      </c>
      <c r="T8" s="70" t="s">
        <v>13</v>
      </c>
      <c r="U8" s="23"/>
      <c r="V8" s="23"/>
      <c r="W8" s="23"/>
      <c r="X8" s="17">
        <f t="shared" si="2"/>
        <v>0</v>
      </c>
      <c r="Y8" s="18">
        <f t="shared" si="4"/>
        <v>0.44894083592391598</v>
      </c>
      <c r="Z8" s="94">
        <f>VLOOKUP(T8,tangentPorfolio!$A$2:$B$12,2,FALSE)</f>
        <v>0.44894083592391598</v>
      </c>
      <c r="AA8" s="22">
        <f t="shared" si="5"/>
        <v>7.75</v>
      </c>
      <c r="AB8" s="16">
        <f t="shared" si="3"/>
        <v>0</v>
      </c>
    </row>
    <row r="9" spans="1:30">
      <c r="A9" s="70" t="s">
        <v>91</v>
      </c>
      <c r="B9" s="96">
        <f>VLOOKUP($A9,lognormal!$I$3:$R$13,lognormal!$M$1,FALSE) * VLOOKUP(B$3,lognormal!$I$3:$R$13,lognormal!$M$1,FALSE) *INDEX(correlation!$C$3:$M$13,MATCH($A9,correlation!$B$3:$B$13,0),MATCH(B$3,correlation!$C$2:$M$2,0))*VLOOKUP($A9,$T$4:$Y$14,$Y$1,FALSE)*VLOOKUP(B$3,$T$4:$Y$14,$Y$1,FALSE)</f>
        <v>4.9833168405584124E-5</v>
      </c>
      <c r="C9" s="96">
        <f>VLOOKUP($A9,lognormal!$I$3:$R$13,lognormal!$M$1,FALSE) * VLOOKUP(C$3,lognormal!$I$3:$R$13,lognormal!$M$1,FALSE) *INDEX(correlation!$C$3:$M$13,MATCH($A9,correlation!$B$3:$B$13,0),MATCH(C$3,correlation!$C$2:$M$2,0))*VLOOKUP($A9,$T$4:$Y$14,$Y$1,FALSE)*VLOOKUP(C$3,$T$4:$Y$14,$Y$1,FALSE)</f>
        <v>1.9594582352170712E-18</v>
      </c>
      <c r="D9" s="96">
        <f>VLOOKUP($A9,lognormal!$I$3:$R$13,lognormal!$M$1,FALSE) * VLOOKUP(D$3,lognormal!$I$3:$R$13,lognormal!$M$1,FALSE) *INDEX(correlation!$C$3:$M$13,MATCH($A9,correlation!$B$3:$B$13,0),MATCH(D$3,correlation!$C$2:$M$2,0))*VLOOKUP($A9,$T$4:$Y$14,$Y$1,FALSE)*VLOOKUP(D$3,$T$4:$Y$14,$Y$1,FALSE)</f>
        <v>8.4921863908255232E-19</v>
      </c>
      <c r="E9" s="96">
        <f>VLOOKUP($A9,lognormal!$I$3:$R$13,lognormal!$M$1,FALSE) * VLOOKUP(E$3,lognormal!$I$3:$R$13,lognormal!$M$1,FALSE) *INDEX(correlation!$C$3:$M$13,MATCH($A9,correlation!$B$3:$B$13,0),MATCH(E$3,correlation!$C$2:$M$2,0))*VLOOKUP($A9,$T$4:$Y$14,$Y$1,FALSE)*VLOOKUP(E$3,$T$4:$Y$14,$Y$1,FALSE)</f>
        <v>2.1386810521316972E-5</v>
      </c>
      <c r="F9" s="96">
        <f>VLOOKUP($A9,lognormal!$I$3:$R$13,lognormal!$M$1,FALSE) * VLOOKUP(F$3,lognormal!$I$3:$R$13,lognormal!$M$1,FALSE) *INDEX(correlation!$C$3:$M$13,MATCH($A9,correlation!$B$3:$B$13,0),MATCH(F$3,correlation!$C$2:$M$2,0))*VLOOKUP($A9,$T$4:$Y$14,$Y$1,FALSE)*VLOOKUP(F$3,$T$4:$Y$14,$Y$1,FALSE)</f>
        <v>7.3610715683398621E-5</v>
      </c>
      <c r="G9" s="96">
        <f>VLOOKUP($A9,lognormal!$I$3:$R$13,lognormal!$M$1,FALSE) * VLOOKUP(G$3,lognormal!$I$3:$R$13,lognormal!$M$1,FALSE) *INDEX(correlation!$C$3:$M$13,MATCH($A9,correlation!$B$3:$B$13,0),MATCH(G$3,correlation!$C$2:$M$2,0))*VLOOKUP($A9,$T$4:$Y$14,$Y$1,FALSE)*VLOOKUP(G$3,$T$4:$Y$14,$Y$1,FALSE)</f>
        <v>2.1096062929810501E-6</v>
      </c>
      <c r="H9" s="96">
        <f>VLOOKUP($A9,lognormal!$I$3:$R$13,lognormal!$M$1,FALSE) * VLOOKUP(H$3,lognormal!$I$3:$R$13,lognormal!$M$1,FALSE) *INDEX(correlation!$C$3:$M$13,MATCH($A9,correlation!$B$3:$B$13,0),MATCH(H$3,correlation!$C$2:$M$2,0))*VLOOKUP($A9,$T$4:$Y$14,$Y$1,FALSE)*VLOOKUP(H$3,$T$4:$Y$14,$Y$1,FALSE)</f>
        <v>3.1167321459159545E-5</v>
      </c>
      <c r="I9" s="96">
        <f>VLOOKUP($A9,lognormal!$I$3:$R$13,lognormal!$M$1,FALSE) * VLOOKUP(I$3,lognormal!$I$3:$R$13,lognormal!$M$1,FALSE) *INDEX(correlation!$C$3:$M$13,MATCH($A9,correlation!$B$3:$B$13,0),MATCH(I$3,correlation!$C$2:$M$2,0))*VLOOKUP($A9,$T$4:$Y$14,$Y$1,FALSE)*VLOOKUP(I$3,$T$4:$Y$14,$Y$1,FALSE)</f>
        <v>9.0579357734540641E-6</v>
      </c>
      <c r="J9" s="96">
        <f>VLOOKUP($A9,lognormal!$I$3:$R$13,lognormal!$M$1,FALSE) * VLOOKUP(J$3,lognormal!$I$3:$R$13,lognormal!$M$1,FALSE) *INDEX(correlation!$C$3:$M$13,MATCH($A9,correlation!$B$3:$B$13,0),MATCH(J$3,correlation!$C$2:$M$2,0))*VLOOKUP($A9,$T$4:$Y$14,$Y$1,FALSE)*VLOOKUP(J$3,$T$4:$Y$14,$Y$1,FALSE)</f>
        <v>3.5489361047310648E-18</v>
      </c>
      <c r="K9" s="96">
        <f>VLOOKUP($A9,lognormal!$I$3:$R$13,lognormal!$M$1,FALSE) * VLOOKUP(K$3,lognormal!$I$3:$R$13,lognormal!$M$1,FALSE) *INDEX(correlation!$C$3:$M$13,MATCH($A9,correlation!$B$3:$B$13,0),MATCH(K$3,correlation!$C$2:$M$2,0))*VLOOKUP($A9,$T$4:$Y$14,$Y$1,FALSE)*VLOOKUP(K$3,$T$4:$Y$14,$Y$1,FALSE)</f>
        <v>2.755097492706889E-18</v>
      </c>
      <c r="L9" s="96">
        <f>VLOOKUP($A9,lognormal!$I$3:$R$13,lognormal!$M$1,FALSE) * VLOOKUP(L$3,lognormal!$I$3:$R$13,lognormal!$M$1,FALSE) *INDEX(correlation!$C$3:$M$13,MATCH($A9,correlation!$B$3:$B$13,0),MATCH(L$3,correlation!$C$2:$M$2,0))*VLOOKUP($A9,$T$4:$Y$14,$Y$1,FALSE)*VLOOKUP(L$3,$T$4:$Y$14,$Y$1,FALSE)</f>
        <v>8.8105246607976701E-19</v>
      </c>
      <c r="M9" s="20">
        <f t="shared" si="0"/>
        <v>1.3733238973032027E-4</v>
      </c>
      <c r="N9" s="7">
        <f t="array" ref="N9">INDEX(beta!$B$3:$B$13,MATCH($A9,beta!$A$3:$A$13,0),MATCH(N$3,beta!$B$2:$B$2,0))</f>
        <v>0.82454486419898299</v>
      </c>
      <c r="O9" s="8">
        <f t="shared" si="1"/>
        <v>4.1649159791306732E-3</v>
      </c>
      <c r="P9" s="14">
        <f>N9*(VLOOKUP($N$3,lognormal!$A$3:$C$13,3,FALSE)-$U$22)+$U$22</f>
        <v>0.26000609377812078</v>
      </c>
      <c r="Q9" s="15">
        <f>EXP(VLOOKUP(A9,lognormal!$A$3:$C$13,3,FALSE)-P9)-1</f>
        <v>0.10554811741437597</v>
      </c>
      <c r="R9" s="4" t="e">
        <f t="array" ref="R9">INDEX(beta!$B$3:$B$13,MATCH($A9,beta!$A$3:$A$13,0),MATCH(R$3,beta!$B$2:$B$2,0))</f>
        <v>#N/A</v>
      </c>
      <c r="S9" s="9" t="e">
        <f t="array" ref="S9">INDEX(beta!$B$3:$B$13,MATCH($A9,beta!$A$3:$A$13,0),MATCH(S$3,beta!$B$2:$B$2,0))</f>
        <v>#N/A</v>
      </c>
      <c r="T9" s="70" t="s">
        <v>91</v>
      </c>
      <c r="U9" s="16"/>
      <c r="V9" s="16"/>
      <c r="W9" s="16"/>
      <c r="X9" s="17">
        <f t="shared" si="2"/>
        <v>0</v>
      </c>
      <c r="Y9" s="18">
        <f t="shared" si="4"/>
        <v>5.0511696330517398E-3</v>
      </c>
      <c r="Z9" s="94">
        <f>VLOOKUP(T9,tangentPorfolio!$A$2:$B$12,2,FALSE)</f>
        <v>5.0511696330517398E-3</v>
      </c>
      <c r="AA9" s="4">
        <f t="shared" si="5"/>
        <v>7.75</v>
      </c>
      <c r="AB9" s="16">
        <f t="shared" si="3"/>
        <v>0</v>
      </c>
    </row>
    <row r="10" spans="1:30">
      <c r="A10" s="70" t="s">
        <v>94</v>
      </c>
      <c r="B10" s="96">
        <f>VLOOKUP($A10,lognormal!$I$3:$R$13,lognormal!$M$1,FALSE) * VLOOKUP(B$3,lognormal!$I$3:$R$13,lognormal!$M$1,FALSE) *INDEX(correlation!$C$3:$M$13,MATCH($A10,correlation!$B$3:$B$13,0),MATCH(B$3,correlation!$C$2:$M$2,0))*VLOOKUP($A10,$T$4:$Y$14,$Y$1,FALSE)*VLOOKUP(B$3,$T$4:$Y$14,$Y$1,FALSE)</f>
        <v>1.2248219898952954E-3</v>
      </c>
      <c r="C10" s="96">
        <f>VLOOKUP($A10,lognormal!$I$3:$R$13,lognormal!$M$1,FALSE) * VLOOKUP(C$3,lognormal!$I$3:$R$13,lognormal!$M$1,FALSE) *INDEX(correlation!$C$3:$M$13,MATCH($A10,correlation!$B$3:$B$13,0),MATCH(C$3,correlation!$C$2:$M$2,0))*VLOOKUP($A10,$T$4:$Y$14,$Y$1,FALSE)*VLOOKUP(C$3,$T$4:$Y$14,$Y$1,FALSE)</f>
        <v>7.7453618054375535E-17</v>
      </c>
      <c r="D10" s="96">
        <f>VLOOKUP($A10,lognormal!$I$3:$R$13,lognormal!$M$1,FALSE) * VLOOKUP(D$3,lognormal!$I$3:$R$13,lognormal!$M$1,FALSE) *INDEX(correlation!$C$3:$M$13,MATCH($A10,correlation!$B$3:$B$13,0),MATCH(D$3,correlation!$C$2:$M$2,0))*VLOOKUP($A10,$T$4:$Y$14,$Y$1,FALSE)*VLOOKUP(D$3,$T$4:$Y$14,$Y$1,FALSE)</f>
        <v>4.3571680685085918E-17</v>
      </c>
      <c r="E10" s="96">
        <f>VLOOKUP($A10,lognormal!$I$3:$R$13,lognormal!$M$1,FALSE) * VLOOKUP(E$3,lognormal!$I$3:$R$13,lognormal!$M$1,FALSE) *INDEX(correlation!$C$3:$M$13,MATCH($A10,correlation!$B$3:$B$13,0),MATCH(E$3,correlation!$C$2:$M$2,0))*VLOOKUP($A10,$T$4:$Y$14,$Y$1,FALSE)*VLOOKUP(E$3,$T$4:$Y$14,$Y$1,FALSE)</f>
        <v>9.0038254426031046E-4</v>
      </c>
      <c r="F10" s="96">
        <f>VLOOKUP($A10,lognormal!$I$3:$R$13,lognormal!$M$1,FALSE) * VLOOKUP(F$3,lognormal!$I$3:$R$13,lognormal!$M$1,FALSE) *INDEX(correlation!$C$3:$M$13,MATCH($A10,correlation!$B$3:$B$13,0),MATCH(F$3,correlation!$C$2:$M$2,0))*VLOOKUP($A10,$T$4:$Y$14,$Y$1,FALSE)*VLOOKUP(F$3,$T$4:$Y$14,$Y$1,FALSE)</f>
        <v>1.8358577649063819E-3</v>
      </c>
      <c r="G10" s="96">
        <f>VLOOKUP($A10,lognormal!$I$3:$R$13,lognormal!$M$1,FALSE) * VLOOKUP(G$3,lognormal!$I$3:$R$13,lognormal!$M$1,FALSE) *INDEX(correlation!$C$3:$M$13,MATCH($A10,correlation!$B$3:$B$13,0),MATCH(G$3,correlation!$C$2:$M$2,0))*VLOOKUP($A10,$T$4:$Y$14,$Y$1,FALSE)*VLOOKUP(G$3,$T$4:$Y$14,$Y$1,FALSE)</f>
        <v>3.1167321459159552E-5</v>
      </c>
      <c r="H10" s="96">
        <f>VLOOKUP($A10,lognormal!$I$3:$R$13,lognormal!$M$1,FALSE) * VLOOKUP(H$3,lognormal!$I$3:$R$13,lognormal!$M$1,FALSE) *INDEX(correlation!$C$3:$M$13,MATCH($A10,correlation!$B$3:$B$13,0),MATCH(H$3,correlation!$C$2:$M$2,0))*VLOOKUP($A10,$T$4:$Y$14,$Y$1,FALSE)*VLOOKUP(H$3,$T$4:$Y$14,$Y$1,FALSE)</f>
        <v>1.9160496728857163E-3</v>
      </c>
      <c r="I10" s="96">
        <f>VLOOKUP($A10,lognormal!$I$3:$R$13,lognormal!$M$1,FALSE) * VLOOKUP(I$3,lognormal!$I$3:$R$13,lognormal!$M$1,FALSE) *INDEX(correlation!$C$3:$M$13,MATCH($A10,correlation!$B$3:$B$13,0),MATCH(I$3,correlation!$C$2:$M$2,0))*VLOOKUP($A10,$T$4:$Y$14,$Y$1,FALSE)*VLOOKUP(I$3,$T$4:$Y$14,$Y$1,FALSE)</f>
        <v>1.9621851112373647E-4</v>
      </c>
      <c r="J10" s="96">
        <f>VLOOKUP($A10,lognormal!$I$3:$R$13,lognormal!$M$1,FALSE) * VLOOKUP(J$3,lognormal!$I$3:$R$13,lognormal!$M$1,FALSE) *INDEX(correlation!$C$3:$M$13,MATCH($A10,correlation!$B$3:$B$13,0),MATCH(J$3,correlation!$C$2:$M$2,0))*VLOOKUP($A10,$T$4:$Y$14,$Y$1,FALSE)*VLOOKUP(J$3,$T$4:$Y$14,$Y$1,FALSE)</f>
        <v>9.5668451583560828E-17</v>
      </c>
      <c r="K10" s="96">
        <f>VLOOKUP($A10,lognormal!$I$3:$R$13,lognormal!$M$1,FALSE) * VLOOKUP(K$3,lognormal!$I$3:$R$13,lognormal!$M$1,FALSE) *INDEX(correlation!$C$3:$M$13,MATCH($A10,correlation!$B$3:$B$13,0),MATCH(K$3,correlation!$C$2:$M$2,0))*VLOOKUP($A10,$T$4:$Y$14,$Y$1,FALSE)*VLOOKUP(K$3,$T$4:$Y$14,$Y$1,FALSE)</f>
        <v>1.1887763435644834E-16</v>
      </c>
      <c r="L10" s="96">
        <f>VLOOKUP($A10,lognormal!$I$3:$R$13,lognormal!$M$1,FALSE) * VLOOKUP(L$3,lognormal!$I$3:$R$13,lognormal!$M$1,FALSE) *INDEX(correlation!$C$3:$M$13,MATCH($A10,correlation!$B$3:$B$13,0),MATCH(L$3,correlation!$C$2:$M$2,0))*VLOOKUP($A10,$T$4:$Y$14,$Y$1,FALSE)*VLOOKUP(L$3,$T$4:$Y$14,$Y$1,FALSE)</f>
        <v>2.560424228119781E-17</v>
      </c>
      <c r="M10" s="20">
        <f t="shared" si="0"/>
        <v>4.8796758146356662E-3</v>
      </c>
      <c r="N10" s="7">
        <f t="array" ref="N10">INDEX(beta!$B$3:$B$13,MATCH($A10,beta!$A$3:$A$13,0),MATCH(N$3,beta!$B$2:$B$2,0))</f>
        <v>1.12362392960407</v>
      </c>
      <c r="O10" s="8">
        <f t="shared" si="1"/>
        <v>0.16000405502032361</v>
      </c>
      <c r="P10" s="14">
        <f>N10*(VLOOKUP($N$3,lognormal!$A$3:$C$13,3,FALSE)-$U$22)+$U$22</f>
        <v>0.35297596415586324</v>
      </c>
      <c r="Q10" s="15">
        <f>EXP(VLOOKUP(A10,lognormal!$A$3:$C$13,3,FALSE)-P10)-1</f>
        <v>0.13426643735590726</v>
      </c>
      <c r="R10" s="4" t="e">
        <f t="array" ref="R10">INDEX(beta!$B$3:$B$13,MATCH($A10,beta!$A$3:$A$13,0),MATCH(R$3,beta!$B$2:$B$2,0))</f>
        <v>#N/A</v>
      </c>
      <c r="S10" s="9" t="e">
        <f t="array" ref="S10">INDEX(beta!$B$3:$B$13,MATCH($A10,beta!$A$3:$A$13,0),MATCH(S$3,beta!$B$2:$B$2,0))</f>
        <v>#N/A</v>
      </c>
      <c r="T10" s="70" t="s">
        <v>94</v>
      </c>
      <c r="U10" s="23"/>
      <c r="V10" s="23"/>
      <c r="W10" s="23"/>
      <c r="X10" s="17">
        <f t="shared" si="2"/>
        <v>0</v>
      </c>
      <c r="Y10" s="18">
        <f t="shared" si="4"/>
        <v>0.142400006625619</v>
      </c>
      <c r="Z10" s="94">
        <f>VLOOKUP(T10,tangentPorfolio!$A$2:$B$12,2,FALSE)</f>
        <v>0.142400006625619</v>
      </c>
      <c r="AA10" s="22">
        <f t="shared" si="5"/>
        <v>7.75</v>
      </c>
      <c r="AB10" s="16">
        <f t="shared" si="3"/>
        <v>0</v>
      </c>
      <c r="AC10" s="4"/>
      <c r="AD10" s="4"/>
    </row>
    <row r="11" spans="1:30">
      <c r="A11" s="70" t="s">
        <v>12</v>
      </c>
      <c r="B11" s="96">
        <f>VLOOKUP($A11,lognormal!$I$3:$R$13,lognormal!$M$1,FALSE) * VLOOKUP(B$3,lognormal!$I$3:$R$13,lognormal!$M$1,FALSE) *INDEX(correlation!$C$3:$M$13,MATCH($A11,correlation!$B$3:$B$13,0),MATCH(B$3,correlation!$C$2:$M$2,0))*VLOOKUP($A11,$T$4:$Y$14,$Y$1,FALSE)*VLOOKUP(B$3,$T$4:$Y$14,$Y$1,FALSE)</f>
        <v>2.6695165343807223E-4</v>
      </c>
      <c r="C11" s="96">
        <f>VLOOKUP($A11,lognormal!$I$3:$R$13,lognormal!$M$1,FALSE) * VLOOKUP(C$3,lognormal!$I$3:$R$13,lognormal!$M$1,FALSE) *INDEX(correlation!$C$3:$M$13,MATCH($A11,correlation!$B$3:$B$13,0),MATCH(C$3,correlation!$C$2:$M$2,0))*VLOOKUP($A11,$T$4:$Y$14,$Y$1,FALSE)*VLOOKUP(C$3,$T$4:$Y$14,$Y$1,FALSE)</f>
        <v>1.1734248085014378E-17</v>
      </c>
      <c r="D11" s="96">
        <f>VLOOKUP($A11,lognormal!$I$3:$R$13,lognormal!$M$1,FALSE) * VLOOKUP(D$3,lognormal!$I$3:$R$13,lognormal!$M$1,FALSE) *INDEX(correlation!$C$3:$M$13,MATCH($A11,correlation!$B$3:$B$13,0),MATCH(D$3,correlation!$C$2:$M$2,0))*VLOOKUP($A11,$T$4:$Y$14,$Y$1,FALSE)*VLOOKUP(D$3,$T$4:$Y$14,$Y$1,FALSE)</f>
        <v>5.9368998189732676E-18</v>
      </c>
      <c r="E11" s="96">
        <f>VLOOKUP($A11,lognormal!$I$3:$R$13,lognormal!$M$1,FALSE) * VLOOKUP(E$3,lognormal!$I$3:$R$13,lognormal!$M$1,FALSE) *INDEX(correlation!$C$3:$M$13,MATCH($A11,correlation!$B$3:$B$13,0),MATCH(E$3,correlation!$C$2:$M$2,0))*VLOOKUP($A11,$T$4:$Y$14,$Y$1,FALSE)*VLOOKUP(E$3,$T$4:$Y$14,$Y$1,FALSE)</f>
        <v>1.329865189782677E-4</v>
      </c>
      <c r="F11" s="96">
        <f>VLOOKUP($A11,lognormal!$I$3:$R$13,lognormal!$M$1,FALSE) * VLOOKUP(F$3,lognormal!$I$3:$R$13,lognormal!$M$1,FALSE) *INDEX(correlation!$C$3:$M$13,MATCH($A11,correlation!$B$3:$B$13,0),MATCH(F$3,correlation!$C$2:$M$2,0))*VLOOKUP($A11,$T$4:$Y$14,$Y$1,FALSE)*VLOOKUP(F$3,$T$4:$Y$14,$Y$1,FALSE)</f>
        <v>4.3842812902853589E-4</v>
      </c>
      <c r="G11" s="96">
        <f>VLOOKUP($A11,lognormal!$I$3:$R$13,lognormal!$M$1,FALSE) * VLOOKUP(G$3,lognormal!$I$3:$R$13,lognormal!$M$1,FALSE) *INDEX(correlation!$C$3:$M$13,MATCH($A11,correlation!$B$3:$B$13,0),MATCH(G$3,correlation!$C$2:$M$2,0))*VLOOKUP($A11,$T$4:$Y$14,$Y$1,FALSE)*VLOOKUP(G$3,$T$4:$Y$14,$Y$1,FALSE)</f>
        <v>9.0579357734540641E-6</v>
      </c>
      <c r="H11" s="96">
        <f>VLOOKUP($A11,lognormal!$I$3:$R$13,lognormal!$M$1,FALSE) * VLOOKUP(H$3,lognormal!$I$3:$R$13,lognormal!$M$1,FALSE) *INDEX(correlation!$C$3:$M$13,MATCH($A11,correlation!$B$3:$B$13,0),MATCH(H$3,correlation!$C$2:$M$2,0))*VLOOKUP($A11,$T$4:$Y$14,$Y$1,FALSE)*VLOOKUP(H$3,$T$4:$Y$14,$Y$1,FALSE)</f>
        <v>1.9621851112373647E-4</v>
      </c>
      <c r="I11" s="96">
        <f>VLOOKUP($A11,lognormal!$I$3:$R$13,lognormal!$M$1,FALSE) * VLOOKUP(I$3,lognormal!$I$3:$R$13,lognormal!$M$1,FALSE) *INDEX(correlation!$C$3:$M$13,MATCH($A11,correlation!$B$3:$B$13,0),MATCH(I$3,correlation!$C$2:$M$2,0))*VLOOKUP($A11,$T$4:$Y$14,$Y$1,FALSE)*VLOOKUP(I$3,$T$4:$Y$14,$Y$1,FALSE)</f>
        <v>6.9343643137778415E-5</v>
      </c>
      <c r="J11" s="96">
        <f>VLOOKUP($A11,lognormal!$I$3:$R$13,lognormal!$M$1,FALSE) * VLOOKUP(J$3,lognormal!$I$3:$R$13,lognormal!$M$1,FALSE) *INDEX(correlation!$C$3:$M$13,MATCH($A11,correlation!$B$3:$B$13,0),MATCH(J$3,correlation!$C$2:$M$2,0))*VLOOKUP($A11,$T$4:$Y$14,$Y$1,FALSE)*VLOOKUP(J$3,$T$4:$Y$14,$Y$1,FALSE)</f>
        <v>2.0737995703679057E-17</v>
      </c>
      <c r="K11" s="96">
        <f>VLOOKUP($A11,lognormal!$I$3:$R$13,lognormal!$M$1,FALSE) * VLOOKUP(K$3,lognormal!$I$3:$R$13,lognormal!$M$1,FALSE) *INDEX(correlation!$C$3:$M$13,MATCH($A11,correlation!$B$3:$B$13,0),MATCH(K$3,correlation!$C$2:$M$2,0))*VLOOKUP($A11,$T$4:$Y$14,$Y$1,FALSE)*VLOOKUP(K$3,$T$4:$Y$14,$Y$1,FALSE)</f>
        <v>1.633425820052337E-17</v>
      </c>
      <c r="L11" s="96">
        <f>VLOOKUP($A11,lognormal!$I$3:$R$13,lognormal!$M$1,FALSE) * VLOOKUP(L$3,lognormal!$I$3:$R$13,lognormal!$M$1,FALSE) *INDEX(correlation!$C$3:$M$13,MATCH($A11,correlation!$B$3:$B$13,0),MATCH(L$3,correlation!$C$2:$M$2,0))*VLOOKUP($A11,$T$4:$Y$14,$Y$1,FALSE)*VLOOKUP(L$3,$T$4:$Y$14,$Y$1,FALSE)</f>
        <v>5.3177670010948028E-18</v>
      </c>
      <c r="M11" s="20">
        <f t="shared" si="0"/>
        <v>8.4603473804183268E-4</v>
      </c>
      <c r="N11" s="7">
        <f t="array" ref="N11">INDEX(beta!$B$3:$B$13,MATCH($A11,beta!$A$3:$A$13,0),MATCH(N$3,beta!$B$2:$B$2,0))</f>
        <v>0.79974057761723305</v>
      </c>
      <c r="O11" s="8">
        <f t="shared" si="1"/>
        <v>3.0842508905416951E-2</v>
      </c>
      <c r="P11" s="14">
        <f>N11*(VLOOKUP($N$3,lognormal!$A$3:$C$13,3,FALSE)-$U$22)+$U$22</f>
        <v>0.25229558650742889</v>
      </c>
      <c r="Q11" s="15">
        <f>EXP(VLOOKUP(A11,lognormal!$A$3:$C$13,3,FALSE)-P11)-1</f>
        <v>9.7528195716489741E-2</v>
      </c>
      <c r="R11" s="4" t="e">
        <f t="array" ref="R11">INDEX(beta!$B$3:$B$13,MATCH($A11,beta!$A$3:$A$13,0),MATCH(R$3,beta!$B$2:$B$2,0))</f>
        <v>#N/A</v>
      </c>
      <c r="S11" s="9" t="e">
        <f t="array" ref="S11">INDEX(beta!$B$3:$B$13,MATCH($A11,beta!$A$3:$A$13,0),MATCH(S$3,beta!$B$2:$B$2,0))</f>
        <v>#N/A</v>
      </c>
      <c r="T11" s="70" t="s">
        <v>12</v>
      </c>
      <c r="U11" s="23"/>
      <c r="V11" s="23"/>
      <c r="W11" s="23"/>
      <c r="X11" s="17">
        <f t="shared" si="2"/>
        <v>0</v>
      </c>
      <c r="Y11" s="18">
        <f t="shared" si="4"/>
        <v>3.8565642120235902E-2</v>
      </c>
      <c r="Z11" s="94">
        <f>VLOOKUP(T11,tangentPorfolio!$A$2:$B$12,2,FALSE)</f>
        <v>3.8565642120235902E-2</v>
      </c>
      <c r="AA11" s="22">
        <f t="shared" si="5"/>
        <v>7.75</v>
      </c>
      <c r="AB11" s="16">
        <f t="shared" si="3"/>
        <v>0</v>
      </c>
      <c r="AC11" s="4"/>
      <c r="AD11" s="4"/>
    </row>
    <row r="12" spans="1:30">
      <c r="A12" s="70" t="s">
        <v>15</v>
      </c>
      <c r="B12" s="96">
        <f>VLOOKUP($A12,lognormal!$I$3:$R$13,lognormal!$M$1,FALSE) * VLOOKUP(B$3,lognormal!$I$3:$R$13,lognormal!$M$1,FALSE) *INDEX(correlation!$C$3:$M$13,MATCH($A12,correlation!$B$3:$B$13,0),MATCH(B$3,correlation!$C$2:$M$2,0))*VLOOKUP($A12,$T$4:$Y$14,$Y$1,FALSE)*VLOOKUP(B$3,$T$4:$Y$14,$Y$1,FALSE)</f>
        <v>1.7271869793803973E-16</v>
      </c>
      <c r="C12" s="96">
        <f>VLOOKUP($A12,lognormal!$I$3:$R$13,lognormal!$M$1,FALSE) * VLOOKUP(C$3,lognormal!$I$3:$R$13,lognormal!$M$1,FALSE) *INDEX(correlation!$C$3:$M$13,MATCH($A12,correlation!$B$3:$B$13,0),MATCH(C$3,correlation!$C$2:$M$2,0))*VLOOKUP($A12,$T$4:$Y$14,$Y$1,FALSE)*VLOOKUP(C$3,$T$4:$Y$14,$Y$1,FALSE)</f>
        <v>9.6566110400385289E-30</v>
      </c>
      <c r="D12" s="96">
        <f>VLOOKUP($A12,lognormal!$I$3:$R$13,lognormal!$M$1,FALSE) * VLOOKUP(D$3,lognormal!$I$3:$R$13,lognormal!$M$1,FALSE) *INDEX(correlation!$C$3:$M$13,MATCH($A12,correlation!$B$3:$B$13,0),MATCH(D$3,correlation!$C$2:$M$2,0))*VLOOKUP($A12,$T$4:$Y$14,$Y$1,FALSE)*VLOOKUP(D$3,$T$4:$Y$14,$Y$1,FALSE)</f>
        <v>3.2432304766570016E-30</v>
      </c>
      <c r="E12" s="96">
        <f>VLOOKUP($A12,lognormal!$I$3:$R$13,lognormal!$M$1,FALSE) * VLOOKUP(E$3,lognormal!$I$3:$R$13,lognormal!$M$1,FALSE) *INDEX(correlation!$C$3:$M$13,MATCH($A12,correlation!$B$3:$B$13,0),MATCH(E$3,correlation!$C$2:$M$2,0))*VLOOKUP($A12,$T$4:$Y$14,$Y$1,FALSE)*VLOOKUP(E$3,$T$4:$Y$14,$Y$1,FALSE)</f>
        <v>7.6866622665583121E-17</v>
      </c>
      <c r="F12" s="96">
        <f>VLOOKUP($A12,lognormal!$I$3:$R$13,lognormal!$M$1,FALSE) * VLOOKUP(F$3,lognormal!$I$3:$R$13,lognormal!$M$1,FALSE) *INDEX(correlation!$C$3:$M$13,MATCH($A12,correlation!$B$3:$B$13,0),MATCH(F$3,correlation!$C$2:$M$2,0))*VLOOKUP($A12,$T$4:$Y$14,$Y$1,FALSE)*VLOOKUP(F$3,$T$4:$Y$14,$Y$1,FALSE)</f>
        <v>1.9595205171114088E-16</v>
      </c>
      <c r="G12" s="96">
        <f>VLOOKUP($A12,lognormal!$I$3:$R$13,lognormal!$M$1,FALSE) * VLOOKUP(G$3,lognormal!$I$3:$R$13,lognormal!$M$1,FALSE) *INDEX(correlation!$C$3:$M$13,MATCH($A12,correlation!$B$3:$B$13,0),MATCH(G$3,correlation!$C$2:$M$2,0))*VLOOKUP($A12,$T$4:$Y$14,$Y$1,FALSE)*VLOOKUP(G$3,$T$4:$Y$14,$Y$1,FALSE)</f>
        <v>3.5489361047310648E-18</v>
      </c>
      <c r="H12" s="96">
        <f>VLOOKUP($A12,lognormal!$I$3:$R$13,lognormal!$M$1,FALSE) * VLOOKUP(H$3,lognormal!$I$3:$R$13,lognormal!$M$1,FALSE) *INDEX(correlation!$C$3:$M$13,MATCH($A12,correlation!$B$3:$B$13,0),MATCH(H$3,correlation!$C$2:$M$2,0))*VLOOKUP($A12,$T$4:$Y$14,$Y$1,FALSE)*VLOOKUP(H$3,$T$4:$Y$14,$Y$1,FALSE)</f>
        <v>9.5668451583560828E-17</v>
      </c>
      <c r="I12" s="96">
        <f>VLOOKUP($A12,lognormal!$I$3:$R$13,lognormal!$M$1,FALSE) * VLOOKUP(I$3,lognormal!$I$3:$R$13,lognormal!$M$1,FALSE) *INDEX(correlation!$C$3:$M$13,MATCH($A12,correlation!$B$3:$B$13,0),MATCH(I$3,correlation!$C$2:$M$2,0))*VLOOKUP($A12,$T$4:$Y$14,$Y$1,FALSE)*VLOOKUP(I$3,$T$4:$Y$14,$Y$1,FALSE)</f>
        <v>2.073799570367906E-17</v>
      </c>
      <c r="J12" s="96">
        <f>VLOOKUP($A12,lognormal!$I$3:$R$13,lognormal!$M$1,FALSE) * VLOOKUP(J$3,lognormal!$I$3:$R$13,lognormal!$M$1,FALSE) *INDEX(correlation!$C$3:$M$13,MATCH($A12,correlation!$B$3:$B$13,0),MATCH(J$3,correlation!$C$2:$M$2,0))*VLOOKUP($A12,$T$4:$Y$14,$Y$1,FALSE)*VLOOKUP(J$3,$T$4:$Y$14,$Y$1,FALSE)</f>
        <v>1.7390293928661133E-29</v>
      </c>
      <c r="K12" s="96">
        <f>VLOOKUP($A12,lognormal!$I$3:$R$13,lognormal!$M$1,FALSE) * VLOOKUP(K$3,lognormal!$I$3:$R$13,lognormal!$M$1,FALSE) *INDEX(correlation!$C$3:$M$13,MATCH($A12,correlation!$B$3:$B$13,0),MATCH(K$3,correlation!$C$2:$M$2,0))*VLOOKUP($A12,$T$4:$Y$14,$Y$1,FALSE)*VLOOKUP(K$3,$T$4:$Y$14,$Y$1,FALSE)</f>
        <v>1.1572526289900233E-29</v>
      </c>
      <c r="L12" s="96">
        <f>VLOOKUP($A12,lognormal!$I$3:$R$13,lognormal!$M$1,FALSE) * VLOOKUP(L$3,lognormal!$I$3:$R$13,lognormal!$M$1,FALSE) *INDEX(correlation!$C$3:$M$13,MATCH($A12,correlation!$B$3:$B$13,0),MATCH(L$3,correlation!$C$2:$M$2,0))*VLOOKUP($A12,$T$4:$Y$14,$Y$1,FALSE)*VLOOKUP(L$3,$T$4:$Y$14,$Y$1,FALSE)</f>
        <v>2.4437753170232471E-30</v>
      </c>
      <c r="M12" s="20">
        <f t="shared" si="0"/>
        <v>3.927740577687393E-16</v>
      </c>
      <c r="N12" s="7">
        <f t="array" ref="N12">INDEX(beta!$B$3:$B$13,MATCH($A12,beta!$A$3:$A$13,0),MATCH(N$3,beta!$B$2:$B$2,0))</f>
        <v>1.7902932758839101</v>
      </c>
      <c r="O12" s="8">
        <f t="shared" si="1"/>
        <v>1.5477900362456087E-14</v>
      </c>
      <c r="P12" s="14">
        <f>N12*(VLOOKUP($N$3,lognormal!$A$3:$C$13,3,FALSE)-$U$22)+$U$22</f>
        <v>0.56021267804789765</v>
      </c>
      <c r="Q12" s="15">
        <f>EXP(VLOOKUP(A12,lognormal!$A$3:$C$13,3,FALSE)-P12)-1</f>
        <v>-0.14812217439843789</v>
      </c>
      <c r="R12" s="4" t="e">
        <f t="array" ref="R12">INDEX(beta!$B$3:$B$13,MATCH($A12,beta!$A$3:$A$13,0),MATCH(R$3,beta!$B$2:$B$2,0))</f>
        <v>#N/A</v>
      </c>
      <c r="S12" s="9" t="e">
        <f t="array" ref="S12">INDEX(beta!$B$3:$B$13,MATCH($A12,beta!$A$3:$A$13,0),MATCH(S$3,beta!$B$2:$B$2,0))</f>
        <v>#N/A</v>
      </c>
      <c r="T12" s="70" t="s">
        <v>15</v>
      </c>
      <c r="U12" s="23"/>
      <c r="V12" s="23"/>
      <c r="W12" s="23"/>
      <c r="X12" s="17">
        <f t="shared" si="2"/>
        <v>0</v>
      </c>
      <c r="Y12" s="18">
        <f t="shared" si="4"/>
        <v>8.6454552284537198E-15</v>
      </c>
      <c r="Z12" s="94">
        <f>VLOOKUP(T12,tangentPorfolio!$A$2:$B$12,2,FALSE)</f>
        <v>8.6454552284537198E-15</v>
      </c>
      <c r="AA12" s="22">
        <f t="shared" si="5"/>
        <v>7.75</v>
      </c>
      <c r="AB12" s="16">
        <f t="shared" si="3"/>
        <v>0</v>
      </c>
      <c r="AC12" s="4"/>
      <c r="AD12" s="4"/>
    </row>
    <row r="13" spans="1:30">
      <c r="A13" s="70" t="s">
        <v>14</v>
      </c>
      <c r="B13" s="96">
        <f>VLOOKUP($A13,lognormal!$I$3:$R$13,lognormal!$M$1,FALSE) * VLOOKUP(B$3,lognormal!$I$3:$R$13,lognormal!$M$1,FALSE) *INDEX(correlation!$C$3:$M$13,MATCH($A13,correlation!$B$3:$B$13,0),MATCH(B$3,correlation!$C$2:$M$2,0))*VLOOKUP($A13,$T$4:$Y$14,$Y$1,FALSE)*VLOOKUP(B$3,$T$4:$Y$14,$Y$1,FALSE)</f>
        <v>1.1974470010217791E-16</v>
      </c>
      <c r="C13" s="96">
        <f>VLOOKUP($A13,lognormal!$I$3:$R$13,lognormal!$M$1,FALSE) * VLOOKUP(C$3,lognormal!$I$3:$R$13,lognormal!$M$1,FALSE) *INDEX(correlation!$C$3:$M$13,MATCH($A13,correlation!$B$3:$B$13,0),MATCH(C$3,correlation!$C$2:$M$2,0))*VLOOKUP($A13,$T$4:$Y$14,$Y$1,FALSE)*VLOOKUP(C$3,$T$4:$Y$14,$Y$1,FALSE)</f>
        <v>1.3613401280932493E-29</v>
      </c>
      <c r="D13" s="96">
        <f>VLOOKUP($A13,lognormal!$I$3:$R$13,lognormal!$M$1,FALSE) * VLOOKUP(D$3,lognormal!$I$3:$R$13,lognormal!$M$1,FALSE) *INDEX(correlation!$C$3:$M$13,MATCH($A13,correlation!$B$3:$B$13,0),MATCH(D$3,correlation!$C$2:$M$2,0))*VLOOKUP($A13,$T$4:$Y$14,$Y$1,FALSE)*VLOOKUP(D$3,$T$4:$Y$14,$Y$1,FALSE)</f>
        <v>4.3534717022895768E-30</v>
      </c>
      <c r="E13" s="96">
        <f>VLOOKUP($A13,lognormal!$I$3:$R$13,lognormal!$M$1,FALSE) * VLOOKUP(E$3,lognormal!$I$3:$R$13,lognormal!$M$1,FALSE) *INDEX(correlation!$C$3:$M$13,MATCH($A13,correlation!$B$3:$B$13,0),MATCH(E$3,correlation!$C$2:$M$2,0))*VLOOKUP($A13,$T$4:$Y$14,$Y$1,FALSE)*VLOOKUP(E$3,$T$4:$Y$14,$Y$1,FALSE)</f>
        <v>1.0083373261128624E-16</v>
      </c>
      <c r="F13" s="96">
        <f>VLOOKUP($A13,lognormal!$I$3:$R$13,lognormal!$M$1,FALSE) * VLOOKUP(F$3,lognormal!$I$3:$R$13,lognormal!$M$1,FALSE) *INDEX(correlation!$C$3:$M$13,MATCH($A13,correlation!$B$3:$B$13,0),MATCH(F$3,correlation!$C$2:$M$2,0))*VLOOKUP($A13,$T$4:$Y$14,$Y$1,FALSE)*VLOOKUP(F$3,$T$4:$Y$14,$Y$1,FALSE)</f>
        <v>1.7157255873917656E-16</v>
      </c>
      <c r="G13" s="96">
        <f>VLOOKUP($A13,lognormal!$I$3:$R$13,lognormal!$M$1,FALSE) * VLOOKUP(G$3,lognormal!$I$3:$R$13,lognormal!$M$1,FALSE) *INDEX(correlation!$C$3:$M$13,MATCH($A13,correlation!$B$3:$B$13,0),MATCH(G$3,correlation!$C$2:$M$2,0))*VLOOKUP($A13,$T$4:$Y$14,$Y$1,FALSE)*VLOOKUP(G$3,$T$4:$Y$14,$Y$1,FALSE)</f>
        <v>2.755097492706889E-18</v>
      </c>
      <c r="H13" s="96">
        <f>VLOOKUP($A13,lognormal!$I$3:$R$13,lognormal!$M$1,FALSE) * VLOOKUP(H$3,lognormal!$I$3:$R$13,lognormal!$M$1,FALSE) *INDEX(correlation!$C$3:$M$13,MATCH($A13,correlation!$B$3:$B$13,0),MATCH(H$3,correlation!$C$2:$M$2,0))*VLOOKUP($A13,$T$4:$Y$14,$Y$1,FALSE)*VLOOKUP(H$3,$T$4:$Y$14,$Y$1,FALSE)</f>
        <v>1.1887763435644834E-16</v>
      </c>
      <c r="I13" s="96">
        <f>VLOOKUP($A13,lognormal!$I$3:$R$13,lognormal!$M$1,FALSE) * VLOOKUP(I$3,lognormal!$I$3:$R$13,lognormal!$M$1,FALSE) *INDEX(correlation!$C$3:$M$13,MATCH($A13,correlation!$B$3:$B$13,0),MATCH(I$3,correlation!$C$2:$M$2,0))*VLOOKUP($A13,$T$4:$Y$14,$Y$1,FALSE)*VLOOKUP(I$3,$T$4:$Y$14,$Y$1,FALSE)</f>
        <v>1.633425820052337E-17</v>
      </c>
      <c r="J13" s="96">
        <f>VLOOKUP($A13,lognormal!$I$3:$R$13,lognormal!$M$1,FALSE) * VLOOKUP(J$3,lognormal!$I$3:$R$13,lognormal!$M$1,FALSE) *INDEX(correlation!$C$3:$M$13,MATCH($A13,correlation!$B$3:$B$13,0),MATCH(J$3,correlation!$C$2:$M$2,0))*VLOOKUP($A13,$T$4:$Y$14,$Y$1,FALSE)*VLOOKUP(J$3,$T$4:$Y$14,$Y$1,FALSE)</f>
        <v>1.1572526289900235E-29</v>
      </c>
      <c r="K13" s="96">
        <f>VLOOKUP($A13,lognormal!$I$3:$R$13,lognormal!$M$1,FALSE) * VLOOKUP(K$3,lognormal!$I$3:$R$13,lognormal!$M$1,FALSE) *INDEX(correlation!$C$3:$M$13,MATCH($A13,correlation!$B$3:$B$13,0),MATCH(K$3,correlation!$C$2:$M$2,0))*VLOOKUP($A13,$T$4:$Y$14,$Y$1,FALSE)*VLOOKUP(K$3,$T$4:$Y$14,$Y$1,FALSE)</f>
        <v>1.8039770035585222E-29</v>
      </c>
      <c r="L13" s="96">
        <f>VLOOKUP($A13,lognormal!$I$3:$R$13,lognormal!$M$1,FALSE) * VLOOKUP(L$3,lognormal!$I$3:$R$13,lognormal!$M$1,FALSE) *INDEX(correlation!$C$3:$M$13,MATCH($A13,correlation!$B$3:$B$13,0),MATCH(L$3,correlation!$C$2:$M$2,0))*VLOOKUP($A13,$T$4:$Y$14,$Y$1,FALSE)*VLOOKUP(L$3,$T$4:$Y$14,$Y$1,FALSE)</f>
        <v>2.3860645706527127E-30</v>
      </c>
      <c r="M13" s="20">
        <f t="shared" si="0"/>
        <v>4.1037328140019133E-16</v>
      </c>
      <c r="N13" s="7">
        <f t="array" ref="N13">INDEX(beta!$B$3:$B$13,MATCH($A13,beta!$A$3:$A$13,0),MATCH(N$3,beta!$B$2:$B$2,0))</f>
        <v>1.87923052326907</v>
      </c>
      <c r="O13" s="8">
        <f t="shared" si="1"/>
        <v>2.4525128836278246E-14</v>
      </c>
      <c r="P13" s="14">
        <f>N13*(VLOOKUP($N$3,lognormal!$A$3:$C$13,3,FALSE)-$U$22)+$U$22</f>
        <v>0.58785916126113191</v>
      </c>
      <c r="Q13" s="15">
        <f>EXP(VLOOKUP(A13,lognormal!$A$3:$C$13,3,FALSE)-P13)-1</f>
        <v>-0.48053313925818208</v>
      </c>
      <c r="R13" s="4" t="e">
        <f t="array" ref="R13">INDEX(beta!$B$3:$B$13,MATCH($A13,beta!$A$3:$A$13,0),MATCH(R$3,beta!$B$2:$B$2,0))</f>
        <v>#N/A</v>
      </c>
      <c r="S13" s="9" t="e">
        <f t="array" ref="S13">INDEX(beta!$B$3:$B$13,MATCH($A13,beta!$A$3:$A$13,0),MATCH(S$3,beta!$B$2:$B$2,0))</f>
        <v>#N/A</v>
      </c>
      <c r="T13" s="70" t="s">
        <v>14</v>
      </c>
      <c r="U13" s="23"/>
      <c r="V13" s="23"/>
      <c r="W13" s="23"/>
      <c r="X13" s="17">
        <f t="shared" si="2"/>
        <v>0</v>
      </c>
      <c r="Y13" s="18">
        <f t="shared" si="4"/>
        <v>1.30506228653709E-14</v>
      </c>
      <c r="Z13" s="94">
        <f>VLOOKUP(T13,tangentPorfolio!$A$2:$B$12,2,FALSE)</f>
        <v>1.30506228653709E-14</v>
      </c>
      <c r="AA13" s="22">
        <f t="shared" si="5"/>
        <v>7.75</v>
      </c>
      <c r="AB13" s="16">
        <f t="shared" si="3"/>
        <v>0</v>
      </c>
      <c r="AC13" s="4"/>
      <c r="AD13" s="4"/>
    </row>
    <row r="14" spans="1:30">
      <c r="A14" s="70" t="s">
        <v>16</v>
      </c>
      <c r="B14" s="96">
        <f>VLOOKUP($A14,lognormal!$I$3:$R$13,lognormal!$M$1,FALSE) * VLOOKUP(B$3,lognormal!$I$3:$R$13,lognormal!$M$1,FALSE) *INDEX(correlation!$C$3:$M$13,MATCH($A14,correlation!$B$3:$B$13,0),MATCH(B$3,correlation!$C$2:$M$2,0))*VLOOKUP($A14,$T$4:$Y$14,$Y$1,FALSE)*VLOOKUP(B$3,$T$4:$Y$14,$Y$1,FALSE)</f>
        <v>3.3732806674423575E-17</v>
      </c>
      <c r="C14" s="96">
        <f>VLOOKUP($A14,lognormal!$I$3:$R$13,lognormal!$M$1,FALSE) * VLOOKUP(C$3,lognormal!$I$3:$R$13,lognormal!$M$1,FALSE) *INDEX(correlation!$C$3:$M$13,MATCH($A14,correlation!$B$3:$B$13,0),MATCH(C$3,correlation!$C$2:$M$2,0))*VLOOKUP($A14,$T$4:$Y$14,$Y$1,FALSE)*VLOOKUP(C$3,$T$4:$Y$14,$Y$1,FALSE)</f>
        <v>1.6783451786040955E-30</v>
      </c>
      <c r="D14" s="96">
        <f>VLOOKUP($A14,lognormal!$I$3:$R$13,lognormal!$M$1,FALSE) * VLOOKUP(D$3,lognormal!$I$3:$R$13,lognormal!$M$1,FALSE) *INDEX(correlation!$C$3:$M$13,MATCH($A14,correlation!$B$3:$B$13,0),MATCH(D$3,correlation!$C$2:$M$2,0))*VLOOKUP($A14,$T$4:$Y$14,$Y$1,FALSE)*VLOOKUP(D$3,$T$4:$Y$14,$Y$1,FALSE)</f>
        <v>8.2158692803835698E-31</v>
      </c>
      <c r="E14" s="96">
        <f>VLOOKUP($A14,lognormal!$I$3:$R$13,lognormal!$M$1,FALSE) * VLOOKUP(E$3,lognormal!$I$3:$R$13,lognormal!$M$1,FALSE) *INDEX(correlation!$C$3:$M$13,MATCH($A14,correlation!$B$3:$B$13,0),MATCH(E$3,correlation!$C$2:$M$2,0))*VLOOKUP($A14,$T$4:$Y$14,$Y$1,FALSE)*VLOOKUP(E$3,$T$4:$Y$14,$Y$1,FALSE)</f>
        <v>1.7914043320418066E-17</v>
      </c>
      <c r="F14" s="96">
        <f>VLOOKUP($A14,lognormal!$I$3:$R$13,lognormal!$M$1,FALSE) * VLOOKUP(F$3,lognormal!$I$3:$R$13,lognormal!$M$1,FALSE) *INDEX(correlation!$C$3:$M$13,MATCH($A14,correlation!$B$3:$B$13,0),MATCH(F$3,correlation!$C$2:$M$2,0))*VLOOKUP($A14,$T$4:$Y$14,$Y$1,FALSE)*VLOOKUP(F$3,$T$4:$Y$14,$Y$1,FALSE)</f>
        <v>4.8324828664732612E-17</v>
      </c>
      <c r="G14" s="96">
        <f>VLOOKUP($A14,lognormal!$I$3:$R$13,lognormal!$M$1,FALSE) * VLOOKUP(G$3,lognormal!$I$3:$R$13,lognormal!$M$1,FALSE) *INDEX(correlation!$C$3:$M$13,MATCH($A14,correlation!$B$3:$B$13,0),MATCH(G$3,correlation!$C$2:$M$2,0))*VLOOKUP($A14,$T$4:$Y$14,$Y$1,FALSE)*VLOOKUP(G$3,$T$4:$Y$14,$Y$1,FALSE)</f>
        <v>8.8105246607976701E-19</v>
      </c>
      <c r="H14" s="96">
        <f>VLOOKUP($A14,lognormal!$I$3:$R$13,lognormal!$M$1,FALSE) * VLOOKUP(H$3,lognormal!$I$3:$R$13,lognormal!$M$1,FALSE) *INDEX(correlation!$C$3:$M$13,MATCH($A14,correlation!$B$3:$B$13,0),MATCH(H$3,correlation!$C$2:$M$2,0))*VLOOKUP($A14,$T$4:$Y$14,$Y$1,FALSE)*VLOOKUP(H$3,$T$4:$Y$14,$Y$1,FALSE)</f>
        <v>2.5604242281197807E-17</v>
      </c>
      <c r="I14" s="96">
        <f>VLOOKUP($A14,lognormal!$I$3:$R$13,lognormal!$M$1,FALSE) * VLOOKUP(I$3,lognormal!$I$3:$R$13,lognormal!$M$1,FALSE) *INDEX(correlation!$C$3:$M$13,MATCH($A14,correlation!$B$3:$B$13,0),MATCH(I$3,correlation!$C$2:$M$2,0))*VLOOKUP($A14,$T$4:$Y$14,$Y$1,FALSE)*VLOOKUP(I$3,$T$4:$Y$14,$Y$1,FALSE)</f>
        <v>5.3177670010948028E-18</v>
      </c>
      <c r="J14" s="96">
        <f>VLOOKUP($A14,lognormal!$I$3:$R$13,lognormal!$M$1,FALSE) * VLOOKUP(J$3,lognormal!$I$3:$R$13,lognormal!$M$1,FALSE) *INDEX(correlation!$C$3:$M$13,MATCH($A14,correlation!$B$3:$B$13,0),MATCH(J$3,correlation!$C$2:$M$2,0))*VLOOKUP($A14,$T$4:$Y$14,$Y$1,FALSE)*VLOOKUP(J$3,$T$4:$Y$14,$Y$1,FALSE)</f>
        <v>2.4437753170232474E-30</v>
      </c>
      <c r="K14" s="96">
        <f>VLOOKUP($A14,lognormal!$I$3:$R$13,lognormal!$M$1,FALSE) * VLOOKUP(K$3,lognormal!$I$3:$R$13,lognormal!$M$1,FALSE) *INDEX(correlation!$C$3:$M$13,MATCH($A14,correlation!$B$3:$B$13,0),MATCH(K$3,correlation!$C$2:$M$2,0))*VLOOKUP($A14,$T$4:$Y$14,$Y$1,FALSE)*VLOOKUP(K$3,$T$4:$Y$14,$Y$1,FALSE)</f>
        <v>2.3860645706527127E-30</v>
      </c>
      <c r="L14" s="96">
        <f>VLOOKUP($A14,lognormal!$I$3:$R$13,lognormal!$M$1,FALSE) * VLOOKUP(L$3,lognormal!$I$3:$R$13,lognormal!$M$1,FALSE) *INDEX(correlation!$C$3:$M$13,MATCH($A14,correlation!$B$3:$B$13,0),MATCH(L$3,correlation!$C$2:$M$2,0))*VLOOKUP($A14,$T$4:$Y$14,$Y$1,FALSE)*VLOOKUP(L$3,$T$4:$Y$14,$Y$1,FALSE)</f>
        <v>6.138827276675127E-31</v>
      </c>
      <c r="M14" s="20">
        <f t="shared" si="0"/>
        <v>9.8041933733531009E-17</v>
      </c>
      <c r="N14" s="7">
        <f t="array" ref="N14">INDEX(beta!$B$3:$B$13,MATCH($A14,beta!$A$3:$A$13,0),MATCH(N$3,beta!$B$2:$B$2,0))</f>
        <v>1</v>
      </c>
      <c r="O14" s="8">
        <f t="shared" si="1"/>
        <v>4.6693606012976301E-15</v>
      </c>
      <c r="P14" s="14">
        <f>N14*(VLOOKUP($N$3,lognormal!$A$3:$C$13,3,FALSE)-$U$22)+$U$22</f>
        <v>0.31454699322367691</v>
      </c>
      <c r="Q14" s="15">
        <f>EXP(VLOOKUP(A14,lognormal!$A$3:$C$13,3,FALSE)-P14)-1</f>
        <v>0</v>
      </c>
      <c r="R14" s="4" t="e">
        <f t="array" ref="R14">INDEX(beta!$B$3:$B$13,MATCH($A14,beta!$A$3:$A$13,0),MATCH(R$3,beta!$B$2:$B$2,0))</f>
        <v>#N/A</v>
      </c>
      <c r="S14" s="9" t="e">
        <f t="array" ref="S14">INDEX(beta!$B$3:$B$13,MATCH($A14,beta!$A$3:$A$13,0),MATCH(S$3,beta!$B$2:$B$2,0))</f>
        <v>#N/A</v>
      </c>
      <c r="T14" s="70" t="s">
        <v>16</v>
      </c>
      <c r="U14" s="23"/>
      <c r="V14" s="23"/>
      <c r="W14" s="23"/>
      <c r="X14" s="17">
        <f t="shared" si="2"/>
        <v>0</v>
      </c>
      <c r="Y14" s="18">
        <f t="shared" si="4"/>
        <v>4.6693606012976301E-15</v>
      </c>
      <c r="Z14" s="94">
        <f>VLOOKUP(T14,tangentPorfolio!$A$2:$B$12,2,FALSE)</f>
        <v>4.6693606012976301E-15</v>
      </c>
      <c r="AA14" s="22">
        <f t="shared" si="5"/>
        <v>7.75</v>
      </c>
      <c r="AB14" s="16">
        <f t="shared" si="3"/>
        <v>0</v>
      </c>
      <c r="AC14" s="4"/>
      <c r="AD14" s="4"/>
    </row>
    <row r="15" spans="1:30">
      <c r="A15" s="4"/>
      <c r="B15" s="4"/>
      <c r="C15" s="4"/>
      <c r="D15" s="4"/>
      <c r="E15" s="4"/>
      <c r="F15" s="4"/>
      <c r="G15" s="4"/>
      <c r="H15" s="24"/>
      <c r="I15" s="24"/>
      <c r="J15" s="24"/>
      <c r="K15" s="24"/>
      <c r="L15" s="24"/>
      <c r="M15" s="4"/>
      <c r="N15" s="4"/>
      <c r="O15" s="4"/>
      <c r="P15" s="91" t="s">
        <v>19</v>
      </c>
      <c r="Q15" s="4"/>
      <c r="R15" s="25"/>
      <c r="S15" s="25"/>
      <c r="T15" s="8" t="s">
        <v>28</v>
      </c>
      <c r="U15" s="15"/>
      <c r="V15" s="15"/>
      <c r="W15" s="15"/>
      <c r="X15" s="15">
        <f>SUM(X4:X14)</f>
        <v>0</v>
      </c>
      <c r="Y15" s="15">
        <f>SUM(Y4:Y14)</f>
        <v>0.99999999999999878</v>
      </c>
      <c r="Z15" s="15">
        <f>SUM(Z4:Z14)</f>
        <v>0.99999999999999878</v>
      </c>
      <c r="AA15" s="25"/>
      <c r="AB15" s="25"/>
      <c r="AC15" s="26"/>
      <c r="AD15" s="4"/>
    </row>
    <row r="16" spans="1:30">
      <c r="I16" s="4"/>
      <c r="J16" s="4"/>
      <c r="K16" s="4"/>
      <c r="L16" s="4"/>
      <c r="M16" s="27" t="s">
        <v>29</v>
      </c>
      <c r="N16" s="27">
        <f>SUM(O4:O14)</f>
        <v>0.71291163557169623</v>
      </c>
      <c r="O16" s="28" t="s">
        <v>30</v>
      </c>
      <c r="P16" s="61">
        <f>N16*(VLOOKUP($N$3,lognormal!$A$3:$F$13,lognormal!$E$1,FALSE)-$U$23)+$U$23</f>
        <v>0.26458196767392833</v>
      </c>
      <c r="Q16" s="29">
        <f>$AB$30-P16</f>
        <v>0.32495964248015191</v>
      </c>
      <c r="T16" s="4" t="s">
        <v>31</v>
      </c>
      <c r="U16" s="4">
        <v>29219.37</v>
      </c>
      <c r="V16" s="4"/>
      <c r="W16" s="4"/>
      <c r="X16" s="25"/>
      <c r="Y16" s="25"/>
      <c r="Z16" s="25"/>
      <c r="AA16" s="4">
        <f>IF(ISNUMBER(SEARCH("HK",T16)),1,$U$20)</f>
        <v>1</v>
      </c>
      <c r="AB16" s="16">
        <f t="shared" ref="AB16:AB17" si="6">U16*AA16</f>
        <v>29219.37</v>
      </c>
    </row>
    <row r="17" spans="1:30">
      <c r="B17" s="95"/>
      <c r="I17" s="4"/>
      <c r="J17" s="4"/>
      <c r="K17" s="4"/>
      <c r="L17" s="4"/>
      <c r="M17" s="4" t="s">
        <v>32</v>
      </c>
      <c r="N17" s="5">
        <f>POWER(VLOOKUP($N$3,lognormal!$I$3:$R$13,lognormal!$M$1,FALSE),2)*POWER(N16,2)</f>
        <v>1.4310077672081666E-2</v>
      </c>
      <c r="O17" s="4"/>
      <c r="P17" s="25"/>
      <c r="Q17" s="4"/>
      <c r="T17" s="4" t="s">
        <v>33</v>
      </c>
      <c r="U17" s="4">
        <v>13114.06</v>
      </c>
      <c r="V17" s="4"/>
      <c r="W17" s="4"/>
      <c r="X17" s="25"/>
      <c r="Y17" s="25"/>
      <c r="Z17" s="25"/>
      <c r="AA17" s="22">
        <f>IF(ISNUMBER(SEARCH("HK",T17)),1,$U$20)</f>
        <v>7.75</v>
      </c>
      <c r="AB17" s="16">
        <f t="shared" si="6"/>
        <v>101633.965</v>
      </c>
    </row>
    <row r="18" spans="1:30" ht="15.75" thickBot="1">
      <c r="I18" s="4"/>
      <c r="J18" s="4"/>
      <c r="K18" s="4"/>
      <c r="L18" s="4"/>
      <c r="M18" s="30" t="s">
        <v>34</v>
      </c>
      <c r="N18" s="31">
        <f>SQRT(N17)</f>
        <v>0.11962473687361518</v>
      </c>
      <c r="O18" s="92">
        <f>EXP(LN($N$18+1)/SQRT($B$1))-1</f>
        <v>7.143318680224553E-3</v>
      </c>
      <c r="P18" s="91" t="s">
        <v>99</v>
      </c>
      <c r="Q18" s="4"/>
      <c r="T18" s="4"/>
      <c r="U18" s="23"/>
      <c r="V18" s="23"/>
      <c r="W18" s="23"/>
      <c r="X18" s="25"/>
      <c r="Y18" s="25"/>
      <c r="Z18" s="25"/>
      <c r="AA18" s="8" t="s">
        <v>35</v>
      </c>
      <c r="AB18" s="32">
        <f>SUM(AB4:AB14)</f>
        <v>0</v>
      </c>
    </row>
    <row r="19" spans="1:30" ht="15.75" thickBot="1">
      <c r="A19" s="5" t="s">
        <v>36</v>
      </c>
      <c r="B19" s="33">
        <f>VLOOKUP(B3,lognormal!$A$3:$F$13,lognormal!$E$1,FALSE)*VLOOKUP(B3,$T$4:$Y$14,$Y$1,FALSE)</f>
        <v>0.20332962907734892</v>
      </c>
      <c r="C19" s="33">
        <f>VLOOKUP(C3,lognormal!$A$3:$F$13,lognormal!$E$1,FALSE)*VLOOKUP(C3,$T$4:$Y$14,$Y$1,FALSE)</f>
        <v>-1.3586967626831036E-15</v>
      </c>
      <c r="D19" s="33">
        <f>VLOOKUP(D3,lognormal!$A$3:$F$13,lognormal!$E$1,FALSE)*VLOOKUP(D3,$T$4:$Y$14,$Y$1,FALSE)</f>
        <v>6.0511196902168431E-16</v>
      </c>
      <c r="E19" s="33">
        <f>VLOOKUP(E3,lognormal!$A$3:$F$13,lognormal!$E$1,FALSE)*VLOOKUP(E3,$T$4:$Y$14,$Y$1,FALSE)</f>
        <v>5.5032239780905622E-2</v>
      </c>
      <c r="F19" s="33">
        <f>VLOOKUP(F3,lognormal!$A$3:$F$13,lognormal!$E$1,FALSE)*VLOOKUP(F3,$T$4:$Y$14,$Y$1,FALSE)</f>
        <v>0.22559008205371936</v>
      </c>
      <c r="G19" s="33">
        <f>VLOOKUP(G3,lognormal!$A$3:$F$13,lognormal!$E$1,FALSE)*VLOOKUP(G3,$T$4:$Y$14,$Y$1,FALSE)</f>
        <v>2.1913355521201933E-3</v>
      </c>
      <c r="H19" s="33">
        <f>VLOOKUP(H3,lognormal!$A$3:$F$13,lognormal!$E$1,FALSE)*VLOOKUP(H3,$T$4:$Y$14,$Y$1,FALSE)</f>
        <v>8.7490270919933402E-2</v>
      </c>
      <c r="I19" s="33">
        <f>VLOOKUP(I3,lognormal!$A$3:$F$13,lognormal!$E$1,FALSE)*VLOOKUP(I3,$T$4:$Y$14,$Y$1,FALSE)</f>
        <v>1.5908052770048409E-2</v>
      </c>
      <c r="J19" s="33">
        <f>VLOOKUP(J3,lognormal!$A$3:$F$13,lognormal!$E$1,FALSE)*VLOOKUP(J3,$T$4:$Y$14,$Y$1,FALSE)</f>
        <v>4.250765403632203E-15</v>
      </c>
      <c r="K19" s="33">
        <f>VLOOKUP(K3,lognormal!$A$3:$F$13,lognormal!$E$1,FALSE)*VLOOKUP(K3,$T$4:$Y$14,$Y$1,FALSE)</f>
        <v>-8.4687920737903874E-16</v>
      </c>
      <c r="L19" s="33">
        <f>VLOOKUP(L3,lognormal!$A$3:$F$13,lognormal!$E$1,FALSE)*VLOOKUP(L3,$T$4:$Y$14,$Y$1,FALSE)</f>
        <v>1.7259764515153211E-15</v>
      </c>
      <c r="M19" s="57"/>
      <c r="N19" s="25"/>
      <c r="O19" s="58" t="s">
        <v>85</v>
      </c>
      <c r="P19" s="61">
        <f>$AB$33*ABS(VLOOKUP($N$3,lognormal!$I$3:$R$13,lognormal!$M$1,FALSE)) + $U$23</f>
        <v>0.62952402827903597</v>
      </c>
      <c r="Q19" s="59">
        <f>$P$19 - VLOOKUP($N$3,lognormal!$A$3:$F$13,lognormal!$E$1,FALSE)</f>
        <v>0.25988531349747324</v>
      </c>
      <c r="T19" s="4"/>
      <c r="U19" s="23"/>
      <c r="V19" s="23"/>
      <c r="W19" s="23"/>
      <c r="Y19" s="4"/>
      <c r="Z19" s="4"/>
      <c r="AA19" s="8" t="s">
        <v>37</v>
      </c>
      <c r="AB19" s="32">
        <f>SUM(AB16:AB18)</f>
        <v>130853.33499999999</v>
      </c>
    </row>
    <row r="20" spans="1:30" ht="15.75" customHeight="1">
      <c r="G20" s="4"/>
      <c r="H20" s="4"/>
      <c r="I20" s="4"/>
      <c r="J20" s="4"/>
      <c r="K20" s="4"/>
      <c r="L20" s="4"/>
      <c r="M20" s="57"/>
      <c r="O20" s="65" t="s">
        <v>86</v>
      </c>
      <c r="P20" s="93">
        <f>VLOOKUP($N$3,lognormal!$I$3:$R$13,lognormal!$M$1,FALSE)/$AB$23</f>
        <v>-1.0682478291605815</v>
      </c>
      <c r="Q20" s="4"/>
      <c r="T20" s="3" t="s">
        <v>38</v>
      </c>
      <c r="U20" s="34">
        <v>7.75</v>
      </c>
      <c r="V20" s="34"/>
      <c r="W20" s="34"/>
      <c r="Y20" s="4"/>
      <c r="Z20" s="4"/>
      <c r="AA20" s="4"/>
    </row>
    <row r="21" spans="1:30" ht="15.75" customHeight="1">
      <c r="I21" s="4"/>
      <c r="J21" s="4"/>
      <c r="K21" s="4"/>
      <c r="L21" s="4"/>
      <c r="M21" s="4"/>
      <c r="O21" s="4"/>
      <c r="P21" s="4"/>
      <c r="Q21" s="4"/>
      <c r="T21" s="3" t="s">
        <v>39</v>
      </c>
      <c r="U21" s="34">
        <v>1.20726716</v>
      </c>
      <c r="V21" s="34"/>
      <c r="W21" s="34"/>
      <c r="X21" s="25"/>
      <c r="Y21" s="25"/>
      <c r="Z21" s="86" t="s">
        <v>40</v>
      </c>
      <c r="AA21" s="35" t="s">
        <v>41</v>
      </c>
      <c r="AB21" s="36">
        <f>SQRT(-2*LN($AB$30+1) + LN(POWER($AB$23,2) + POWER($AB$30+1,2)))</f>
        <v>9.857922835499644E-2</v>
      </c>
      <c r="AC21" s="37">
        <f>EXP(AB21)-1</f>
        <v>0.10360183748891094</v>
      </c>
    </row>
    <row r="22" spans="1:30" ht="30">
      <c r="I22" s="4"/>
      <c r="J22" s="4"/>
      <c r="K22" s="4"/>
      <c r="L22" s="4"/>
      <c r="M22" s="4"/>
      <c r="O22" s="4"/>
      <c r="P22" s="4"/>
      <c r="Q22" s="4"/>
      <c r="T22" s="38" t="s">
        <v>42</v>
      </c>
      <c r="U22" s="5">
        <f>LN(U23+1)</f>
        <v>3.6931718376176067E-3</v>
      </c>
      <c r="V22" s="4"/>
      <c r="W22" s="4"/>
      <c r="Y22" s="4"/>
      <c r="Z22" s="87"/>
      <c r="AA22" s="39" t="s">
        <v>43</v>
      </c>
      <c r="AB22" s="40">
        <f>SUM(M4:M14)</f>
        <v>2.4673260679078036E-2</v>
      </c>
    </row>
    <row r="23" spans="1:30" ht="15.75" customHeight="1">
      <c r="I23" s="4"/>
      <c r="J23" s="4"/>
      <c r="K23" s="4"/>
      <c r="L23" s="4"/>
      <c r="M23" s="4"/>
      <c r="O23" s="4"/>
      <c r="P23" s="4"/>
      <c r="Q23" s="4"/>
      <c r="T23" s="3" t="s">
        <v>44</v>
      </c>
      <c r="U23" s="41">
        <v>3.7000000000000002E-3</v>
      </c>
      <c r="V23" s="41"/>
      <c r="W23" s="41"/>
      <c r="X23" s="25"/>
      <c r="Y23" s="25"/>
      <c r="Z23" s="87"/>
      <c r="AA23" s="42" t="s">
        <v>45</v>
      </c>
      <c r="AB23" s="43">
        <f>SQRT(AB22)</f>
        <v>0.15707724430699069</v>
      </c>
      <c r="AC23" s="25">
        <f>EXP(LN($AB$23+1)/SQRT($B$1))-1</f>
        <v>9.2330240604121538E-3</v>
      </c>
      <c r="AD23" s="4"/>
    </row>
    <row r="24" spans="1:30" ht="15.75" customHeight="1">
      <c r="I24" s="4"/>
      <c r="J24" s="4"/>
      <c r="K24" s="4"/>
      <c r="L24" s="4"/>
      <c r="M24" s="4"/>
      <c r="O24" s="4"/>
      <c r="P24" s="4"/>
      <c r="Q24" s="4"/>
      <c r="T24" s="3" t="s">
        <v>46</v>
      </c>
      <c r="U24" s="44">
        <v>43831</v>
      </c>
      <c r="V24" s="44"/>
      <c r="W24" s="44"/>
      <c r="X24" s="25"/>
      <c r="Y24" s="25"/>
      <c r="Z24" s="87"/>
      <c r="AA24" s="45"/>
      <c r="AB24" s="4"/>
      <c r="AC24" s="4"/>
    </row>
    <row r="25" spans="1:30" ht="15.75" customHeight="1">
      <c r="I25" s="4"/>
      <c r="J25" s="4"/>
      <c r="K25" s="4"/>
      <c r="L25" s="4"/>
      <c r="M25" s="4"/>
      <c r="O25" s="4"/>
      <c r="P25" s="4"/>
      <c r="Q25" s="4"/>
      <c r="U25" s="25"/>
      <c r="V25" s="25"/>
      <c r="W25" s="25"/>
      <c r="X25" s="25"/>
      <c r="Y25" s="25"/>
      <c r="Z25" s="87"/>
      <c r="AA25" s="4" t="s">
        <v>47</v>
      </c>
      <c r="AB25" s="4">
        <f>$AB$22-$N$17</f>
        <v>1.036318300699637E-2</v>
      </c>
      <c r="AC25" s="25"/>
      <c r="AD25" s="25"/>
    </row>
    <row r="26" spans="1:30" ht="15.75" customHeight="1">
      <c r="I26" s="4"/>
      <c r="J26" s="4"/>
      <c r="K26" s="4"/>
      <c r="L26" s="4"/>
      <c r="M26" s="4"/>
      <c r="O26" s="4"/>
      <c r="P26" s="4"/>
      <c r="Q26" s="4"/>
      <c r="U26" s="25"/>
      <c r="V26" s="25"/>
      <c r="W26" s="25"/>
      <c r="X26" s="25"/>
      <c r="Y26" s="4"/>
      <c r="Z26" s="87"/>
      <c r="AA26" s="4" t="s">
        <v>48</v>
      </c>
      <c r="AB26" s="25">
        <f>SQRT(AB25)</f>
        <v>0.10179972007327118</v>
      </c>
      <c r="AC26" s="4"/>
      <c r="AD26" s="25"/>
    </row>
    <row r="27" spans="1:30" ht="15.75" customHeight="1">
      <c r="I27" s="4"/>
      <c r="J27" s="4"/>
      <c r="K27" s="4"/>
      <c r="L27" s="4"/>
      <c r="M27" s="4"/>
      <c r="O27" s="4"/>
      <c r="P27" s="4"/>
      <c r="Q27" s="4"/>
      <c r="U27" s="25"/>
      <c r="V27" s="25"/>
      <c r="W27" s="25"/>
      <c r="X27" s="25"/>
      <c r="Y27" s="4"/>
      <c r="Z27" s="4"/>
      <c r="AA27" s="4"/>
      <c r="AB27" s="4"/>
      <c r="AC27" s="4"/>
    </row>
    <row r="28" spans="1:30" ht="15.75" customHeight="1">
      <c r="I28" s="4"/>
      <c r="J28" s="4"/>
      <c r="K28" s="4"/>
      <c r="L28" s="4"/>
      <c r="M28" s="4"/>
      <c r="O28" s="4"/>
      <c r="P28" s="4"/>
      <c r="Q28" s="4"/>
      <c r="U28" s="25"/>
      <c r="V28" s="25"/>
      <c r="W28" s="25"/>
      <c r="X28" s="25"/>
      <c r="Y28" s="4"/>
      <c r="Z28" s="4"/>
      <c r="AA28" s="25"/>
      <c r="AB28" s="25"/>
      <c r="AC28" s="25"/>
    </row>
    <row r="29" spans="1:30" ht="15.75" customHeight="1">
      <c r="I29" s="4"/>
      <c r="J29" s="4"/>
      <c r="K29" s="4"/>
      <c r="L29" s="4"/>
      <c r="M29" s="4"/>
      <c r="O29" s="4"/>
      <c r="P29" s="4"/>
      <c r="Q29" s="4"/>
      <c r="U29" s="25"/>
      <c r="V29" s="25"/>
      <c r="W29" s="25"/>
      <c r="Y29" s="4"/>
      <c r="Z29" s="88" t="s">
        <v>49</v>
      </c>
      <c r="AA29" s="35" t="s">
        <v>41</v>
      </c>
      <c r="AB29" s="46">
        <f>2*LN($AB$30+1)-0.5*LN(POWER($AB$23,2) + POWER($AB$30+1,2))</f>
        <v>0.45858674703489172</v>
      </c>
      <c r="AC29" s="47">
        <f>EXP(AB29)-1</f>
        <v>0.58183686891604935</v>
      </c>
    </row>
    <row r="30" spans="1:30" ht="15.75" customHeight="1">
      <c r="I30" s="4"/>
      <c r="J30" s="4"/>
      <c r="K30" s="4"/>
      <c r="L30" s="4"/>
      <c r="M30" s="4"/>
      <c r="O30" s="4"/>
      <c r="P30" s="4"/>
      <c r="Q30" s="4"/>
      <c r="U30" s="25"/>
      <c r="V30" s="25"/>
      <c r="W30" s="25"/>
      <c r="Y30" s="4"/>
      <c r="Z30" s="87"/>
      <c r="AA30" s="48" t="s">
        <v>50</v>
      </c>
      <c r="AB30" s="49">
        <f>SUM(B19:L19)</f>
        <v>0.58954161015408024</v>
      </c>
      <c r="AC30" s="25">
        <f>EXP(LN(1+$AB$30)/$B$1)-1</f>
        <v>1.8407622820948433E-3</v>
      </c>
      <c r="AD30" s="4"/>
    </row>
    <row r="31" spans="1:30" ht="15.75" customHeight="1">
      <c r="I31" s="4"/>
      <c r="J31" s="4"/>
      <c r="K31" s="4"/>
      <c r="L31" s="4"/>
      <c r="M31" s="4"/>
      <c r="O31" s="4"/>
      <c r="P31" s="4"/>
      <c r="Q31" s="4"/>
      <c r="V31" s="4"/>
      <c r="W31" s="4"/>
      <c r="Y31" s="4"/>
      <c r="Z31" s="87"/>
      <c r="AA31" s="4"/>
      <c r="AB31" s="4"/>
      <c r="AD31" s="4"/>
    </row>
    <row r="32" spans="1:30" ht="15.75" customHeight="1" thickBot="1">
      <c r="I32" s="4"/>
      <c r="J32" s="4"/>
      <c r="K32" s="4"/>
      <c r="L32" s="4"/>
      <c r="M32" s="4"/>
      <c r="O32" s="4"/>
      <c r="P32" s="4"/>
      <c r="Q32" s="4"/>
      <c r="V32" s="4"/>
      <c r="W32" s="4"/>
      <c r="Z32" s="87"/>
      <c r="AA32" s="60" t="s">
        <v>87</v>
      </c>
      <c r="AB32" s="60">
        <f>(AB30-U23)/N16</f>
        <v>0.82175908054058289</v>
      </c>
    </row>
    <row r="33" spans="9:30" ht="15.75" customHeight="1" thickTop="1">
      <c r="I33" s="4"/>
      <c r="J33" s="4"/>
      <c r="K33" s="4"/>
      <c r="L33" s="4"/>
      <c r="M33" s="4"/>
      <c r="O33" s="4"/>
      <c r="P33" s="4"/>
      <c r="Q33" s="4"/>
      <c r="V33" s="4"/>
      <c r="W33" s="4"/>
      <c r="Z33" s="87"/>
      <c r="AA33" s="27" t="s">
        <v>51</v>
      </c>
      <c r="AB33" s="50">
        <f>(AB30-U23)/AB23</f>
        <v>3.7296402336236265</v>
      </c>
    </row>
    <row r="34" spans="9:30" ht="15.75" customHeight="1">
      <c r="I34" s="4"/>
      <c r="J34" s="4"/>
      <c r="K34" s="4"/>
      <c r="L34" s="4"/>
      <c r="M34" s="4"/>
      <c r="O34" s="4"/>
      <c r="P34" s="4"/>
      <c r="Q34" s="4"/>
      <c r="V34" s="4"/>
      <c r="W34" s="4"/>
      <c r="Z34" s="40"/>
      <c r="AA34" s="4"/>
    </row>
    <row r="35" spans="9:30" ht="15.75" customHeight="1">
      <c r="I35" s="4"/>
      <c r="J35" s="4"/>
      <c r="K35" s="4"/>
      <c r="L35" s="4"/>
      <c r="M35" s="4"/>
      <c r="O35" s="4"/>
      <c r="P35" s="4"/>
      <c r="Q35" s="4"/>
      <c r="V35" s="4"/>
      <c r="W35" s="4"/>
      <c r="Z35" s="40"/>
      <c r="AA35" s="3" t="s">
        <v>52</v>
      </c>
      <c r="AB35" s="19">
        <v>0.9</v>
      </c>
      <c r="AC35" s="19">
        <v>0.95</v>
      </c>
      <c r="AD35" s="19">
        <v>0.99</v>
      </c>
    </row>
    <row r="36" spans="9:30" ht="15.75" customHeight="1">
      <c r="I36" s="4"/>
      <c r="J36" s="4"/>
      <c r="K36" s="4"/>
      <c r="L36" s="4"/>
      <c r="M36" s="4"/>
      <c r="O36" s="4"/>
      <c r="P36" s="4"/>
      <c r="Q36" s="4"/>
      <c r="V36" s="4"/>
      <c r="W36" s="4"/>
      <c r="Z36" s="40"/>
      <c r="AA36" s="3" t="s">
        <v>53</v>
      </c>
      <c r="AB36" s="3">
        <f t="shared" ref="AB36:AD36" si="7">NORMSINV(AB35)</f>
        <v>1.2815515655446006</v>
      </c>
      <c r="AC36" s="3">
        <f t="shared" si="7"/>
        <v>1.6448536269514715</v>
      </c>
      <c r="AD36" s="3">
        <f t="shared" si="7"/>
        <v>2.3263478740408408</v>
      </c>
    </row>
    <row r="37" spans="9:30" ht="15.75" customHeight="1">
      <c r="I37" s="4"/>
      <c r="J37" s="4"/>
      <c r="K37" s="4"/>
      <c r="L37" s="4"/>
      <c r="M37" s="4"/>
      <c r="O37" s="4"/>
      <c r="P37" s="4"/>
      <c r="Q37" s="4"/>
      <c r="V37" s="4"/>
      <c r="W37" s="4"/>
      <c r="Y37" s="25"/>
      <c r="Z37" s="89" t="s">
        <v>54</v>
      </c>
      <c r="AA37" s="46" t="s">
        <v>55</v>
      </c>
      <c r="AB37" s="46">
        <f>_xlfn.NORM.INV(1-AB35, $AB$30,ABS($AB$23))</f>
        <v>0.38823902180102465</v>
      </c>
      <c r="AC37" s="46">
        <f t="shared" ref="AC37:AD37" si="8">_xlfn.NORM.INV(1-AC35, $AB$30,ABS($AB$23))</f>
        <v>0.33117253514418421</v>
      </c>
      <c r="AD37" s="46">
        <f t="shared" si="8"/>
        <v>0.22412529680031867</v>
      </c>
    </row>
    <row r="38" spans="9:30" ht="15.75" customHeight="1">
      <c r="I38" s="4"/>
      <c r="J38" s="4"/>
      <c r="K38" s="4"/>
      <c r="L38" s="4"/>
      <c r="M38" s="4"/>
      <c r="O38" s="4"/>
      <c r="P38" s="4"/>
      <c r="Q38" s="4"/>
      <c r="V38" s="4"/>
      <c r="W38" s="4"/>
      <c r="Y38" s="25"/>
      <c r="Z38" s="73"/>
      <c r="AA38" s="46"/>
      <c r="AB38" s="47">
        <f t="shared" ref="AB38:AD38" si="9">AB37</f>
        <v>0.38823902180102465</v>
      </c>
      <c r="AC38" s="47">
        <f t="shared" si="9"/>
        <v>0.33117253514418421</v>
      </c>
      <c r="AD38" s="47">
        <f t="shared" si="9"/>
        <v>0.22412529680031867</v>
      </c>
    </row>
    <row r="39" spans="9:30" ht="15.75" customHeight="1">
      <c r="I39" s="4"/>
      <c r="J39" s="4"/>
      <c r="K39" s="4"/>
      <c r="L39" s="4"/>
      <c r="M39" s="4"/>
      <c r="O39" s="4"/>
      <c r="P39" s="4"/>
      <c r="Q39" s="4"/>
      <c r="V39" s="4"/>
      <c r="W39" s="4"/>
      <c r="Y39" s="25"/>
      <c r="Z39" s="90" t="s">
        <v>56</v>
      </c>
      <c r="AA39" s="72" t="s">
        <v>57</v>
      </c>
      <c r="AB39" s="25">
        <f>$AB$30-AB36*ABS($AB$23)</f>
        <v>0.38823902180102465</v>
      </c>
      <c r="AC39" s="25">
        <f t="shared" ref="AC39:AD39" si="10">$AB$30-AC36*ABS($AB$23)</f>
        <v>0.33117253514418421</v>
      </c>
      <c r="AD39" s="25">
        <f t="shared" si="10"/>
        <v>0.22412529680031867</v>
      </c>
    </row>
    <row r="40" spans="9:30" ht="15.75" customHeight="1">
      <c r="I40" s="4"/>
      <c r="J40" s="4"/>
      <c r="K40" s="4"/>
      <c r="L40" s="4"/>
      <c r="M40" s="4"/>
      <c r="O40" s="4"/>
      <c r="P40" s="4"/>
      <c r="Q40" s="4"/>
      <c r="V40" s="4"/>
      <c r="W40" s="4"/>
      <c r="Y40" s="4"/>
      <c r="Z40" s="87"/>
      <c r="AA40" s="73"/>
      <c r="AB40" s="32">
        <f t="shared" ref="AB40:AD40" si="11">$AB$18*AB39</f>
        <v>0</v>
      </c>
      <c r="AC40" s="32">
        <f t="shared" si="11"/>
        <v>0</v>
      </c>
      <c r="AD40" s="32">
        <f t="shared" si="11"/>
        <v>0</v>
      </c>
    </row>
    <row r="41" spans="9:30" ht="15.75" customHeight="1">
      <c r="I41" s="4"/>
      <c r="J41" s="4"/>
      <c r="K41" s="4"/>
      <c r="L41" s="4"/>
      <c r="M41" s="4"/>
      <c r="O41" s="4"/>
      <c r="P41" s="4"/>
      <c r="Q41" s="4"/>
      <c r="V41" s="4"/>
      <c r="W41" s="4"/>
      <c r="Y41" s="4"/>
      <c r="Z41" s="87"/>
      <c r="AA41" s="74" t="s">
        <v>58</v>
      </c>
      <c r="AB41" s="25">
        <f>$AC$30-AB36*$AC$23</f>
        <v>-9.9918341572373167E-3</v>
      </c>
      <c r="AC41" s="25">
        <f t="shared" ref="AC41:AD41" si="12">$AC$30-AC36*$AC$23</f>
        <v>-1.334621083140429E-2</v>
      </c>
      <c r="AD41" s="25">
        <f t="shared" si="12"/>
        <v>-1.9638463611812901E-2</v>
      </c>
    </row>
    <row r="42" spans="9:30" ht="15.75" customHeight="1">
      <c r="I42" s="4"/>
      <c r="J42" s="4"/>
      <c r="K42" s="4"/>
      <c r="L42" s="4"/>
      <c r="M42" s="4"/>
      <c r="O42" s="4"/>
      <c r="P42" s="4"/>
      <c r="Q42" s="4"/>
      <c r="V42" s="4"/>
      <c r="W42" s="4"/>
      <c r="Y42" s="4"/>
      <c r="Z42" s="87"/>
      <c r="AA42" s="73"/>
      <c r="AB42" s="32">
        <f t="shared" ref="AB42:AD42" si="13">$AB$18*AB41</f>
        <v>0</v>
      </c>
      <c r="AC42" s="32">
        <f t="shared" si="13"/>
        <v>0</v>
      </c>
      <c r="AD42" s="32">
        <f t="shared" si="13"/>
        <v>0</v>
      </c>
    </row>
    <row r="43" spans="9:30" ht="15.75" customHeight="1">
      <c r="I43" s="4"/>
      <c r="J43" s="4"/>
      <c r="K43" s="4"/>
      <c r="L43" s="4"/>
      <c r="M43" s="4"/>
      <c r="O43" s="4"/>
      <c r="P43" s="4"/>
      <c r="Q43" s="4"/>
      <c r="V43" s="4"/>
      <c r="W43" s="4"/>
      <c r="Y43" s="4"/>
      <c r="Z43" s="4"/>
      <c r="AA43" s="25"/>
    </row>
    <row r="44" spans="9:30" ht="15.75" customHeight="1">
      <c r="I44" s="4"/>
      <c r="J44" s="4"/>
      <c r="K44" s="4"/>
      <c r="L44" s="4"/>
      <c r="M44" s="4"/>
      <c r="O44" s="4"/>
      <c r="P44" s="4"/>
      <c r="Q44" s="4"/>
      <c r="V44" s="4"/>
      <c r="W44" s="4"/>
      <c r="Y44" s="4"/>
      <c r="Z44" s="4"/>
      <c r="AA44" s="51" t="s">
        <v>59</v>
      </c>
    </row>
    <row r="45" spans="9:30" ht="15.75" customHeight="1">
      <c r="I45" s="4"/>
      <c r="J45" s="4"/>
      <c r="K45" s="4"/>
      <c r="L45" s="4"/>
      <c r="M45" s="4"/>
      <c r="O45" s="4"/>
      <c r="P45" s="4"/>
      <c r="Q45" s="4"/>
      <c r="V45" s="4"/>
      <c r="W45" s="4"/>
      <c r="Y45" s="4"/>
      <c r="Z45" s="4"/>
      <c r="AA45" s="45" t="s">
        <v>60</v>
      </c>
    </row>
    <row r="46" spans="9:30" ht="15.75" customHeight="1">
      <c r="I46" s="4"/>
      <c r="J46" s="4"/>
      <c r="K46" s="4"/>
      <c r="L46" s="4"/>
      <c r="M46" s="4"/>
      <c r="O46" s="4"/>
      <c r="P46" s="4"/>
      <c r="Q46" s="4"/>
      <c r="V46" s="4"/>
      <c r="W46" s="4"/>
      <c r="Y46" s="4"/>
      <c r="Z46" s="4"/>
      <c r="AA46" s="45" t="s">
        <v>61</v>
      </c>
    </row>
    <row r="47" spans="9:30" ht="15.75" customHeight="1">
      <c r="I47" s="4"/>
      <c r="J47" s="4"/>
      <c r="K47" s="4"/>
      <c r="L47" s="4"/>
      <c r="M47" s="4"/>
      <c r="O47" s="4"/>
      <c r="P47" s="4"/>
      <c r="Q47" s="4"/>
      <c r="V47" s="4"/>
      <c r="W47" s="4"/>
      <c r="Y47" s="4"/>
      <c r="Z47" s="4"/>
      <c r="AA47" s="4"/>
    </row>
    <row r="48" spans="9:30" ht="15.75" customHeight="1">
      <c r="I48" s="4"/>
      <c r="J48" s="4"/>
      <c r="K48" s="4"/>
      <c r="L48" s="4"/>
      <c r="M48" s="4"/>
      <c r="O48" s="4"/>
      <c r="P48" s="4"/>
      <c r="Q48" s="4"/>
      <c r="V48" s="4"/>
      <c r="W48" s="4"/>
      <c r="Y48" s="4"/>
      <c r="Z48" s="4"/>
      <c r="AA48" s="4"/>
    </row>
    <row r="49" spans="9:30" ht="15.75" customHeight="1">
      <c r="I49" s="4"/>
      <c r="J49" s="4"/>
      <c r="K49" s="4"/>
      <c r="L49" s="4"/>
      <c r="M49" s="4"/>
      <c r="O49" s="4"/>
      <c r="P49" s="4"/>
      <c r="Q49" s="4"/>
      <c r="V49" s="4"/>
      <c r="W49" s="4"/>
      <c r="Y49" s="4"/>
      <c r="Z49" s="4"/>
      <c r="AA49" s="4"/>
      <c r="AB49" s="5" t="s">
        <v>57</v>
      </c>
      <c r="AC49" s="5" t="s">
        <v>58</v>
      </c>
    </row>
    <row r="50" spans="9:30" ht="15.75" customHeight="1">
      <c r="I50" s="4"/>
      <c r="J50" s="4"/>
      <c r="K50" s="4"/>
      <c r="L50" s="4"/>
      <c r="M50" s="4"/>
      <c r="O50" s="4"/>
      <c r="P50" s="4"/>
      <c r="Q50" s="4"/>
      <c r="V50" s="4"/>
      <c r="W50" s="4"/>
      <c r="Y50" s="4"/>
      <c r="Z50" s="75" t="s">
        <v>62</v>
      </c>
      <c r="AA50" s="12" t="s">
        <v>63</v>
      </c>
      <c r="AB50" s="15">
        <f>-0.04</f>
        <v>-0.04</v>
      </c>
      <c r="AC50" s="18">
        <f>EXP(LN(AB50+1)/$B$1)-1</f>
        <v>-1.6197892174474315E-4</v>
      </c>
      <c r="AD50" s="4"/>
    </row>
    <row r="51" spans="9:30" ht="15.75" customHeight="1">
      <c r="I51" s="4"/>
      <c r="J51" s="4"/>
      <c r="K51" s="4"/>
      <c r="L51" s="4"/>
      <c r="M51" s="4"/>
      <c r="O51" s="4"/>
      <c r="P51" s="4"/>
      <c r="Q51" s="4"/>
      <c r="V51" s="4"/>
      <c r="W51" s="4"/>
      <c r="Y51" s="4"/>
      <c r="Z51" s="76"/>
      <c r="AA51" s="12" t="s">
        <v>64</v>
      </c>
      <c r="AB51" s="12">
        <v>1.5</v>
      </c>
      <c r="AC51" s="4"/>
      <c r="AD51" s="4"/>
    </row>
    <row r="52" spans="9:30" ht="15.75" customHeight="1">
      <c r="I52" s="4"/>
      <c r="J52" s="4"/>
      <c r="K52" s="4"/>
      <c r="L52" s="4"/>
      <c r="M52" s="4"/>
      <c r="O52" s="4"/>
      <c r="P52" s="4"/>
      <c r="Q52" s="4"/>
      <c r="V52" s="4"/>
      <c r="W52" s="4"/>
      <c r="Y52" s="4"/>
      <c r="Z52" s="76"/>
      <c r="AA52" s="8" t="s">
        <v>65</v>
      </c>
      <c r="AB52" s="15">
        <f t="shared" ref="AB52:AC52" si="14">$AB$51*AB$30 - ($AB$51-1)*AB50</f>
        <v>0.90431241523112038</v>
      </c>
      <c r="AC52" s="15">
        <f t="shared" si="14"/>
        <v>2.8421328840146365E-3</v>
      </c>
      <c r="AD52" s="4"/>
    </row>
    <row r="53" spans="9:30" ht="15.75" customHeight="1">
      <c r="I53" s="4"/>
      <c r="J53" s="4"/>
      <c r="K53" s="4"/>
      <c r="L53" s="4"/>
      <c r="M53" s="4"/>
      <c r="O53" s="4"/>
      <c r="P53" s="4"/>
      <c r="Q53" s="4"/>
      <c r="V53" s="4"/>
      <c r="W53" s="4"/>
      <c r="Y53" s="4"/>
      <c r="Z53" s="76"/>
      <c r="AA53" s="8" t="s">
        <v>66</v>
      </c>
      <c r="AB53" s="15">
        <f t="shared" ref="AB53:AC53" si="15">AB52-$U$23</f>
        <v>0.90061241523112034</v>
      </c>
      <c r="AC53" s="15">
        <f t="shared" si="15"/>
        <v>-8.5786711598536368E-4</v>
      </c>
      <c r="AD53" s="4"/>
    </row>
    <row r="54" spans="9:30" ht="15.75" customHeight="1">
      <c r="I54" s="4"/>
      <c r="J54" s="4"/>
      <c r="K54" s="4"/>
      <c r="L54" s="4"/>
      <c r="M54" s="4"/>
      <c r="O54" s="4"/>
      <c r="P54" s="4"/>
      <c r="Q54" s="4"/>
      <c r="V54" s="4"/>
      <c r="W54" s="4"/>
      <c r="Y54" s="4"/>
      <c r="Z54" s="76"/>
      <c r="AA54" s="8" t="s">
        <v>40</v>
      </c>
      <c r="AB54" s="15">
        <f t="shared" ref="AB54:AC54" si="16">AB$23*$AB$51</f>
        <v>0.23561586646048605</v>
      </c>
      <c r="AC54" s="15">
        <f t="shared" si="16"/>
        <v>1.3849536090618231E-2</v>
      </c>
      <c r="AD54" s="4"/>
    </row>
    <row r="55" spans="9:30" ht="15.75" customHeight="1">
      <c r="I55" s="4"/>
      <c r="J55" s="4"/>
      <c r="K55" s="4"/>
      <c r="L55" s="4"/>
      <c r="M55" s="4"/>
      <c r="O55" s="4"/>
      <c r="P55" s="4"/>
      <c r="Q55" s="4"/>
      <c r="V55" s="4"/>
      <c r="W55" s="4"/>
      <c r="Y55" s="4"/>
      <c r="Z55" s="76"/>
      <c r="AA55" s="8" t="s">
        <v>67</v>
      </c>
      <c r="AB55" s="15">
        <f t="shared" ref="AB55:AC55" si="17">N$18*$AB$51</f>
        <v>0.17943710531042276</v>
      </c>
      <c r="AC55" s="15">
        <f t="shared" si="17"/>
        <v>1.0714978020336829E-2</v>
      </c>
      <c r="AD55" s="4"/>
    </row>
    <row r="56" spans="9:30" ht="15.75" customHeight="1">
      <c r="I56" s="4"/>
      <c r="J56" s="4"/>
      <c r="K56" s="4"/>
      <c r="L56" s="4"/>
      <c r="M56" s="4"/>
      <c r="O56" s="4"/>
      <c r="P56" s="4"/>
      <c r="Q56" s="4"/>
      <c r="V56" s="4"/>
      <c r="W56" s="4"/>
      <c r="Y56" s="4"/>
      <c r="Z56" s="76"/>
      <c r="AA56" s="3" t="s">
        <v>68</v>
      </c>
      <c r="AB56" s="52">
        <f t="shared" ref="AB56:AC56" si="18">(AB52-AB50)/AB54</f>
        <v>4.0078473042454732</v>
      </c>
      <c r="AC56" s="52">
        <f t="shared" si="18"/>
        <v>0.21691064495614298</v>
      </c>
      <c r="AD56" s="4"/>
    </row>
    <row r="57" spans="9:30" ht="15.75" customHeight="1">
      <c r="I57" s="4"/>
      <c r="J57" s="4"/>
      <c r="K57" s="4"/>
      <c r="L57" s="4"/>
      <c r="M57" s="4"/>
      <c r="O57" s="4"/>
      <c r="P57" s="4"/>
      <c r="Q57" s="4"/>
      <c r="V57" s="4"/>
      <c r="W57" s="4"/>
      <c r="Y57" s="4"/>
      <c r="Z57" s="77"/>
      <c r="AA57" s="3" t="s">
        <v>69</v>
      </c>
      <c r="AB57" s="52">
        <f t="shared" ref="AB57:AC57" si="19">AB53/AB55</f>
        <v>5.0190979935453042</v>
      </c>
      <c r="AC57" s="52">
        <f t="shared" si="19"/>
        <v>-8.0062424239895569E-2</v>
      </c>
      <c r="AD57" s="4"/>
    </row>
    <row r="58" spans="9:30" ht="15.75" customHeight="1">
      <c r="I58" s="4"/>
      <c r="J58" s="4"/>
      <c r="K58" s="4"/>
      <c r="L58" s="4"/>
      <c r="M58" s="4"/>
      <c r="O58" s="4"/>
      <c r="P58" s="4"/>
      <c r="Q58" s="4"/>
      <c r="V58" s="4"/>
      <c r="W58" s="4"/>
      <c r="Y58" s="4"/>
      <c r="Z58" s="4"/>
      <c r="AA58" s="4"/>
    </row>
    <row r="59" spans="9:30" ht="15.75" customHeight="1">
      <c r="I59" s="4"/>
      <c r="J59" s="4"/>
      <c r="K59" s="4"/>
      <c r="L59" s="4"/>
      <c r="M59" s="4"/>
      <c r="O59" s="4"/>
      <c r="P59" s="4"/>
      <c r="Q59" s="4"/>
      <c r="V59" s="4"/>
      <c r="W59" s="4"/>
      <c r="Y59" s="4"/>
      <c r="Z59" s="4"/>
      <c r="AA59" s="4"/>
    </row>
    <row r="60" spans="9:30" ht="15.75" customHeight="1">
      <c r="I60" s="4"/>
      <c r="J60" s="4"/>
      <c r="K60" s="4"/>
      <c r="L60" s="4"/>
      <c r="M60" s="4"/>
      <c r="O60" s="4"/>
      <c r="P60" s="4"/>
      <c r="Q60" s="4"/>
      <c r="V60" s="4"/>
      <c r="W60" s="4"/>
      <c r="Y60" s="4"/>
      <c r="Z60" s="4"/>
      <c r="AA60" s="4"/>
    </row>
    <row r="61" spans="9:30" ht="15.75" customHeight="1">
      <c r="I61" s="4"/>
      <c r="J61" s="4"/>
      <c r="K61" s="4"/>
      <c r="L61" s="4"/>
      <c r="M61" s="4"/>
      <c r="O61" s="4"/>
      <c r="P61" s="4"/>
      <c r="Q61" s="4"/>
      <c r="V61" s="4"/>
      <c r="W61" s="4"/>
      <c r="Y61" s="4"/>
      <c r="Z61" s="4"/>
      <c r="AA61" s="4"/>
    </row>
    <row r="62" spans="9:30" ht="15.75" customHeight="1">
      <c r="I62" s="4"/>
      <c r="J62" s="4"/>
      <c r="K62" s="4"/>
      <c r="L62" s="4"/>
      <c r="M62" s="4"/>
      <c r="O62" s="4"/>
      <c r="P62" s="4"/>
      <c r="Q62" s="4"/>
      <c r="V62" s="4"/>
      <c r="W62" s="4"/>
      <c r="Y62" s="4"/>
      <c r="Z62" s="4"/>
      <c r="AA62" s="4"/>
    </row>
    <row r="63" spans="9:30" ht="15.75" customHeight="1">
      <c r="I63" s="4"/>
      <c r="J63" s="4"/>
      <c r="K63" s="4"/>
      <c r="L63" s="4"/>
      <c r="M63" s="4"/>
      <c r="O63" s="4"/>
      <c r="P63" s="4"/>
      <c r="Q63" s="4"/>
      <c r="V63" s="4"/>
      <c r="W63" s="4"/>
      <c r="Y63" s="4"/>
      <c r="Z63" s="4"/>
      <c r="AA63" s="4"/>
    </row>
    <row r="64" spans="9:30" ht="15.75" customHeight="1">
      <c r="I64" s="4"/>
      <c r="J64" s="4"/>
      <c r="K64" s="4"/>
      <c r="L64" s="4"/>
      <c r="M64" s="4"/>
      <c r="O64" s="4"/>
      <c r="P64" s="4"/>
      <c r="Q64" s="4"/>
      <c r="V64" s="4"/>
      <c r="W64" s="4"/>
      <c r="Y64" s="4"/>
      <c r="Z64" s="4"/>
      <c r="AA64" s="4"/>
    </row>
    <row r="65" spans="9:27" ht="15.75" customHeight="1">
      <c r="I65" s="4"/>
      <c r="J65" s="4"/>
      <c r="K65" s="4"/>
      <c r="L65" s="4"/>
      <c r="M65" s="4"/>
      <c r="O65" s="4"/>
      <c r="P65" s="4"/>
      <c r="Q65" s="4"/>
      <c r="V65" s="4"/>
      <c r="W65" s="4"/>
      <c r="Y65" s="4"/>
      <c r="Z65" s="4"/>
      <c r="AA65" s="4"/>
    </row>
    <row r="66" spans="9:27" ht="15.75" customHeight="1">
      <c r="I66" s="4"/>
      <c r="J66" s="4"/>
      <c r="K66" s="4"/>
      <c r="L66" s="4"/>
      <c r="M66" s="4"/>
      <c r="O66" s="4"/>
      <c r="P66" s="4"/>
      <c r="Q66" s="4"/>
      <c r="V66" s="4"/>
      <c r="W66" s="4"/>
      <c r="Y66" s="4"/>
      <c r="Z66" s="4"/>
      <c r="AA66" s="4"/>
    </row>
    <row r="67" spans="9:27" ht="15.75" customHeight="1">
      <c r="I67" s="4"/>
      <c r="J67" s="4"/>
      <c r="K67" s="4"/>
      <c r="L67" s="4"/>
      <c r="M67" s="4"/>
      <c r="O67" s="4"/>
      <c r="P67" s="4"/>
      <c r="Q67" s="4"/>
      <c r="V67" s="4"/>
      <c r="W67" s="4"/>
      <c r="Y67" s="4"/>
      <c r="Z67" s="4"/>
      <c r="AA67" s="4"/>
    </row>
    <row r="68" spans="9:27" ht="15.75" customHeight="1">
      <c r="I68" s="4"/>
      <c r="J68" s="4"/>
      <c r="K68" s="4"/>
      <c r="L68" s="4"/>
      <c r="M68" s="4"/>
      <c r="O68" s="4"/>
      <c r="P68" s="4"/>
      <c r="Q68" s="4"/>
      <c r="V68" s="4"/>
      <c r="W68" s="4"/>
      <c r="Y68" s="4"/>
      <c r="Z68" s="4"/>
      <c r="AA68" s="4"/>
    </row>
    <row r="69" spans="9:27" ht="15.75" customHeight="1">
      <c r="I69" s="4"/>
      <c r="J69" s="4"/>
      <c r="K69" s="4"/>
      <c r="L69" s="4"/>
      <c r="M69" s="4"/>
      <c r="O69" s="4"/>
      <c r="P69" s="4"/>
      <c r="Q69" s="4"/>
      <c r="V69" s="4"/>
      <c r="W69" s="4"/>
      <c r="Y69" s="4"/>
      <c r="Z69" s="4"/>
      <c r="AA69" s="4"/>
    </row>
    <row r="70" spans="9:27" ht="15.75" customHeight="1">
      <c r="I70" s="4"/>
      <c r="J70" s="4"/>
      <c r="K70" s="4"/>
      <c r="L70" s="4"/>
      <c r="M70" s="4"/>
      <c r="O70" s="4"/>
      <c r="P70" s="4"/>
      <c r="Q70" s="4"/>
      <c r="V70" s="4"/>
      <c r="W70" s="4"/>
      <c r="Y70" s="4"/>
      <c r="Z70" s="4"/>
      <c r="AA70" s="4"/>
    </row>
    <row r="71" spans="9:27" ht="15.75" customHeight="1">
      <c r="I71" s="4"/>
      <c r="J71" s="4"/>
      <c r="K71" s="4"/>
      <c r="L71" s="4"/>
      <c r="M71" s="4"/>
      <c r="O71" s="4"/>
      <c r="P71" s="4"/>
      <c r="Q71" s="4"/>
      <c r="V71" s="4"/>
      <c r="W71" s="4"/>
      <c r="Y71" s="4"/>
      <c r="Z71" s="4"/>
      <c r="AA71" s="4"/>
    </row>
    <row r="72" spans="9:27" ht="15.75" customHeight="1">
      <c r="I72" s="4"/>
      <c r="J72" s="4"/>
      <c r="K72" s="4"/>
      <c r="L72" s="4"/>
      <c r="M72" s="4"/>
      <c r="O72" s="4"/>
      <c r="P72" s="4"/>
      <c r="Q72" s="4"/>
      <c r="V72" s="4"/>
      <c r="W72" s="4"/>
      <c r="Y72" s="4"/>
      <c r="Z72" s="4"/>
      <c r="AA72" s="4"/>
    </row>
    <row r="73" spans="9:27" ht="15.75" customHeight="1">
      <c r="I73" s="4"/>
      <c r="J73" s="4"/>
      <c r="K73" s="4"/>
      <c r="L73" s="4"/>
      <c r="M73" s="4"/>
      <c r="O73" s="4"/>
      <c r="P73" s="4"/>
      <c r="Q73" s="4"/>
      <c r="V73" s="4"/>
      <c r="W73" s="4"/>
      <c r="Y73" s="4"/>
      <c r="Z73" s="4"/>
      <c r="AA73" s="4"/>
    </row>
    <row r="74" spans="9:27" ht="15.75" customHeight="1">
      <c r="I74" s="4"/>
      <c r="J74" s="4"/>
      <c r="K74" s="4"/>
      <c r="L74" s="4"/>
      <c r="M74" s="4"/>
      <c r="O74" s="4"/>
      <c r="P74" s="4"/>
      <c r="Q74" s="4"/>
      <c r="V74" s="4"/>
      <c r="W74" s="4"/>
      <c r="Y74" s="4"/>
      <c r="Z74" s="4"/>
      <c r="AA74" s="4"/>
    </row>
    <row r="75" spans="9:27" ht="15.75" customHeight="1">
      <c r="I75" s="4"/>
      <c r="J75" s="4"/>
      <c r="K75" s="4"/>
      <c r="L75" s="4"/>
      <c r="M75" s="4"/>
      <c r="O75" s="4"/>
      <c r="P75" s="4"/>
      <c r="Q75" s="4"/>
      <c r="V75" s="4"/>
      <c r="W75" s="4"/>
      <c r="Y75" s="4"/>
      <c r="Z75" s="4"/>
      <c r="AA75" s="4"/>
    </row>
    <row r="76" spans="9:27" ht="15.75" customHeight="1">
      <c r="I76" s="4"/>
      <c r="J76" s="4"/>
      <c r="K76" s="4"/>
      <c r="L76" s="4"/>
      <c r="M76" s="4"/>
      <c r="O76" s="4"/>
      <c r="P76" s="4"/>
      <c r="Q76" s="4"/>
      <c r="V76" s="4"/>
      <c r="W76" s="4"/>
      <c r="Y76" s="4"/>
      <c r="Z76" s="4"/>
      <c r="AA76" s="4"/>
    </row>
    <row r="77" spans="9:27" ht="15.75" customHeight="1">
      <c r="I77" s="4"/>
      <c r="J77" s="4"/>
      <c r="K77" s="4"/>
      <c r="L77" s="4"/>
      <c r="M77" s="4"/>
      <c r="O77" s="4"/>
      <c r="P77" s="4"/>
      <c r="Q77" s="4"/>
      <c r="V77" s="4"/>
      <c r="W77" s="4"/>
      <c r="Y77" s="4"/>
      <c r="Z77" s="4"/>
      <c r="AA77" s="4"/>
    </row>
    <row r="78" spans="9:27" ht="15.75" customHeight="1">
      <c r="I78" s="4"/>
      <c r="J78" s="4"/>
      <c r="K78" s="4"/>
      <c r="L78" s="4"/>
      <c r="M78" s="4"/>
      <c r="O78" s="4"/>
      <c r="P78" s="4"/>
      <c r="Q78" s="4"/>
      <c r="V78" s="4"/>
      <c r="W78" s="4"/>
      <c r="Y78" s="4"/>
      <c r="Z78" s="4"/>
      <c r="AA78" s="4"/>
    </row>
    <row r="79" spans="9:27" ht="15.75" customHeight="1">
      <c r="I79" s="4"/>
      <c r="J79" s="4"/>
      <c r="K79" s="4"/>
      <c r="L79" s="4"/>
      <c r="M79" s="4"/>
      <c r="O79" s="4"/>
      <c r="P79" s="4"/>
      <c r="Q79" s="4"/>
      <c r="V79" s="4"/>
      <c r="W79" s="4"/>
      <c r="Y79" s="4"/>
      <c r="Z79" s="4"/>
      <c r="AA79" s="4"/>
    </row>
    <row r="80" spans="9:27" ht="15.75" customHeight="1">
      <c r="I80" s="4"/>
      <c r="J80" s="4"/>
      <c r="K80" s="4"/>
      <c r="L80" s="4"/>
      <c r="M80" s="4"/>
      <c r="O80" s="4"/>
      <c r="P80" s="4"/>
      <c r="Q80" s="4"/>
      <c r="V80" s="4"/>
      <c r="W80" s="4"/>
      <c r="Y80" s="4"/>
      <c r="Z80" s="4"/>
      <c r="AA80" s="4"/>
    </row>
    <row r="81" spans="9:27" ht="15.75" customHeight="1">
      <c r="I81" s="4"/>
      <c r="J81" s="4"/>
      <c r="K81" s="4"/>
      <c r="L81" s="4"/>
      <c r="M81" s="4"/>
      <c r="O81" s="4"/>
      <c r="P81" s="4"/>
      <c r="Q81" s="4"/>
      <c r="V81" s="4"/>
      <c r="W81" s="4"/>
      <c r="Y81" s="4"/>
      <c r="Z81" s="4"/>
      <c r="AA81" s="4"/>
    </row>
    <row r="82" spans="9:27" ht="15.75" customHeight="1">
      <c r="I82" s="4"/>
      <c r="J82" s="4"/>
      <c r="K82" s="4"/>
      <c r="L82" s="4"/>
      <c r="M82" s="4"/>
      <c r="O82" s="4"/>
      <c r="P82" s="4"/>
      <c r="Q82" s="4"/>
      <c r="V82" s="4"/>
      <c r="W82" s="4"/>
      <c r="Y82" s="4"/>
      <c r="Z82" s="4"/>
      <c r="AA82" s="4"/>
    </row>
    <row r="83" spans="9:27" ht="15.75" customHeight="1">
      <c r="I83" s="4"/>
      <c r="J83" s="4"/>
      <c r="K83" s="4"/>
      <c r="L83" s="4"/>
      <c r="M83" s="4"/>
      <c r="O83" s="4"/>
      <c r="P83" s="4"/>
      <c r="Q83" s="4"/>
      <c r="V83" s="4"/>
      <c r="W83" s="4"/>
      <c r="Y83" s="4"/>
      <c r="Z83" s="4"/>
      <c r="AA83" s="4"/>
    </row>
    <row r="84" spans="9:27" ht="15.75" customHeight="1">
      <c r="I84" s="4"/>
      <c r="J84" s="4"/>
      <c r="K84" s="4"/>
      <c r="L84" s="4"/>
      <c r="M84" s="4"/>
      <c r="O84" s="4"/>
      <c r="P84" s="4"/>
      <c r="Q84" s="4"/>
      <c r="V84" s="4"/>
      <c r="W84" s="4"/>
      <c r="Y84" s="4"/>
      <c r="Z84" s="4"/>
      <c r="AA84" s="4"/>
    </row>
    <row r="85" spans="9:27" ht="15.75" customHeight="1">
      <c r="I85" s="4"/>
      <c r="J85" s="4"/>
      <c r="K85" s="4"/>
      <c r="L85" s="4"/>
      <c r="M85" s="4"/>
      <c r="O85" s="4"/>
      <c r="P85" s="4"/>
      <c r="Q85" s="4"/>
      <c r="V85" s="4"/>
      <c r="W85" s="4"/>
      <c r="Y85" s="4"/>
      <c r="Z85" s="4"/>
      <c r="AA85" s="4"/>
    </row>
    <row r="86" spans="9:27" ht="15.75" customHeight="1">
      <c r="I86" s="4"/>
      <c r="J86" s="4"/>
      <c r="K86" s="4"/>
      <c r="L86" s="4"/>
      <c r="M86" s="4"/>
      <c r="O86" s="4"/>
      <c r="P86" s="4"/>
      <c r="Q86" s="4"/>
      <c r="V86" s="4"/>
      <c r="W86" s="4"/>
      <c r="Y86" s="4"/>
      <c r="Z86" s="4"/>
      <c r="AA86" s="4"/>
    </row>
    <row r="87" spans="9:27" ht="15.75" customHeight="1">
      <c r="I87" s="4"/>
      <c r="J87" s="4"/>
      <c r="K87" s="4"/>
      <c r="L87" s="4"/>
      <c r="M87" s="4"/>
      <c r="O87" s="4"/>
      <c r="P87" s="4"/>
      <c r="Q87" s="4"/>
      <c r="V87" s="4"/>
      <c r="W87" s="4"/>
      <c r="Y87" s="4"/>
      <c r="Z87" s="4"/>
      <c r="AA87" s="4"/>
    </row>
    <row r="88" spans="9:27" ht="15.75" customHeight="1">
      <c r="I88" s="4"/>
      <c r="J88" s="4"/>
      <c r="K88" s="4"/>
      <c r="L88" s="4"/>
      <c r="M88" s="4"/>
      <c r="O88" s="4"/>
      <c r="P88" s="4"/>
      <c r="Q88" s="4"/>
      <c r="V88" s="4"/>
      <c r="W88" s="4"/>
      <c r="Y88" s="4"/>
      <c r="Z88" s="4"/>
      <c r="AA88" s="4"/>
    </row>
    <row r="89" spans="9:27" ht="15.75" customHeight="1">
      <c r="I89" s="4"/>
      <c r="J89" s="4"/>
      <c r="K89" s="4"/>
      <c r="L89" s="4"/>
      <c r="M89" s="4"/>
      <c r="O89" s="4"/>
      <c r="P89" s="4"/>
      <c r="Q89" s="4"/>
      <c r="V89" s="4"/>
      <c r="W89" s="4"/>
      <c r="Y89" s="4"/>
      <c r="Z89" s="4"/>
      <c r="AA89" s="4"/>
    </row>
    <row r="90" spans="9:27" ht="15.75" customHeight="1">
      <c r="I90" s="4"/>
      <c r="J90" s="4"/>
      <c r="K90" s="4"/>
      <c r="L90" s="4"/>
      <c r="M90" s="4"/>
      <c r="O90" s="4"/>
      <c r="P90" s="4"/>
      <c r="Q90" s="4"/>
      <c r="V90" s="4"/>
      <c r="W90" s="4"/>
      <c r="Y90" s="4"/>
      <c r="Z90" s="4"/>
      <c r="AA90" s="4"/>
    </row>
    <row r="91" spans="9:27" ht="15.75" customHeight="1">
      <c r="I91" s="4"/>
      <c r="J91" s="4"/>
      <c r="K91" s="4"/>
      <c r="L91" s="4"/>
      <c r="M91" s="4"/>
      <c r="O91" s="4"/>
      <c r="P91" s="4"/>
      <c r="Q91" s="4"/>
      <c r="V91" s="4"/>
      <c r="W91" s="4"/>
      <c r="Y91" s="4"/>
      <c r="Z91" s="4"/>
      <c r="AA91" s="4"/>
    </row>
    <row r="92" spans="9:27" ht="15.75" customHeight="1">
      <c r="I92" s="4"/>
      <c r="J92" s="4"/>
      <c r="K92" s="4"/>
      <c r="L92" s="4"/>
      <c r="M92" s="4"/>
      <c r="O92" s="4"/>
      <c r="P92" s="4"/>
      <c r="Q92" s="4"/>
      <c r="V92" s="4"/>
      <c r="W92" s="4"/>
      <c r="Y92" s="4"/>
      <c r="Z92" s="4"/>
      <c r="AA92" s="4"/>
    </row>
    <row r="93" spans="9:27" ht="15.75" customHeight="1">
      <c r="I93" s="4"/>
      <c r="J93" s="4"/>
      <c r="K93" s="4"/>
      <c r="L93" s="4"/>
      <c r="M93" s="4"/>
      <c r="O93" s="4"/>
      <c r="P93" s="4"/>
      <c r="Q93" s="4"/>
      <c r="V93" s="4"/>
      <c r="W93" s="4"/>
      <c r="Y93" s="4"/>
      <c r="Z93" s="4"/>
      <c r="AA93" s="4"/>
    </row>
    <row r="94" spans="9:27" ht="15.75" customHeight="1">
      <c r="I94" s="4"/>
      <c r="J94" s="4"/>
      <c r="K94" s="4"/>
      <c r="L94" s="4"/>
      <c r="M94" s="4"/>
      <c r="O94" s="4"/>
      <c r="P94" s="4"/>
      <c r="Q94" s="4"/>
      <c r="V94" s="4"/>
      <c r="W94" s="4"/>
      <c r="Y94" s="4"/>
      <c r="Z94" s="4"/>
      <c r="AA94" s="4"/>
    </row>
    <row r="95" spans="9:27" ht="15.75" customHeight="1">
      <c r="I95" s="4"/>
      <c r="J95" s="4"/>
      <c r="K95" s="4"/>
      <c r="L95" s="4"/>
      <c r="M95" s="4"/>
      <c r="O95" s="4"/>
      <c r="P95" s="4"/>
      <c r="Q95" s="4"/>
      <c r="V95" s="4"/>
      <c r="W95" s="4"/>
      <c r="Y95" s="4"/>
      <c r="Z95" s="4"/>
      <c r="AA95" s="4"/>
    </row>
    <row r="96" spans="9:27" ht="15.75" customHeight="1">
      <c r="I96" s="4"/>
      <c r="J96" s="4"/>
      <c r="K96" s="4"/>
      <c r="L96" s="4"/>
      <c r="M96" s="4"/>
      <c r="O96" s="4"/>
      <c r="P96" s="4"/>
      <c r="Q96" s="4"/>
      <c r="V96" s="4"/>
      <c r="W96" s="4"/>
      <c r="Y96" s="4"/>
      <c r="Z96" s="4"/>
      <c r="AA96" s="4"/>
    </row>
    <row r="97" spans="9:27" ht="15.75" customHeight="1">
      <c r="I97" s="4"/>
      <c r="J97" s="4"/>
      <c r="K97" s="4"/>
      <c r="L97" s="4"/>
      <c r="M97" s="4"/>
      <c r="O97" s="4"/>
      <c r="P97" s="4"/>
      <c r="Q97" s="4"/>
      <c r="V97" s="4"/>
      <c r="W97" s="4"/>
      <c r="Y97" s="4"/>
      <c r="Z97" s="4"/>
      <c r="AA97" s="4"/>
    </row>
    <row r="98" spans="9:27" ht="15.75" customHeight="1">
      <c r="I98" s="4"/>
      <c r="J98" s="4"/>
      <c r="K98" s="4"/>
      <c r="L98" s="4"/>
      <c r="M98" s="4"/>
      <c r="O98" s="4"/>
      <c r="P98" s="4"/>
      <c r="Q98" s="4"/>
      <c r="V98" s="4"/>
      <c r="W98" s="4"/>
      <c r="Y98" s="4"/>
      <c r="Z98" s="4"/>
      <c r="AA98" s="4"/>
    </row>
    <row r="99" spans="9:27" ht="15.75" customHeight="1">
      <c r="I99" s="4"/>
      <c r="J99" s="4"/>
      <c r="K99" s="4"/>
      <c r="L99" s="4"/>
      <c r="M99" s="4"/>
      <c r="O99" s="4"/>
      <c r="P99" s="4"/>
      <c r="Q99" s="4"/>
      <c r="V99" s="4"/>
      <c r="W99" s="4"/>
      <c r="Y99" s="4"/>
      <c r="Z99" s="4"/>
      <c r="AA99" s="4"/>
    </row>
    <row r="100" spans="9:27" ht="15.75" customHeight="1"/>
    <row r="101" spans="9:27" ht="15.75" customHeight="1"/>
    <row r="102" spans="9:27" ht="15.75" customHeight="1"/>
    <row r="103" spans="9:27" ht="15.75" customHeight="1"/>
    <row r="104" spans="9:27" ht="15.75" customHeight="1"/>
    <row r="105" spans="9:27" ht="15.75" customHeight="1"/>
    <row r="106" spans="9:27" ht="15.75" customHeight="1"/>
    <row r="107" spans="9:27" ht="15.75" customHeight="1"/>
    <row r="108" spans="9:27" ht="15.75" customHeight="1"/>
    <row r="109" spans="9:27" ht="15.75" customHeight="1"/>
    <row r="110" spans="9:27" ht="15.75" customHeight="1"/>
    <row r="111" spans="9:27" ht="15.75" customHeight="1"/>
    <row r="112" spans="9:2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A39:AA40"/>
    <mergeCell ref="AA41:AA42"/>
    <mergeCell ref="Z50:Z57"/>
    <mergeCell ref="A2:M2"/>
    <mergeCell ref="N2:S2"/>
    <mergeCell ref="T2:AB2"/>
    <mergeCell ref="Z21:Z26"/>
    <mergeCell ref="Z29:Z33"/>
    <mergeCell ref="Z37:Z38"/>
    <mergeCell ref="Z39:Z42"/>
  </mergeCells>
  <conditionalFormatting sqref="Q4:S14 N4:O14 B4:L14">
    <cfRule type="colorScale" priority="13">
      <colorScale>
        <cfvo type="min"/>
        <cfvo type="max"/>
        <color rgb="FFFCFCFF"/>
        <color rgb="FF63BE7B"/>
      </colorScale>
    </cfRule>
  </conditionalFormatting>
  <conditionalFormatting sqref="M4:M14">
    <cfRule type="colorScale" priority="16">
      <colorScale>
        <cfvo type="min"/>
        <cfvo type="max"/>
        <color rgb="FFFCFCFF"/>
        <color rgb="FF63BE7B"/>
      </colorScale>
    </cfRule>
  </conditionalFormatting>
  <conditionalFormatting sqref="Q4:S14 N4:O14">
    <cfRule type="colorScale" priority="17">
      <colorScale>
        <cfvo type="min"/>
        <cfvo type="max"/>
        <color rgb="FFFCFCFF"/>
        <color rgb="FF63BE7B"/>
      </colorScale>
    </cfRule>
  </conditionalFormatting>
  <conditionalFormatting sqref="Q4:Q14 O4:O14">
    <cfRule type="colorScale" priority="19">
      <colorScale>
        <cfvo type="min"/>
        <cfvo type="max"/>
        <color rgb="FFFCFCFF"/>
        <color rgb="FFF8696B"/>
      </colorScale>
    </cfRule>
  </conditionalFormatting>
  <conditionalFormatting sqref="O4:O14">
    <cfRule type="colorScale" priority="21">
      <colorScale>
        <cfvo type="min"/>
        <cfvo type="max"/>
        <color rgb="FFFCFCFF"/>
        <color rgb="FF63BE7B"/>
      </colorScale>
    </cfRule>
  </conditionalFormatting>
  <conditionalFormatting sqref="B4:L14">
    <cfRule type="colorScale" priority="2">
      <colorScale>
        <cfvo type="min"/>
        <cfvo type="max"/>
        <color rgb="FFFCFCFF"/>
        <color rgb="FF63BE7B"/>
      </colorScale>
    </cfRule>
  </conditionalFormatting>
  <conditionalFormatting sqref="B19:L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{D66F7D71-65CB-41E8-ADDE-B60D4455EB26}</x14:id>
        </ext>
      </extLst>
    </cfRule>
  </conditionalFormatting>
  <hyperlinks>
    <hyperlink ref="AA44" r:id="rId1" xr:uid="{00000000-0004-0000-0000-000000000000}"/>
    <hyperlink ref="AA45" r:id="rId2" xr:uid="{00000000-0004-0000-0000-000001000000}"/>
    <hyperlink ref="AA46" r:id="rId3" xr:uid="{00000000-0004-0000-0000-000002000000}"/>
  </hyperlinks>
  <pageMargins left="0.7" right="0.7" top="0.75" bottom="0.75" header="0" footer="0"/>
  <pageSetup paperSize="9" orientation="portrait" r:id="rId4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6F7D71-65CB-41E8-ADDE-B60D4455EB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B19:L19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9"/>
  <sheetViews>
    <sheetView workbookViewId="0">
      <selection activeCell="M13" sqref="M13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14" width="8.7109375" customWidth="1"/>
    <col min="15" max="15" width="13.85546875" customWidth="1"/>
  </cols>
  <sheetData>
    <row r="1" spans="1:15">
      <c r="A1" s="53" t="s">
        <v>70</v>
      </c>
      <c r="B1" s="54">
        <v>40179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 t="s">
        <v>71</v>
      </c>
      <c r="B2" s="4" t="s">
        <v>8</v>
      </c>
      <c r="C2" s="70" t="s">
        <v>10</v>
      </c>
      <c r="D2" s="70" t="s">
        <v>93</v>
      </c>
      <c r="E2" s="70" t="s">
        <v>92</v>
      </c>
      <c r="F2" s="70" t="s">
        <v>95</v>
      </c>
      <c r="G2" s="70" t="s">
        <v>13</v>
      </c>
      <c r="H2" s="70" t="s">
        <v>91</v>
      </c>
      <c r="I2" s="70" t="s">
        <v>94</v>
      </c>
      <c r="J2" s="70" t="s">
        <v>12</v>
      </c>
      <c r="K2" s="70" t="s">
        <v>15</v>
      </c>
      <c r="L2" s="70" t="s">
        <v>14</v>
      </c>
      <c r="M2" s="70" t="s">
        <v>16</v>
      </c>
      <c r="N2" s="4"/>
      <c r="O2" s="4"/>
    </row>
    <row r="3" spans="1:15" s="69" customFormat="1">
      <c r="A3" s="4"/>
      <c r="B3" s="70" t="s">
        <v>10</v>
      </c>
      <c r="C3" s="70">
        <v>1</v>
      </c>
      <c r="D3" s="70">
        <v>0.234041670832801</v>
      </c>
      <c r="E3" s="70">
        <v>0.23898222248435899</v>
      </c>
      <c r="F3" s="70">
        <v>0.25431489397796597</v>
      </c>
      <c r="G3" s="70">
        <v>0.33465864101831</v>
      </c>
      <c r="H3" s="70">
        <v>0.37935826433893</v>
      </c>
      <c r="I3" s="70">
        <v>0.30938649195203499</v>
      </c>
      <c r="J3" s="70">
        <v>0.35445494777925901</v>
      </c>
      <c r="K3" s="70">
        <v>0.457949563391647</v>
      </c>
      <c r="L3" s="70">
        <v>0.31172566301105897</v>
      </c>
      <c r="M3" s="70">
        <v>0.47603789426550303</v>
      </c>
      <c r="N3" s="4"/>
      <c r="O3" s="4"/>
    </row>
    <row r="4" spans="1:15">
      <c r="A4" s="4"/>
      <c r="B4" s="70" t="s">
        <v>93</v>
      </c>
      <c r="C4" s="70">
        <v>0.234041670832801</v>
      </c>
      <c r="D4" s="70">
        <v>1</v>
      </c>
      <c r="E4" s="70">
        <v>0.32346393234766802</v>
      </c>
      <c r="F4" s="70">
        <v>0.32959439842822402</v>
      </c>
      <c r="G4" s="70">
        <v>0.31771159674159999</v>
      </c>
      <c r="H4" s="70">
        <v>0.25321972498968798</v>
      </c>
      <c r="I4" s="70">
        <v>0.33212422608243403</v>
      </c>
      <c r="J4" s="70">
        <v>0.26449299004782301</v>
      </c>
      <c r="K4" s="70">
        <v>0.43464381631496901</v>
      </c>
      <c r="L4" s="70">
        <v>0.60160768539207699</v>
      </c>
      <c r="M4" s="70">
        <v>0.40206920018217401</v>
      </c>
      <c r="N4" s="4"/>
      <c r="O4" s="4"/>
    </row>
    <row r="5" spans="1:15">
      <c r="A5" s="4"/>
      <c r="B5" s="70" t="s">
        <v>92</v>
      </c>
      <c r="C5" s="70">
        <v>0.23898222248435899</v>
      </c>
      <c r="D5" s="70">
        <v>0.32346393234766802</v>
      </c>
      <c r="E5" s="70">
        <v>1</v>
      </c>
      <c r="F5" s="70">
        <v>0.42633094886269701</v>
      </c>
      <c r="G5" s="70">
        <v>0.30001005025950001</v>
      </c>
      <c r="H5" s="70">
        <v>0.31218782847941701</v>
      </c>
      <c r="I5" s="70">
        <v>0.53149365668485804</v>
      </c>
      <c r="J5" s="70">
        <v>0.38067429188152602</v>
      </c>
      <c r="K5" s="70">
        <v>0.41526134521977298</v>
      </c>
      <c r="L5" s="70">
        <v>0.54728983594174496</v>
      </c>
      <c r="M5" s="70">
        <v>0.55989677886454403</v>
      </c>
      <c r="N5" s="4"/>
      <c r="O5" s="4"/>
    </row>
    <row r="6" spans="1:15">
      <c r="A6" s="4"/>
      <c r="B6" s="70" t="s">
        <v>95</v>
      </c>
      <c r="C6" s="70">
        <v>0.25431489397796597</v>
      </c>
      <c r="D6" s="70">
        <v>0.32959439842822402</v>
      </c>
      <c r="E6" s="70">
        <v>0.42633094886269701</v>
      </c>
      <c r="F6" s="70">
        <v>1</v>
      </c>
      <c r="G6" s="70">
        <v>0.34860492670592802</v>
      </c>
      <c r="H6" s="70">
        <v>0.38781447630479599</v>
      </c>
      <c r="I6" s="70">
        <v>0.54175432304354698</v>
      </c>
      <c r="J6" s="70">
        <v>0.42061329071808501</v>
      </c>
      <c r="K6" s="70">
        <v>0.48547071723352597</v>
      </c>
      <c r="L6" s="70">
        <v>0.62527209359568103</v>
      </c>
      <c r="M6" s="70">
        <v>0.60218455686510797</v>
      </c>
      <c r="N6" s="4"/>
      <c r="O6" s="4"/>
    </row>
    <row r="7" spans="1:15">
      <c r="A7" s="4"/>
      <c r="B7" s="70" t="s">
        <v>13</v>
      </c>
      <c r="C7" s="70">
        <v>0.33465864101831</v>
      </c>
      <c r="D7" s="70">
        <v>0.31771159674159999</v>
      </c>
      <c r="E7" s="70">
        <v>0.30001005025950001</v>
      </c>
      <c r="F7" s="70">
        <v>0.34860492670592802</v>
      </c>
      <c r="G7" s="70">
        <v>1</v>
      </c>
      <c r="H7" s="70">
        <v>0.61217415695516797</v>
      </c>
      <c r="I7" s="70">
        <v>0.50660597379168804</v>
      </c>
      <c r="J7" s="70">
        <v>0.635959912096141</v>
      </c>
      <c r="K7" s="70">
        <v>0.56758513349558304</v>
      </c>
      <c r="L7" s="70">
        <v>0.48794063541426502</v>
      </c>
      <c r="M7" s="70">
        <v>0.74501029411135</v>
      </c>
      <c r="N7" s="4"/>
      <c r="O7" s="4"/>
    </row>
    <row r="8" spans="1:15">
      <c r="A8" s="4"/>
      <c r="B8" s="70" t="s">
        <v>91</v>
      </c>
      <c r="C8" s="70">
        <v>0.37935826433893</v>
      </c>
      <c r="D8" s="70">
        <v>0.25321972498968798</v>
      </c>
      <c r="E8" s="70">
        <v>0.31218782847941701</v>
      </c>
      <c r="F8" s="70">
        <v>0.38781447630479599</v>
      </c>
      <c r="G8" s="70">
        <v>0.61217415695516797</v>
      </c>
      <c r="H8" s="70">
        <v>1</v>
      </c>
      <c r="I8" s="70">
        <v>0.49022492896651798</v>
      </c>
      <c r="J8" s="70">
        <v>0.74890236740425598</v>
      </c>
      <c r="K8" s="70">
        <v>0.58592767708364801</v>
      </c>
      <c r="L8" s="70">
        <v>0.44660210618416402</v>
      </c>
      <c r="M8" s="70">
        <v>0.774209253707829</v>
      </c>
      <c r="N8" s="4"/>
      <c r="O8" s="4"/>
    </row>
    <row r="9" spans="1:15">
      <c r="A9" s="4"/>
      <c r="B9" s="70" t="s">
        <v>94</v>
      </c>
      <c r="C9" s="70">
        <v>0.30938649195203499</v>
      </c>
      <c r="D9" s="70">
        <v>0.33212422608243403</v>
      </c>
      <c r="E9" s="70">
        <v>0.53149365668485804</v>
      </c>
      <c r="F9" s="70">
        <v>0.54175432304354698</v>
      </c>
      <c r="G9" s="70">
        <v>0.50660597379168804</v>
      </c>
      <c r="H9" s="70">
        <v>0.49022492896651798</v>
      </c>
      <c r="I9" s="70">
        <v>1</v>
      </c>
      <c r="J9" s="70">
        <v>0.53831101536730597</v>
      </c>
      <c r="K9" s="70">
        <v>0.52409727511402604</v>
      </c>
      <c r="L9" s="70">
        <v>0.63941272317207398</v>
      </c>
      <c r="M9" s="70">
        <v>0.74656192869943505</v>
      </c>
      <c r="N9" s="4"/>
      <c r="O9" s="4"/>
    </row>
    <row r="10" spans="1:15">
      <c r="A10" s="4"/>
      <c r="B10" s="70" t="s">
        <v>12</v>
      </c>
      <c r="C10" s="70">
        <v>0.35445494777925901</v>
      </c>
      <c r="D10" s="70">
        <v>0.26449299004782301</v>
      </c>
      <c r="E10" s="70">
        <v>0.38067429188152602</v>
      </c>
      <c r="F10" s="70">
        <v>0.42061329071808501</v>
      </c>
      <c r="G10" s="70">
        <v>0.635959912096141</v>
      </c>
      <c r="H10" s="70">
        <v>0.74890236740425598</v>
      </c>
      <c r="I10" s="70">
        <v>0.53831101536730597</v>
      </c>
      <c r="J10" s="70">
        <v>1</v>
      </c>
      <c r="K10" s="70">
        <v>0.59718651391113298</v>
      </c>
      <c r="L10" s="70">
        <v>0.461828351392151</v>
      </c>
      <c r="M10" s="70">
        <v>0.81504815813021003</v>
      </c>
      <c r="N10" s="4"/>
      <c r="O10" s="4"/>
    </row>
    <row r="11" spans="1:15">
      <c r="A11" s="4"/>
      <c r="B11" s="70" t="s">
        <v>15</v>
      </c>
      <c r="C11" s="70">
        <v>0.457949563391647</v>
      </c>
      <c r="D11" s="70">
        <v>0.43464381631496901</v>
      </c>
      <c r="E11" s="70">
        <v>0.41526134521977298</v>
      </c>
      <c r="F11" s="70">
        <v>0.48547071723352597</v>
      </c>
      <c r="G11" s="70">
        <v>0.56758513349558304</v>
      </c>
      <c r="H11" s="70">
        <v>0.58592767708364801</v>
      </c>
      <c r="I11" s="70">
        <v>0.52409727511402604</v>
      </c>
      <c r="J11" s="70">
        <v>0.59718651391113298</v>
      </c>
      <c r="K11" s="70">
        <v>1</v>
      </c>
      <c r="L11" s="70">
        <v>0.65337004017832301</v>
      </c>
      <c r="M11" s="70">
        <v>0.74793715089255997</v>
      </c>
      <c r="N11" s="4"/>
      <c r="O11" s="4"/>
    </row>
    <row r="12" spans="1:15">
      <c r="A12" s="4"/>
      <c r="B12" s="70" t="s">
        <v>14</v>
      </c>
      <c r="C12" s="70">
        <v>0.31172566301105897</v>
      </c>
      <c r="D12" s="70">
        <v>0.60160768539207699</v>
      </c>
      <c r="E12" s="70">
        <v>0.54728983594174496</v>
      </c>
      <c r="F12" s="70">
        <v>0.62527209359568103</v>
      </c>
      <c r="G12" s="70">
        <v>0.48794063541426502</v>
      </c>
      <c r="H12" s="70">
        <v>0.44660210618416402</v>
      </c>
      <c r="I12" s="70">
        <v>0.63941272317207398</v>
      </c>
      <c r="J12" s="70">
        <v>0.461828351392151</v>
      </c>
      <c r="K12" s="70">
        <v>0.65337004017832301</v>
      </c>
      <c r="L12" s="70">
        <v>1</v>
      </c>
      <c r="M12" s="70">
        <v>0.717007975690511</v>
      </c>
      <c r="N12" s="4"/>
      <c r="O12" s="4"/>
    </row>
    <row r="13" spans="1:15">
      <c r="A13" s="4"/>
      <c r="B13" s="70" t="s">
        <v>16</v>
      </c>
      <c r="C13" s="70">
        <v>0.47603789426550303</v>
      </c>
      <c r="D13" s="70">
        <v>0.40206920018217401</v>
      </c>
      <c r="E13" s="70">
        <v>0.55989677886454403</v>
      </c>
      <c r="F13" s="70">
        <v>0.60218455686510797</v>
      </c>
      <c r="G13" s="70">
        <v>0.74501029411135</v>
      </c>
      <c r="H13" s="70">
        <v>0.774209253707829</v>
      </c>
      <c r="I13" s="70">
        <v>0.74656192869943505</v>
      </c>
      <c r="J13" s="70">
        <v>0.81504815813021003</v>
      </c>
      <c r="K13" s="70">
        <v>0.74793715089255997</v>
      </c>
      <c r="L13" s="70">
        <v>0.717007975690511</v>
      </c>
      <c r="M13" s="70">
        <v>1</v>
      </c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6" t="s">
        <v>72</v>
      </c>
    </row>
    <row r="15" spans="1:15">
      <c r="A15" s="4"/>
      <c r="C15" s="4">
        <f t="shared" ref="C15:M15" si="0">SUM(C4:C13) -1</f>
        <v>2.3509102530518691</v>
      </c>
      <c r="D15" s="4">
        <f t="shared" si="0"/>
        <v>3.2589275705266569</v>
      </c>
      <c r="E15" s="4">
        <f t="shared" si="0"/>
        <v>3.7966086685417277</v>
      </c>
      <c r="F15" s="4">
        <f t="shared" si="0"/>
        <v>4.1676397317575926</v>
      </c>
      <c r="G15" s="4">
        <f t="shared" si="0"/>
        <v>4.5216026795712239</v>
      </c>
      <c r="H15" s="4">
        <f t="shared" si="0"/>
        <v>4.611262520075484</v>
      </c>
      <c r="I15" s="4">
        <f t="shared" si="0"/>
        <v>4.8505860509218861</v>
      </c>
      <c r="J15" s="4">
        <f t="shared" si="0"/>
        <v>4.8630168909486313</v>
      </c>
      <c r="K15" s="4">
        <f t="shared" si="0"/>
        <v>5.0114796694435402</v>
      </c>
      <c r="L15" s="4">
        <f t="shared" si="0"/>
        <v>5.1803314469609907</v>
      </c>
      <c r="M15" s="4">
        <f t="shared" si="0"/>
        <v>6.1099252971437217</v>
      </c>
      <c r="N15" s="4"/>
      <c r="O15" s="46">
        <f>SUM(C15:M15)/(POWER(COUNTA(B4:B13),2) - COUNTA(B4:B13))</f>
        <v>0.54135878643270352</v>
      </c>
    </row>
    <row r="16" spans="1:15">
      <c r="A16" s="4"/>
      <c r="N16" s="4"/>
    </row>
    <row r="17" spans="1:14">
      <c r="A17" s="4"/>
      <c r="N17" s="4"/>
    </row>
    <row r="18" spans="1:14">
      <c r="A18" s="4"/>
      <c r="N18" s="4"/>
    </row>
    <row r="19" spans="1:14">
      <c r="A19" s="4"/>
      <c r="N19" s="4"/>
    </row>
    <row r="20" spans="1:14" ht="15.75" customHeight="1">
      <c r="A20" s="4"/>
      <c r="N20" s="4"/>
    </row>
    <row r="21" spans="1:14" ht="15.75" customHeight="1">
      <c r="A21" s="4"/>
      <c r="N21" s="4"/>
    </row>
    <row r="22" spans="1:14" ht="15.75" customHeight="1">
      <c r="A22" s="4"/>
      <c r="N22" s="4"/>
    </row>
    <row r="23" spans="1:14" ht="15.75" customHeight="1">
      <c r="A23" s="4"/>
      <c r="N23" s="4"/>
    </row>
    <row r="24" spans="1:14" ht="15.75" customHeight="1">
      <c r="A24" s="4"/>
      <c r="N24" s="4"/>
    </row>
    <row r="25" spans="1:14" ht="15.75" customHeight="1">
      <c r="A25" s="4"/>
      <c r="N25" s="4"/>
    </row>
    <row r="26" spans="1:14" ht="15.75" customHeight="1">
      <c r="A26" s="4"/>
      <c r="N26" s="4"/>
    </row>
    <row r="27" spans="1:14" ht="15.75" customHeight="1">
      <c r="A27" s="4"/>
      <c r="N27" s="4"/>
    </row>
    <row r="28" spans="1:14" ht="15.75" customHeight="1">
      <c r="A28" s="4"/>
      <c r="N28" s="4"/>
    </row>
    <row r="29" spans="1:14" ht="15.75" customHeight="1">
      <c r="A29" s="4"/>
      <c r="N29" s="4"/>
    </row>
    <row r="30" spans="1:14" ht="15.75" customHeight="1">
      <c r="A30" s="4"/>
      <c r="N30" s="4"/>
    </row>
    <row r="31" spans="1:14" ht="15.75" customHeight="1">
      <c r="A31" s="4"/>
      <c r="N31" s="4"/>
    </row>
    <row r="32" spans="1:14" ht="15.75" customHeight="1">
      <c r="A32" s="4"/>
      <c r="N32" s="4"/>
    </row>
    <row r="33" spans="1:14" ht="15.75" customHeight="1">
      <c r="A33" s="4"/>
      <c r="N33" s="4"/>
    </row>
    <row r="34" spans="1:14" ht="15.75" customHeight="1">
      <c r="A34" s="4"/>
      <c r="N34" s="4"/>
    </row>
    <row r="35" spans="1:14" ht="15.75" customHeight="1">
      <c r="A35" s="4"/>
      <c r="N35" s="4"/>
    </row>
    <row r="36" spans="1:14" ht="15.75" customHeight="1">
      <c r="A36" s="4"/>
      <c r="N36" s="4"/>
    </row>
    <row r="37" spans="1:14" ht="15.75" customHeight="1">
      <c r="A37" s="4"/>
      <c r="N37" s="4"/>
    </row>
    <row r="38" spans="1:14" ht="15.75" customHeight="1">
      <c r="A38" s="4"/>
      <c r="N38" s="4"/>
    </row>
    <row r="39" spans="1:14" ht="15.75" customHeight="1">
      <c r="A39" s="4"/>
      <c r="N39" s="4"/>
    </row>
    <row r="40" spans="1:14" ht="15.75" customHeight="1">
      <c r="A40" s="4"/>
      <c r="N40" s="4"/>
    </row>
    <row r="41" spans="1:14" ht="15.75" customHeight="1">
      <c r="A41" s="4"/>
      <c r="N41" s="4"/>
    </row>
    <row r="42" spans="1:14" ht="15.75" customHeight="1">
      <c r="A42" s="4"/>
      <c r="N42" s="4"/>
    </row>
    <row r="43" spans="1:14" ht="15.75" customHeight="1">
      <c r="A43" s="4"/>
      <c r="N43" s="4"/>
    </row>
    <row r="44" spans="1:14" ht="15.75" customHeight="1">
      <c r="A44" s="4"/>
      <c r="N44" s="4"/>
    </row>
    <row r="45" spans="1:14" ht="15.75" customHeight="1">
      <c r="A45" s="4"/>
      <c r="N45" s="4"/>
    </row>
    <row r="46" spans="1:14" ht="15.75" customHeight="1">
      <c r="A46" s="4"/>
      <c r="N46" s="4"/>
    </row>
    <row r="47" spans="1:14" ht="15.75" customHeight="1">
      <c r="A47" s="4"/>
      <c r="N47" s="4"/>
    </row>
    <row r="48" spans="1:14" ht="15.75" customHeight="1">
      <c r="A48" s="4"/>
      <c r="N48" s="4"/>
    </row>
    <row r="49" spans="1:14" ht="15.75" customHeight="1">
      <c r="A49" s="4"/>
      <c r="N49" s="4"/>
    </row>
    <row r="50" spans="1:14" ht="15.75" customHeight="1">
      <c r="A50" s="4"/>
      <c r="N50" s="4"/>
    </row>
    <row r="51" spans="1:14" ht="15.75" customHeight="1">
      <c r="A51" s="4"/>
      <c r="N51" s="4"/>
    </row>
    <row r="52" spans="1:14" ht="15.75" customHeight="1">
      <c r="A52" s="4"/>
      <c r="N52" s="4"/>
    </row>
    <row r="53" spans="1:14" ht="15.75" customHeight="1">
      <c r="A53" s="4"/>
      <c r="N53" s="4"/>
    </row>
    <row r="54" spans="1:14" ht="15.75" customHeight="1">
      <c r="A54" s="4"/>
      <c r="N54" s="4"/>
    </row>
    <row r="55" spans="1:14" ht="15.75" customHeight="1">
      <c r="A55" s="4"/>
      <c r="N55" s="4"/>
    </row>
    <row r="56" spans="1:14" ht="15.75" customHeight="1">
      <c r="A56" s="4"/>
      <c r="N56" s="4"/>
    </row>
    <row r="57" spans="1:14" ht="15.75" customHeight="1">
      <c r="A57" s="4"/>
      <c r="N57" s="4"/>
    </row>
    <row r="58" spans="1:14" ht="15.75" customHeight="1">
      <c r="A58" s="4"/>
      <c r="N58" s="4"/>
    </row>
    <row r="59" spans="1:14" ht="15.75" customHeight="1">
      <c r="A59" s="4"/>
      <c r="N59" s="4"/>
    </row>
    <row r="60" spans="1:14" ht="15.75" customHeight="1">
      <c r="A60" s="4"/>
      <c r="N60" s="4"/>
    </row>
    <row r="61" spans="1:14" ht="15.75" customHeight="1">
      <c r="A61" s="4"/>
      <c r="N61" s="4"/>
    </row>
    <row r="62" spans="1:14" ht="15.75" customHeight="1">
      <c r="A62" s="4"/>
      <c r="N62" s="4"/>
    </row>
    <row r="63" spans="1:14" ht="15.75" customHeight="1">
      <c r="A63" s="4"/>
      <c r="N63" s="4"/>
    </row>
    <row r="64" spans="1:14" ht="15.75" customHeight="1">
      <c r="A64" s="4"/>
      <c r="N64" s="4"/>
    </row>
    <row r="65" spans="1:14" ht="15.75" customHeight="1">
      <c r="A65" s="4"/>
      <c r="N65" s="4"/>
    </row>
    <row r="66" spans="1:14" ht="15.75" customHeight="1">
      <c r="A66" s="4"/>
      <c r="N66" s="4"/>
    </row>
    <row r="67" spans="1:14" ht="15.75" customHeight="1">
      <c r="A67" s="4"/>
      <c r="N67" s="4"/>
    </row>
    <row r="68" spans="1:14" ht="15.75" customHeight="1">
      <c r="A68" s="4"/>
      <c r="N68" s="4"/>
    </row>
    <row r="69" spans="1:14" ht="15.75" customHeight="1">
      <c r="A69" s="4"/>
      <c r="N69" s="4"/>
    </row>
    <row r="70" spans="1:14" ht="15.75" customHeight="1">
      <c r="A70" s="4"/>
      <c r="N70" s="4"/>
    </row>
    <row r="71" spans="1:14" ht="15.75" customHeight="1">
      <c r="A71" s="4"/>
      <c r="N71" s="4"/>
    </row>
    <row r="72" spans="1:14" ht="15.75" customHeight="1">
      <c r="A72" s="4"/>
      <c r="N72" s="4"/>
    </row>
    <row r="73" spans="1:14" ht="15.75" customHeight="1">
      <c r="A73" s="4"/>
      <c r="N73" s="4"/>
    </row>
    <row r="74" spans="1:14" ht="15.75" customHeight="1">
      <c r="A74" s="4"/>
      <c r="N74" s="4"/>
    </row>
    <row r="75" spans="1:14" ht="15.75" customHeight="1">
      <c r="A75" s="4"/>
      <c r="N75" s="4"/>
    </row>
    <row r="76" spans="1:14" ht="15.75" customHeight="1">
      <c r="A76" s="4"/>
      <c r="N76" s="4"/>
    </row>
    <row r="77" spans="1:14" ht="15.75" customHeight="1">
      <c r="A77" s="4"/>
      <c r="N77" s="4"/>
    </row>
    <row r="78" spans="1:14" ht="15.75" customHeight="1">
      <c r="A78" s="4"/>
      <c r="N78" s="4"/>
    </row>
    <row r="79" spans="1:14" ht="15.75" customHeight="1">
      <c r="A79" s="4"/>
      <c r="N79" s="4"/>
    </row>
    <row r="80" spans="1:14" ht="15.75" customHeight="1">
      <c r="A80" s="4"/>
      <c r="N80" s="4"/>
    </row>
    <row r="81" spans="1:14" ht="15.75" customHeight="1">
      <c r="A81" s="4"/>
      <c r="N81" s="4"/>
    </row>
    <row r="82" spans="1:14" ht="15.75" customHeight="1">
      <c r="A82" s="4"/>
      <c r="N82" s="4"/>
    </row>
    <row r="83" spans="1:14" ht="15.75" customHeight="1">
      <c r="A83" s="4"/>
      <c r="N83" s="4"/>
    </row>
    <row r="84" spans="1:14" ht="15.75" customHeight="1">
      <c r="A84" s="4"/>
      <c r="N84" s="4"/>
    </row>
    <row r="85" spans="1:14" ht="15.75" customHeight="1">
      <c r="A85" s="4"/>
      <c r="N85" s="4"/>
    </row>
    <row r="86" spans="1:14" ht="15.75" customHeight="1">
      <c r="A86" s="4"/>
      <c r="N86" s="4"/>
    </row>
    <row r="87" spans="1:14" ht="15.75" customHeight="1">
      <c r="A87" s="4"/>
      <c r="N87" s="4"/>
    </row>
    <row r="88" spans="1:14" ht="15.75" customHeight="1">
      <c r="A88" s="4"/>
      <c r="N88" s="4"/>
    </row>
    <row r="89" spans="1:14" ht="15.75" customHeight="1">
      <c r="A89" s="4"/>
      <c r="N89" s="4"/>
    </row>
    <row r="90" spans="1:14" ht="15.75" customHeight="1">
      <c r="A90" s="4"/>
      <c r="N90" s="4"/>
    </row>
    <row r="91" spans="1:14" ht="15.75" customHeight="1">
      <c r="A91" s="4"/>
      <c r="N91" s="4"/>
    </row>
    <row r="92" spans="1:14" ht="15.75" customHeight="1">
      <c r="A92" s="4"/>
      <c r="N92" s="4"/>
    </row>
    <row r="93" spans="1:14" ht="15.75" customHeight="1">
      <c r="A93" s="4"/>
      <c r="N93" s="4"/>
    </row>
    <row r="94" spans="1:14" ht="15.75" customHeight="1">
      <c r="A94" s="4"/>
      <c r="N94" s="4"/>
    </row>
    <row r="95" spans="1:14" ht="15.75" customHeight="1">
      <c r="A95" s="4"/>
      <c r="N95" s="4"/>
    </row>
    <row r="96" spans="1:14" ht="15.75" customHeight="1">
      <c r="A96" s="4"/>
      <c r="N96" s="4"/>
    </row>
    <row r="97" spans="1:14" ht="15.75" customHeight="1">
      <c r="A97" s="4"/>
      <c r="N97" s="4"/>
    </row>
    <row r="98" spans="1:14" ht="15.75" customHeight="1">
      <c r="A98" s="4"/>
      <c r="N98" s="4"/>
    </row>
    <row r="99" spans="1:14" ht="15.75" customHeight="1">
      <c r="A99" s="4"/>
      <c r="N99" s="4"/>
    </row>
    <row r="100" spans="1:14" ht="15.75" customHeight="1"/>
    <row r="101" spans="1:14" ht="15.75" customHeight="1"/>
    <row r="102" spans="1:14" ht="15.75" customHeight="1"/>
    <row r="103" spans="1:14" ht="15.75" customHeight="1"/>
    <row r="104" spans="1:14" ht="15.75" customHeight="1"/>
    <row r="105" spans="1:14" ht="15.75" customHeight="1"/>
    <row r="106" spans="1:14" ht="15.75" customHeight="1"/>
    <row r="107" spans="1:14" ht="15.75" customHeight="1"/>
    <row r="108" spans="1:14" ht="15.75" customHeight="1"/>
    <row r="109" spans="1:14" ht="15.75" customHeight="1"/>
    <row r="110" spans="1:14" ht="15.75" customHeight="1"/>
    <row r="111" spans="1:14" ht="15.75" customHeight="1"/>
    <row r="112" spans="1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99"/>
  <sheetViews>
    <sheetView topLeftCell="H1" workbookViewId="0">
      <selection activeCell="H8" sqref="A8:XFD8"/>
    </sheetView>
  </sheetViews>
  <sheetFormatPr defaultColWidth="14.42578125" defaultRowHeight="15" customHeight="1"/>
  <cols>
    <col min="1" max="1" width="8.7109375" customWidth="1"/>
    <col min="2" max="2" width="24.140625" customWidth="1"/>
    <col min="3" max="3" width="26.7109375" customWidth="1"/>
    <col min="4" max="5" width="20.5703125" customWidth="1"/>
    <col min="6" max="6" width="23.7109375" customWidth="1"/>
    <col min="7" max="7" width="16" customWidth="1"/>
    <col min="8" max="9" width="8.7109375" customWidth="1"/>
    <col min="10" max="10" width="21.5703125" customWidth="1"/>
    <col min="11" max="12" width="15.28515625" customWidth="1"/>
    <col min="13" max="13" width="11" customWidth="1"/>
    <col min="15" max="15" width="20.5703125" bestFit="1" customWidth="1"/>
    <col min="16" max="16" width="20.5703125" style="56" customWidth="1"/>
    <col min="17" max="17" width="20" bestFit="1" customWidth="1"/>
  </cols>
  <sheetData>
    <row r="1" spans="1:19">
      <c r="A1" s="53" t="s">
        <v>70</v>
      </c>
      <c r="B1" s="54">
        <v>44197</v>
      </c>
      <c r="C1" s="4"/>
      <c r="D1" s="4" t="s">
        <v>73</v>
      </c>
      <c r="E1" s="4">
        <v>6</v>
      </c>
      <c r="F1" s="4"/>
      <c r="G1" s="4"/>
      <c r="H1" s="4"/>
      <c r="I1" s="53" t="s">
        <v>70</v>
      </c>
      <c r="J1" s="54">
        <v>44197</v>
      </c>
      <c r="K1" s="4"/>
      <c r="L1" s="4" t="s">
        <v>73</v>
      </c>
      <c r="M1" s="4">
        <v>10</v>
      </c>
    </row>
    <row r="2" spans="1:19">
      <c r="B2" s="4" t="s">
        <v>74</v>
      </c>
      <c r="C2" s="8" t="s">
        <v>75</v>
      </c>
      <c r="D2" s="8" t="s">
        <v>76</v>
      </c>
      <c r="E2" s="8" t="s">
        <v>77</v>
      </c>
      <c r="F2" s="12" t="s">
        <v>78</v>
      </c>
      <c r="G2" s="4"/>
      <c r="J2" s="4" t="s">
        <v>79</v>
      </c>
      <c r="K2" s="8" t="s">
        <v>80</v>
      </c>
      <c r="L2" s="8" t="s">
        <v>81</v>
      </c>
      <c r="M2" s="65" t="s">
        <v>96</v>
      </c>
      <c r="N2" s="65" t="s">
        <v>97</v>
      </c>
      <c r="O2" t="s">
        <v>88</v>
      </c>
      <c r="P2" s="63" t="s">
        <v>90</v>
      </c>
      <c r="Q2" s="66" t="s">
        <v>98</v>
      </c>
      <c r="R2" s="66" t="s">
        <v>89</v>
      </c>
      <c r="S2" s="64"/>
    </row>
    <row r="3" spans="1:19">
      <c r="A3" s="70" t="s">
        <v>12</v>
      </c>
      <c r="B3" s="70">
        <v>1.37046088493041E-3</v>
      </c>
      <c r="C3" s="14">
        <f>B3*MyPortfolio!$B$1</f>
        <v>0.34535614300246331</v>
      </c>
      <c r="D3" s="15">
        <f t="shared" ref="D3:D13" si="0">EXP(C3+0.5*POWER(VLOOKUP($A3,$I$3:$K$13,3,FALSE),2))-1</f>
        <v>0.43206482273403668</v>
      </c>
      <c r="E3" s="15">
        <f t="shared" ref="E3:E13" si="1">EXP(C3-POWER(VLOOKUP($A3,$I$3:$K$13,3,FALSE),2))-1</f>
        <v>0.37414780313112828</v>
      </c>
      <c r="F3" s="18">
        <f t="shared" ref="F3:F13" si="2">EXP(C3)-1</f>
        <v>0.41249287955460345</v>
      </c>
      <c r="G3" s="25"/>
      <c r="I3" s="70" t="s">
        <v>12</v>
      </c>
      <c r="J3" s="70">
        <v>1.0921580780817801E-4</v>
      </c>
      <c r="K3" s="8">
        <f>SQRT(J3*MyPortfolio!$B$1)</f>
        <v>0.16589871478604304</v>
      </c>
      <c r="L3" s="15">
        <f t="shared" ref="L3:L13" si="3">SQRT(EXP(2*VLOOKUP($I3,$A$3:$C$13,3,FALSE)+POWER(K3,2))*(EXP(POWER(K3,2))-1))</f>
        <v>0.23922180158951847</v>
      </c>
      <c r="M3" s="68">
        <f>EXP(K3)-1</f>
        <v>0.18045353317944102</v>
      </c>
      <c r="N3" s="68">
        <f>EXP(-K3)-1</f>
        <v>-0.15286796820659798</v>
      </c>
      <c r="O3" s="62">
        <f>(F3+1)*(M3+1) - 1</f>
        <v>0.66738221026103428</v>
      </c>
      <c r="P3" s="62">
        <f>(F3+1)*(N3+1) - 1</f>
        <v>0.19656796295080436</v>
      </c>
      <c r="Q3" s="67">
        <f>$O3-$F3</f>
        <v>0.25488933070643083</v>
      </c>
      <c r="R3" s="67">
        <f>$P3-$F3</f>
        <v>-0.21592491660379909</v>
      </c>
    </row>
    <row r="4" spans="1:19">
      <c r="A4" s="70" t="s">
        <v>94</v>
      </c>
      <c r="B4" s="70">
        <v>1.90064323587616E-3</v>
      </c>
      <c r="C4" s="14">
        <f>B4*MyPortfolio!$B$1</f>
        <v>0.47896209544079232</v>
      </c>
      <c r="D4" s="15">
        <f t="shared" si="0"/>
        <v>0.65081613096693802</v>
      </c>
      <c r="E4" s="15">
        <f t="shared" si="1"/>
        <v>0.54395407256726402</v>
      </c>
      <c r="F4" s="18">
        <f t="shared" si="2"/>
        <v>0.61439794135650794</v>
      </c>
      <c r="G4" s="25"/>
      <c r="I4" s="70" t="s">
        <v>94</v>
      </c>
      <c r="J4" s="70">
        <v>1.7704519852068299E-4</v>
      </c>
      <c r="K4" s="8">
        <f>SQRT(J4*MyPortfolio!$B$1)</f>
        <v>0.21122355462213988</v>
      </c>
      <c r="L4" s="15">
        <f t="shared" si="3"/>
        <v>0.35261689344527558</v>
      </c>
      <c r="M4" s="68">
        <f t="shared" ref="M4:M13" si="4">EXP(K4)-1</f>
        <v>0.2351884562870088</v>
      </c>
      <c r="N4" s="68">
        <f t="shared" ref="N4:N13" si="5">EXP(-K4)-1</f>
        <v>-0.19040694162086658</v>
      </c>
      <c r="O4" s="62">
        <f t="shared" ref="O4:O13" si="6">(F4+1)*(M4+1) - 1</f>
        <v>0.99408570101707006</v>
      </c>
      <c r="P4" s="62">
        <f t="shared" ref="P4:P13" si="7">(F4+1)*(N4+1) - 1</f>
        <v>0.3070053667837922</v>
      </c>
      <c r="Q4" s="67">
        <f t="shared" ref="Q4:Q13" si="8">$O4-$F4</f>
        <v>0.37968775966056212</v>
      </c>
      <c r="R4" s="67">
        <f t="shared" ref="R4:R13" si="9">$P4-$F4</f>
        <v>-0.30739257457271574</v>
      </c>
    </row>
    <row r="5" spans="1:19">
      <c r="A5" s="70" t="s">
        <v>95</v>
      </c>
      <c r="B5" s="70">
        <v>2.7588249383723299E-3</v>
      </c>
      <c r="C5" s="14">
        <f>B5*MyPortfolio!$B$1</f>
        <v>0.69522388446982719</v>
      </c>
      <c r="D5" s="15">
        <f t="shared" si="0"/>
        <v>1.1927997508364783</v>
      </c>
      <c r="E5" s="15">
        <f t="shared" si="1"/>
        <v>0.67416301634077147</v>
      </c>
      <c r="F5" s="18">
        <f t="shared" si="2"/>
        <v>1.0041577235058434</v>
      </c>
      <c r="G5" s="25"/>
      <c r="I5" s="70" t="s">
        <v>95</v>
      </c>
      <c r="J5" s="70">
        <v>7.1393069768718796E-4</v>
      </c>
      <c r="K5" s="8">
        <f>SQRT(J5*MyPortfolio!$B$1)</f>
        <v>0.42415862105723062</v>
      </c>
      <c r="L5" s="15">
        <f t="shared" si="3"/>
        <v>0.97353952534043176</v>
      </c>
      <c r="M5" s="68">
        <f t="shared" si="4"/>
        <v>0.5283039957540967</v>
      </c>
      <c r="N5" s="68">
        <f t="shared" si="5"/>
        <v>-0.34567991526674025</v>
      </c>
      <c r="O5" s="62">
        <f t="shared" si="6"/>
        <v>2.0629622569554145</v>
      </c>
      <c r="P5" s="62">
        <f t="shared" si="7"/>
        <v>0.31136065146316039</v>
      </c>
      <c r="Q5" s="67">
        <f t="shared" si="8"/>
        <v>1.058804533449571</v>
      </c>
      <c r="R5" s="67">
        <f t="shared" si="9"/>
        <v>-0.69279707204268304</v>
      </c>
    </row>
    <row r="6" spans="1:19">
      <c r="A6" s="70" t="s">
        <v>14</v>
      </c>
      <c r="B6" s="70">
        <v>-2.6624245990589302E-4</v>
      </c>
      <c r="C6" s="14">
        <f>B6*MyPortfolio!$B$1</f>
        <v>-6.7093099896285036E-2</v>
      </c>
      <c r="D6" s="15">
        <f t="shared" si="0"/>
        <v>2.4697890845568171E-2</v>
      </c>
      <c r="E6" s="15">
        <f t="shared" si="1"/>
        <v>-0.22125759108021459</v>
      </c>
      <c r="F6" s="18">
        <f t="shared" si="2"/>
        <v>-6.4891861186655353E-2</v>
      </c>
      <c r="G6" s="25"/>
      <c r="I6" s="70" t="s">
        <v>14</v>
      </c>
      <c r="J6" s="70">
        <v>7.2611847939387105E-4</v>
      </c>
      <c r="K6" s="8">
        <f>SQRT(J6*MyPortfolio!$B$1)</f>
        <v>0.42776378622699646</v>
      </c>
      <c r="L6" s="15">
        <f t="shared" si="3"/>
        <v>0.4591659948503295</v>
      </c>
      <c r="M6" s="68">
        <f t="shared" si="4"/>
        <v>0.53382372788298427</v>
      </c>
      <c r="N6" s="68">
        <f t="shared" si="5"/>
        <v>-0.3480346001817165</v>
      </c>
      <c r="O6" s="62">
        <f t="shared" si="6"/>
        <v>0.43429105144840352</v>
      </c>
      <c r="P6" s="62">
        <f t="shared" si="7"/>
        <v>-0.39034184840522679</v>
      </c>
      <c r="Q6" s="67">
        <f t="shared" si="8"/>
        <v>0.49918291263505887</v>
      </c>
      <c r="R6" s="67">
        <f t="shared" si="9"/>
        <v>-0.32544998721857143</v>
      </c>
    </row>
    <row r="7" spans="1:19">
      <c r="A7" s="70" t="s">
        <v>91</v>
      </c>
      <c r="B7" s="70">
        <v>1.4299497604082299E-3</v>
      </c>
      <c r="C7" s="14">
        <f>B7*MyPortfolio!$B$1</f>
        <v>0.36034733962287391</v>
      </c>
      <c r="D7" s="15">
        <f t="shared" si="0"/>
        <v>0.47019665278232403</v>
      </c>
      <c r="E7" s="15">
        <f t="shared" si="1"/>
        <v>0.36376557712935398</v>
      </c>
      <c r="F7" s="18">
        <f t="shared" si="2"/>
        <v>0.43382735313053922</v>
      </c>
      <c r="G7" s="25"/>
      <c r="I7" s="70" t="s">
        <v>91</v>
      </c>
      <c r="J7" s="70">
        <v>1.9880023510566501E-4</v>
      </c>
      <c r="K7" s="8">
        <f>SQRT(J7*MyPortfolio!$B$1)</f>
        <v>0.22382506393750362</v>
      </c>
      <c r="L7" s="15">
        <f t="shared" si="3"/>
        <v>0.33323156947622445</v>
      </c>
      <c r="M7" s="68">
        <f t="shared" si="4"/>
        <v>0.25085218113223307</v>
      </c>
      <c r="N7" s="68">
        <f t="shared" si="5"/>
        <v>-0.20054502435705024</v>
      </c>
      <c r="O7" s="62">
        <f t="shared" si="6"/>
        <v>0.79350607203039147</v>
      </c>
      <c r="P7" s="62">
        <f t="shared" si="7"/>
        <v>0.14628041167317041</v>
      </c>
      <c r="Q7" s="67">
        <f t="shared" si="8"/>
        <v>0.35967871889985226</v>
      </c>
      <c r="R7" s="67">
        <f t="shared" si="9"/>
        <v>-0.28754694145736881</v>
      </c>
    </row>
    <row r="8" spans="1:19">
      <c r="A8" s="70" t="s">
        <v>16</v>
      </c>
      <c r="B8" s="70">
        <v>1.24820235406221E-3</v>
      </c>
      <c r="C8" s="14">
        <f>B8*MyPortfolio!$B$1</f>
        <v>0.31454699322367691</v>
      </c>
      <c r="D8" s="15">
        <f t="shared" si="0"/>
        <v>0.38138582926667008</v>
      </c>
      <c r="E8" s="15">
        <f t="shared" si="1"/>
        <v>0.34644332383296028</v>
      </c>
      <c r="F8" s="18">
        <f t="shared" si="2"/>
        <v>0.36963871478156274</v>
      </c>
      <c r="G8" s="25"/>
      <c r="I8" s="70" t="s">
        <v>16</v>
      </c>
      <c r="J8" s="71">
        <v>6.7779572666765994E-5</v>
      </c>
      <c r="K8" s="8">
        <f>SQRT(J8*MyPortfolio!$B$1)</f>
        <v>0.13069220448069974</v>
      </c>
      <c r="L8" s="15">
        <f t="shared" si="3"/>
        <v>0.181310020205321</v>
      </c>
      <c r="M8" s="68">
        <f t="shared" si="4"/>
        <v>0.13961695833039633</v>
      </c>
      <c r="N8" s="68">
        <f t="shared" si="5"/>
        <v>-0.12251218035132017</v>
      </c>
      <c r="O8" s="62">
        <f t="shared" si="6"/>
        <v>0.56086350615091773</v>
      </c>
      <c r="P8" s="62">
        <f t="shared" si="7"/>
        <v>0.20184128954009362</v>
      </c>
      <c r="Q8" s="67">
        <f t="shared" si="8"/>
        <v>0.191224791369355</v>
      </c>
      <c r="R8" s="67">
        <f t="shared" si="9"/>
        <v>-0.16779742524146912</v>
      </c>
    </row>
    <row r="9" spans="1:19">
      <c r="A9" s="70" t="s">
        <v>10</v>
      </c>
      <c r="B9" s="70">
        <v>2.0001667447782502E-3</v>
      </c>
      <c r="C9" s="14">
        <f>B9*MyPortfolio!$B$1</f>
        <v>0.5040420196841191</v>
      </c>
      <c r="D9" s="15">
        <f t="shared" si="0"/>
        <v>0.68675088330138578</v>
      </c>
      <c r="E9" s="15">
        <f t="shared" si="1"/>
        <v>0.59443239972372375</v>
      </c>
      <c r="F9" s="18">
        <f t="shared" si="2"/>
        <v>0.65539892103539765</v>
      </c>
      <c r="G9" s="25"/>
      <c r="I9" s="70" t="s">
        <v>10</v>
      </c>
      <c r="J9" s="70">
        <v>1.4890559136303299E-4</v>
      </c>
      <c r="K9" s="8">
        <f>SQRT(J9*MyPortfolio!$B$1)</f>
        <v>0.19371166465518877</v>
      </c>
      <c r="L9" s="15">
        <f t="shared" si="3"/>
        <v>0.32983261537245945</v>
      </c>
      <c r="M9" s="68">
        <f t="shared" si="4"/>
        <v>0.2137462665493286</v>
      </c>
      <c r="N9" s="68">
        <f t="shared" si="5"/>
        <v>-0.17610457180396322</v>
      </c>
      <c r="O9" s="62">
        <f t="shared" si="6"/>
        <v>1.0092342600565005</v>
      </c>
      <c r="P9" s="62">
        <f t="shared" si="7"/>
        <v>0.36387560288171628</v>
      </c>
      <c r="Q9" s="67">
        <f t="shared" si="8"/>
        <v>0.35383533902110287</v>
      </c>
      <c r="R9" s="67">
        <f t="shared" si="9"/>
        <v>-0.29152331815368138</v>
      </c>
    </row>
    <row r="10" spans="1:19">
      <c r="A10" s="70" t="s">
        <v>93</v>
      </c>
      <c r="B10" s="70">
        <v>-4.1738920371343398E-4</v>
      </c>
      <c r="C10" s="14">
        <f>B10*MyPortfolio!$B$1</f>
        <v>-0.10518207933578536</v>
      </c>
      <c r="D10" s="15">
        <f t="shared" si="0"/>
        <v>5.94024377727147E-2</v>
      </c>
      <c r="E10" s="15">
        <f t="shared" si="1"/>
        <v>-0.35011266405740715</v>
      </c>
      <c r="F10" s="18">
        <f t="shared" si="2"/>
        <v>-9.9839392981526442E-2</v>
      </c>
      <c r="G10" s="25"/>
      <c r="I10" s="70" t="s">
        <v>93</v>
      </c>
      <c r="J10" s="70">
        <v>1.2927546869008701E-3</v>
      </c>
      <c r="K10" s="8">
        <f>SQRT(J10*MyPortfolio!$B$1)</f>
        <v>0.57076631040997794</v>
      </c>
      <c r="L10" s="15">
        <f t="shared" si="3"/>
        <v>0.65742946682997028</v>
      </c>
      <c r="M10" s="68">
        <f t="shared" si="4"/>
        <v>0.76962261220670003</v>
      </c>
      <c r="N10" s="68">
        <f t="shared" si="5"/>
        <v>-0.43490776332643544</v>
      </c>
      <c r="O10" s="62">
        <f t="shared" si="6"/>
        <v>0.59294456479759994</v>
      </c>
      <c r="P10" s="62">
        <f t="shared" si="7"/>
        <v>-0.4913262292144972</v>
      </c>
      <c r="Q10" s="67">
        <f t="shared" si="8"/>
        <v>0.69278395777912638</v>
      </c>
      <c r="R10" s="67">
        <f t="shared" si="9"/>
        <v>-0.39148683623297076</v>
      </c>
    </row>
    <row r="11" spans="1:19">
      <c r="A11" s="70" t="s">
        <v>15</v>
      </c>
      <c r="B11" s="70">
        <v>1.5869068191724301E-3</v>
      </c>
      <c r="C11" s="14">
        <f>B11*MyPortfolio!$B$1</f>
        <v>0.39990051843145241</v>
      </c>
      <c r="D11" s="15">
        <f t="shared" si="0"/>
        <v>0.60993359996102803</v>
      </c>
      <c r="E11" s="15">
        <f t="shared" si="1"/>
        <v>0.28058330802625608</v>
      </c>
      <c r="F11" s="18">
        <f t="shared" si="2"/>
        <v>0.49167629596208928</v>
      </c>
      <c r="G11" s="25"/>
      <c r="I11" s="70" t="s">
        <v>15</v>
      </c>
      <c r="J11" s="70">
        <v>6.0549537662065703E-4</v>
      </c>
      <c r="K11" s="8">
        <f>SQRT(J11*MyPortfolio!$B$1)</f>
        <v>0.39062108866317696</v>
      </c>
      <c r="L11" s="15">
        <f t="shared" si="3"/>
        <v>0.65364350429657159</v>
      </c>
      <c r="M11" s="68">
        <f t="shared" si="4"/>
        <v>0.47789841484194295</v>
      </c>
      <c r="N11" s="68">
        <f t="shared" si="5"/>
        <v>-0.32336350729021712</v>
      </c>
      <c r="O11" s="62">
        <f t="shared" si="6"/>
        <v>1.2045460332596729</v>
      </c>
      <c r="P11" s="62">
        <f t="shared" si="7"/>
        <v>9.3226171581082262E-3</v>
      </c>
      <c r="Q11" s="67">
        <f t="shared" si="8"/>
        <v>0.71286973729758363</v>
      </c>
      <c r="R11" s="67">
        <f t="shared" si="9"/>
        <v>-0.48235367880398106</v>
      </c>
    </row>
    <row r="12" spans="1:19">
      <c r="A12" s="70" t="s">
        <v>92</v>
      </c>
      <c r="B12" s="70">
        <v>3.0058601528706999E-4</v>
      </c>
      <c r="C12" s="14">
        <f>B12*MyPortfolio!$B$1</f>
        <v>7.5747675852341642E-2</v>
      </c>
      <c r="D12" s="15">
        <f t="shared" si="0"/>
        <v>0.11459484647847984</v>
      </c>
      <c r="E12" s="15">
        <f t="shared" si="1"/>
        <v>1.0313908009254247E-2</v>
      </c>
      <c r="F12" s="18">
        <f t="shared" si="2"/>
        <v>7.8690360189927366E-2</v>
      </c>
      <c r="G12" s="25"/>
      <c r="I12" s="70" t="s">
        <v>92</v>
      </c>
      <c r="J12" s="70">
        <v>2.5986743364416203E-4</v>
      </c>
      <c r="K12" s="8">
        <f>SQRT(J12*MyPortfolio!$B$1)</f>
        <v>0.25590348430283011</v>
      </c>
      <c r="L12" s="15">
        <f t="shared" si="3"/>
        <v>0.28996270758903669</v>
      </c>
      <c r="M12" s="68">
        <f t="shared" si="4"/>
        <v>0.2916280595409213</v>
      </c>
      <c r="N12" s="68">
        <f t="shared" si="5"/>
        <v>-0.22578331075013469</v>
      </c>
      <c r="O12" s="62">
        <f t="shared" si="6"/>
        <v>0.39326673677761326</v>
      </c>
      <c r="P12" s="62">
        <f t="shared" si="7"/>
        <v>-0.16485992060800969</v>
      </c>
      <c r="Q12" s="67">
        <f t="shared" si="8"/>
        <v>0.31457637658768589</v>
      </c>
      <c r="R12" s="67">
        <f t="shared" si="9"/>
        <v>-0.24355028079793706</v>
      </c>
    </row>
    <row r="13" spans="1:19">
      <c r="A13" s="70" t="s">
        <v>13</v>
      </c>
      <c r="B13" s="70">
        <v>1.6155809620893699E-3</v>
      </c>
      <c r="C13" s="14">
        <f>B13*MyPortfolio!$B$1</f>
        <v>0.40712640244652121</v>
      </c>
      <c r="D13" s="15">
        <f t="shared" si="0"/>
        <v>0.51543063029359204</v>
      </c>
      <c r="E13" s="15">
        <f t="shared" si="1"/>
        <v>0.47695113841479952</v>
      </c>
      <c r="F13" s="18">
        <f t="shared" si="2"/>
        <v>0.50249401257842163</v>
      </c>
      <c r="G13" s="25"/>
      <c r="I13" s="70" t="s">
        <v>13</v>
      </c>
      <c r="J13" s="71">
        <v>6.8041591612957606E-5</v>
      </c>
      <c r="K13" s="8">
        <f>SQRT(J13*MyPortfolio!$B$1)</f>
        <v>0.13094457257353326</v>
      </c>
      <c r="L13" s="15">
        <f t="shared" si="3"/>
        <v>0.19929108842092108</v>
      </c>
      <c r="M13" s="68">
        <f t="shared" si="4"/>
        <v>0.13990459758268914</v>
      </c>
      <c r="N13" s="68">
        <f t="shared" si="5"/>
        <v>-0.1227336023377521</v>
      </c>
      <c r="O13" s="62">
        <f t="shared" si="6"/>
        <v>0.7126998327786056</v>
      </c>
      <c r="P13" s="62">
        <f t="shared" si="7"/>
        <v>0.31808750992376811</v>
      </c>
      <c r="Q13" s="67">
        <f t="shared" si="8"/>
        <v>0.21020582020018397</v>
      </c>
      <c r="R13" s="67">
        <f t="shared" si="9"/>
        <v>-0.18440650265465353</v>
      </c>
    </row>
    <row r="14" spans="1:19">
      <c r="D14" s="4"/>
      <c r="E14" s="4"/>
      <c r="G14" s="4"/>
      <c r="L14" s="4"/>
    </row>
    <row r="15" spans="1:19">
      <c r="A15" s="4"/>
      <c r="B15" s="4"/>
      <c r="D15" s="4"/>
      <c r="E15" s="4"/>
      <c r="G15" s="4"/>
      <c r="J15" s="46" t="s">
        <v>82</v>
      </c>
      <c r="L15" s="4"/>
    </row>
    <row r="16" spans="1:19">
      <c r="D16" s="4"/>
      <c r="E16" s="4"/>
      <c r="G16" s="4"/>
      <c r="J16" s="47">
        <f>AVERAGE(R3:R13)</f>
        <v>-0.32638450307089378</v>
      </c>
      <c r="L16" s="4"/>
    </row>
    <row r="17" spans="4:12">
      <c r="D17" s="4"/>
      <c r="E17" s="4"/>
      <c r="G17" s="4"/>
      <c r="J17" s="53" t="s">
        <v>83</v>
      </c>
      <c r="L17" s="4"/>
    </row>
    <row r="18" spans="4:12">
      <c r="D18" s="4"/>
      <c r="E18" s="4"/>
      <c r="G18" s="4"/>
      <c r="J18" s="55">
        <f>J16*SQRT(correlation!$O$15)</f>
        <v>-0.24014421272715608</v>
      </c>
      <c r="L18" s="4"/>
    </row>
    <row r="19" spans="4:12">
      <c r="D19" s="4"/>
      <c r="E19" s="4"/>
      <c r="G19" s="4"/>
      <c r="L19" s="4"/>
    </row>
    <row r="20" spans="4:12" ht="15.75" customHeight="1">
      <c r="D20" s="4"/>
      <c r="E20" s="4"/>
      <c r="G20" s="4"/>
      <c r="I20" s="5" t="s">
        <v>84</v>
      </c>
      <c r="L20" s="4"/>
    </row>
    <row r="21" spans="4:12" ht="15.75" customHeight="1">
      <c r="D21" s="4"/>
      <c r="E21" s="4"/>
      <c r="G21" s="4"/>
      <c r="L21" s="4"/>
    </row>
    <row r="22" spans="4:12" ht="15.75" customHeight="1">
      <c r="D22" s="4"/>
      <c r="E22" s="4"/>
      <c r="G22" s="4"/>
      <c r="L22" s="4"/>
    </row>
    <row r="23" spans="4:12" ht="15.75" customHeight="1">
      <c r="D23" s="4"/>
      <c r="E23" s="4"/>
      <c r="G23" s="4"/>
      <c r="L23" s="4"/>
    </row>
    <row r="24" spans="4:12" ht="15.75" customHeight="1">
      <c r="D24" s="4"/>
      <c r="E24" s="4"/>
      <c r="G24" s="4"/>
      <c r="L24" s="4"/>
    </row>
    <row r="25" spans="4:12" ht="15.75" customHeight="1">
      <c r="D25" s="4"/>
      <c r="E25" s="4"/>
      <c r="G25" s="4"/>
      <c r="L25" s="4"/>
    </row>
    <row r="26" spans="4:12" ht="15.75" customHeight="1">
      <c r="D26" s="4"/>
      <c r="E26" s="4"/>
      <c r="G26" s="4"/>
      <c r="L26" s="4"/>
    </row>
    <row r="27" spans="4:12" ht="15.75" customHeight="1">
      <c r="D27" s="4"/>
      <c r="E27" s="4"/>
      <c r="G27" s="4"/>
      <c r="L27" s="4"/>
    </row>
    <row r="28" spans="4:12" ht="15.75" customHeight="1">
      <c r="D28" s="4"/>
      <c r="E28" s="4"/>
      <c r="G28" s="4"/>
      <c r="L28" s="4"/>
    </row>
    <row r="29" spans="4:12" ht="15.75" customHeight="1">
      <c r="D29" s="4"/>
      <c r="E29" s="4"/>
      <c r="G29" s="4"/>
      <c r="L29" s="4"/>
    </row>
    <row r="30" spans="4:12" ht="15.75" customHeight="1">
      <c r="D30" s="4"/>
      <c r="E30" s="4"/>
      <c r="G30" s="4"/>
      <c r="L30" s="4"/>
    </row>
    <row r="31" spans="4:12" ht="15.75" customHeight="1">
      <c r="D31" s="4"/>
      <c r="E31" s="4"/>
      <c r="G31" s="4"/>
      <c r="L31" s="4"/>
    </row>
    <row r="32" spans="4:12" ht="15.75" customHeight="1">
      <c r="D32" s="4"/>
      <c r="E32" s="4"/>
      <c r="G32" s="4"/>
      <c r="L32" s="4"/>
    </row>
    <row r="33" spans="4:12" ht="15.75" customHeight="1">
      <c r="D33" s="4"/>
      <c r="E33" s="4"/>
      <c r="G33" s="4"/>
      <c r="L33" s="4"/>
    </row>
    <row r="34" spans="4:12" ht="15.75" customHeight="1">
      <c r="D34" s="4"/>
      <c r="E34" s="4"/>
      <c r="G34" s="4"/>
      <c r="L34" s="4"/>
    </row>
    <row r="35" spans="4:12" ht="15.75" customHeight="1">
      <c r="D35" s="4"/>
      <c r="E35" s="4"/>
      <c r="G35" s="4"/>
      <c r="L35" s="4"/>
    </row>
    <row r="36" spans="4:12" ht="15.75" customHeight="1">
      <c r="D36" s="4"/>
      <c r="E36" s="4"/>
      <c r="G36" s="4"/>
      <c r="L36" s="4"/>
    </row>
    <row r="37" spans="4:12" ht="15.75" customHeight="1">
      <c r="D37" s="4"/>
      <c r="E37" s="4"/>
      <c r="G37" s="4"/>
      <c r="L37" s="4"/>
    </row>
    <row r="38" spans="4:12" ht="15.75" customHeight="1">
      <c r="D38" s="4"/>
      <c r="E38" s="4"/>
      <c r="G38" s="4"/>
      <c r="L38" s="4"/>
    </row>
    <row r="39" spans="4:12" ht="15.75" customHeight="1">
      <c r="D39" s="4"/>
      <c r="E39" s="4"/>
      <c r="G39" s="4"/>
      <c r="L39" s="4"/>
    </row>
    <row r="40" spans="4:12" ht="15.75" customHeight="1">
      <c r="D40" s="4"/>
      <c r="E40" s="4"/>
      <c r="G40" s="4"/>
      <c r="L40" s="4"/>
    </row>
    <row r="41" spans="4:12" ht="15.75" customHeight="1">
      <c r="D41" s="4"/>
      <c r="E41" s="4"/>
      <c r="G41" s="4"/>
      <c r="L41" s="4"/>
    </row>
    <row r="42" spans="4:12" ht="15.75" customHeight="1">
      <c r="D42" s="4"/>
      <c r="E42" s="4"/>
      <c r="G42" s="4"/>
      <c r="L42" s="4"/>
    </row>
    <row r="43" spans="4:12" ht="15.75" customHeight="1">
      <c r="D43" s="4"/>
      <c r="E43" s="4"/>
      <c r="G43" s="4"/>
      <c r="L43" s="4"/>
    </row>
    <row r="44" spans="4:12" ht="15.75" customHeight="1">
      <c r="D44" s="4"/>
      <c r="E44" s="4"/>
      <c r="G44" s="4"/>
      <c r="L44" s="4"/>
    </row>
    <row r="45" spans="4:12" ht="15.75" customHeight="1">
      <c r="D45" s="4"/>
      <c r="E45" s="4"/>
      <c r="G45" s="4"/>
      <c r="L45" s="4"/>
    </row>
    <row r="46" spans="4:12" ht="15.75" customHeight="1">
      <c r="D46" s="4"/>
      <c r="E46" s="4"/>
      <c r="G46" s="4"/>
      <c r="L46" s="4"/>
    </row>
    <row r="47" spans="4:12" ht="15.75" customHeight="1">
      <c r="D47" s="4"/>
      <c r="E47" s="4"/>
      <c r="G47" s="4"/>
      <c r="L47" s="4"/>
    </row>
    <row r="48" spans="4:12" ht="15.75" customHeight="1">
      <c r="D48" s="4"/>
      <c r="E48" s="4"/>
      <c r="G48" s="4"/>
      <c r="L48" s="4"/>
    </row>
    <row r="49" spans="4:12" ht="15.75" customHeight="1">
      <c r="D49" s="4"/>
      <c r="E49" s="4"/>
      <c r="G49" s="4"/>
      <c r="L49" s="4"/>
    </row>
    <row r="50" spans="4:12" ht="15.75" customHeight="1">
      <c r="D50" s="4"/>
      <c r="E50" s="4"/>
      <c r="G50" s="4"/>
      <c r="L50" s="4"/>
    </row>
    <row r="51" spans="4:12" ht="15.75" customHeight="1">
      <c r="D51" s="4"/>
      <c r="E51" s="4"/>
      <c r="G51" s="4"/>
      <c r="L51" s="4"/>
    </row>
    <row r="52" spans="4:12" ht="15.75" customHeight="1">
      <c r="D52" s="4"/>
      <c r="E52" s="4"/>
      <c r="G52" s="4"/>
      <c r="L52" s="4"/>
    </row>
    <row r="53" spans="4:12" ht="15.75" customHeight="1">
      <c r="D53" s="4"/>
      <c r="E53" s="4"/>
      <c r="G53" s="4"/>
      <c r="L53" s="4"/>
    </row>
    <row r="54" spans="4:12" ht="15.75" customHeight="1">
      <c r="D54" s="4"/>
      <c r="E54" s="4"/>
      <c r="G54" s="4"/>
      <c r="L54" s="4"/>
    </row>
    <row r="55" spans="4:12" ht="15.75" customHeight="1">
      <c r="D55" s="4"/>
      <c r="E55" s="4"/>
      <c r="G55" s="4"/>
      <c r="L55" s="4"/>
    </row>
    <row r="56" spans="4:12" ht="15.75" customHeight="1">
      <c r="D56" s="4"/>
      <c r="E56" s="4"/>
      <c r="G56" s="4"/>
      <c r="L56" s="4"/>
    </row>
    <row r="57" spans="4:12" ht="15.75" customHeight="1">
      <c r="D57" s="4"/>
      <c r="E57" s="4"/>
      <c r="G57" s="4"/>
      <c r="L57" s="4"/>
    </row>
    <row r="58" spans="4:12" ht="15.75" customHeight="1">
      <c r="D58" s="4"/>
      <c r="E58" s="4"/>
      <c r="G58" s="4"/>
      <c r="L58" s="4"/>
    </row>
    <row r="59" spans="4:12" ht="15.75" customHeight="1">
      <c r="D59" s="4"/>
      <c r="E59" s="4"/>
      <c r="G59" s="4"/>
      <c r="L59" s="4"/>
    </row>
    <row r="60" spans="4:12" ht="15.75" customHeight="1">
      <c r="D60" s="4"/>
      <c r="E60" s="4"/>
      <c r="G60" s="4"/>
      <c r="L60" s="4"/>
    </row>
    <row r="61" spans="4:12" ht="15.75" customHeight="1">
      <c r="D61" s="4"/>
      <c r="E61" s="4"/>
      <c r="G61" s="4"/>
      <c r="L61" s="4"/>
    </row>
    <row r="62" spans="4:12" ht="15.75" customHeight="1">
      <c r="D62" s="4"/>
      <c r="E62" s="4"/>
      <c r="G62" s="4"/>
      <c r="L62" s="4"/>
    </row>
    <row r="63" spans="4:12" ht="15.75" customHeight="1">
      <c r="D63" s="4"/>
      <c r="E63" s="4"/>
      <c r="G63" s="4"/>
      <c r="L63" s="4"/>
    </row>
    <row r="64" spans="4:12" ht="15.75" customHeight="1">
      <c r="D64" s="4"/>
      <c r="E64" s="4"/>
      <c r="G64" s="4"/>
      <c r="L64" s="4"/>
    </row>
    <row r="65" spans="4:12" ht="15.75" customHeight="1">
      <c r="D65" s="4"/>
      <c r="E65" s="4"/>
      <c r="G65" s="4"/>
      <c r="L65" s="4"/>
    </row>
    <row r="66" spans="4:12" ht="15.75" customHeight="1">
      <c r="D66" s="4"/>
      <c r="E66" s="4"/>
      <c r="G66" s="4"/>
      <c r="L66" s="4"/>
    </row>
    <row r="67" spans="4:12" ht="15.75" customHeight="1">
      <c r="D67" s="4"/>
      <c r="E67" s="4"/>
      <c r="G67" s="4"/>
      <c r="L67" s="4"/>
    </row>
    <row r="68" spans="4:12" ht="15.75" customHeight="1">
      <c r="D68" s="4"/>
      <c r="E68" s="4"/>
      <c r="G68" s="4"/>
      <c r="L68" s="4"/>
    </row>
    <row r="69" spans="4:12" ht="15.75" customHeight="1">
      <c r="D69" s="4"/>
      <c r="E69" s="4"/>
      <c r="G69" s="4"/>
      <c r="L69" s="4"/>
    </row>
    <row r="70" spans="4:12" ht="15.75" customHeight="1">
      <c r="D70" s="4"/>
      <c r="E70" s="4"/>
      <c r="G70" s="4"/>
      <c r="L70" s="4"/>
    </row>
    <row r="71" spans="4:12" ht="15.75" customHeight="1">
      <c r="D71" s="4"/>
      <c r="E71" s="4"/>
      <c r="G71" s="4"/>
      <c r="L71" s="4"/>
    </row>
    <row r="72" spans="4:12" ht="15.75" customHeight="1">
      <c r="D72" s="4"/>
      <c r="E72" s="4"/>
      <c r="G72" s="4"/>
      <c r="L72" s="4"/>
    </row>
    <row r="73" spans="4:12" ht="15.75" customHeight="1">
      <c r="D73" s="4"/>
      <c r="E73" s="4"/>
      <c r="G73" s="4"/>
      <c r="L73" s="4"/>
    </row>
    <row r="74" spans="4:12" ht="15.75" customHeight="1">
      <c r="D74" s="4"/>
      <c r="E74" s="4"/>
      <c r="G74" s="4"/>
      <c r="L74" s="4"/>
    </row>
    <row r="75" spans="4:12" ht="15.75" customHeight="1">
      <c r="D75" s="4"/>
      <c r="E75" s="4"/>
      <c r="G75" s="4"/>
      <c r="L75" s="4"/>
    </row>
    <row r="76" spans="4:12" ht="15.75" customHeight="1">
      <c r="D76" s="4"/>
      <c r="E76" s="4"/>
      <c r="G76" s="4"/>
      <c r="L76" s="4"/>
    </row>
    <row r="77" spans="4:12" ht="15.75" customHeight="1">
      <c r="D77" s="4"/>
      <c r="E77" s="4"/>
      <c r="G77" s="4"/>
      <c r="L77" s="4"/>
    </row>
    <row r="78" spans="4:12" ht="15.75" customHeight="1">
      <c r="D78" s="4"/>
      <c r="E78" s="4"/>
      <c r="G78" s="4"/>
      <c r="L78" s="4"/>
    </row>
    <row r="79" spans="4:12" ht="15.75" customHeight="1">
      <c r="D79" s="4"/>
      <c r="E79" s="4"/>
      <c r="G79" s="4"/>
      <c r="L79" s="4"/>
    </row>
    <row r="80" spans="4:12" ht="15.75" customHeight="1">
      <c r="D80" s="4"/>
      <c r="E80" s="4"/>
      <c r="G80" s="4"/>
      <c r="L80" s="4"/>
    </row>
    <row r="81" spans="4:12" ht="15.75" customHeight="1">
      <c r="D81" s="4"/>
      <c r="E81" s="4"/>
      <c r="G81" s="4"/>
      <c r="L81" s="4"/>
    </row>
    <row r="82" spans="4:12" ht="15.75" customHeight="1">
      <c r="D82" s="4"/>
      <c r="E82" s="4"/>
      <c r="G82" s="4"/>
      <c r="L82" s="4"/>
    </row>
    <row r="83" spans="4:12" ht="15.75" customHeight="1">
      <c r="D83" s="4"/>
      <c r="E83" s="4"/>
      <c r="G83" s="4"/>
      <c r="L83" s="4"/>
    </row>
    <row r="84" spans="4:12" ht="15.75" customHeight="1">
      <c r="D84" s="4"/>
      <c r="E84" s="4"/>
      <c r="G84" s="4"/>
      <c r="L84" s="4"/>
    </row>
    <row r="85" spans="4:12" ht="15.75" customHeight="1">
      <c r="D85" s="4"/>
      <c r="E85" s="4"/>
      <c r="G85" s="4"/>
      <c r="L85" s="4"/>
    </row>
    <row r="86" spans="4:12" ht="15.75" customHeight="1">
      <c r="D86" s="4"/>
      <c r="E86" s="4"/>
      <c r="G86" s="4"/>
      <c r="L86" s="4"/>
    </row>
    <row r="87" spans="4:12" ht="15.75" customHeight="1">
      <c r="D87" s="4"/>
      <c r="E87" s="4"/>
      <c r="G87" s="4"/>
      <c r="L87" s="4"/>
    </row>
    <row r="88" spans="4:12" ht="15.75" customHeight="1">
      <c r="D88" s="4"/>
      <c r="E88" s="4"/>
      <c r="G88" s="4"/>
      <c r="L88" s="4"/>
    </row>
    <row r="89" spans="4:12" ht="15.75" customHeight="1">
      <c r="D89" s="4"/>
      <c r="E89" s="4"/>
      <c r="G89" s="4"/>
      <c r="L89" s="4"/>
    </row>
    <row r="90" spans="4:12" ht="15.75" customHeight="1">
      <c r="D90" s="4"/>
      <c r="E90" s="4"/>
      <c r="G90" s="4"/>
      <c r="L90" s="4"/>
    </row>
    <row r="91" spans="4:12" ht="15.75" customHeight="1">
      <c r="D91" s="4"/>
      <c r="E91" s="4"/>
      <c r="G91" s="4"/>
      <c r="L91" s="4"/>
    </row>
    <row r="92" spans="4:12" ht="15.75" customHeight="1">
      <c r="D92" s="4"/>
      <c r="E92" s="4"/>
      <c r="G92" s="4"/>
      <c r="L92" s="4"/>
    </row>
    <row r="93" spans="4:12" ht="15.75" customHeight="1">
      <c r="D93" s="4"/>
      <c r="E93" s="4"/>
      <c r="G93" s="4"/>
      <c r="L93" s="4"/>
    </row>
    <row r="94" spans="4:12" ht="15.75" customHeight="1">
      <c r="D94" s="4"/>
      <c r="E94" s="4"/>
      <c r="G94" s="4"/>
      <c r="L94" s="4"/>
    </row>
    <row r="95" spans="4:12" ht="15.75" customHeight="1">
      <c r="D95" s="4"/>
      <c r="E95" s="4"/>
      <c r="G95" s="4"/>
      <c r="L95" s="4"/>
    </row>
    <row r="96" spans="4:12" ht="15.75" customHeight="1">
      <c r="D96" s="4"/>
      <c r="E96" s="4"/>
      <c r="G96" s="4"/>
      <c r="L96" s="4"/>
    </row>
    <row r="97" spans="4:12" ht="15.75" customHeight="1">
      <c r="D97" s="4"/>
      <c r="E97" s="4"/>
      <c r="G97" s="4"/>
      <c r="L97" s="4"/>
    </row>
    <row r="98" spans="4:12" ht="15.75" customHeight="1">
      <c r="D98" s="4"/>
      <c r="E98" s="4"/>
      <c r="G98" s="4"/>
      <c r="L98" s="4"/>
    </row>
    <row r="99" spans="4:12" ht="15.75" customHeight="1">
      <c r="D99" s="4"/>
      <c r="E99" s="4"/>
      <c r="G99" s="4"/>
      <c r="L99" s="4"/>
    </row>
    <row r="100" spans="4:12" ht="15.75" customHeight="1"/>
    <row r="101" spans="4:12" ht="15.75" customHeight="1"/>
    <row r="102" spans="4:12" ht="15.75" customHeight="1"/>
    <row r="103" spans="4:12" ht="15.75" customHeight="1"/>
    <row r="104" spans="4:12" ht="15.75" customHeight="1"/>
    <row r="105" spans="4:12" ht="15.75" customHeight="1"/>
    <row r="106" spans="4:12" ht="15.75" customHeight="1"/>
    <row r="107" spans="4:12" ht="15.75" customHeight="1"/>
    <row r="108" spans="4:12" ht="15.75" customHeight="1"/>
    <row r="109" spans="4:12" ht="15.75" customHeight="1"/>
    <row r="110" spans="4:12" ht="15.75" customHeight="1"/>
    <row r="111" spans="4:12" ht="15.75" customHeight="1"/>
    <row r="112" spans="4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workbookViewId="0">
      <selection activeCell="B2" sqref="B2"/>
    </sheetView>
  </sheetViews>
  <sheetFormatPr defaultColWidth="14.42578125" defaultRowHeight="15" customHeight="1"/>
  <cols>
    <col min="1" max="1" width="8.7109375" customWidth="1"/>
    <col min="2" max="2" width="12" bestFit="1" customWidth="1"/>
    <col min="3" max="9" width="8.7109375" customWidth="1"/>
  </cols>
  <sheetData>
    <row r="1" spans="1:9">
      <c r="A1" s="53" t="s">
        <v>70</v>
      </c>
      <c r="B1" s="54">
        <v>44197</v>
      </c>
      <c r="C1" s="4"/>
      <c r="D1" s="4"/>
      <c r="E1" s="4"/>
      <c r="F1" s="4"/>
      <c r="G1" s="4"/>
      <c r="H1" s="4"/>
      <c r="I1" s="4"/>
    </row>
    <row r="2" spans="1:9">
      <c r="A2" s="4"/>
      <c r="B2" s="4" t="s">
        <v>16</v>
      </c>
    </row>
    <row r="3" spans="1:9">
      <c r="A3" s="70" t="s">
        <v>12</v>
      </c>
      <c r="B3" s="70">
        <v>0.79974057761723305</v>
      </c>
    </row>
    <row r="4" spans="1:9">
      <c r="A4" s="70" t="s">
        <v>94</v>
      </c>
      <c r="B4" s="70">
        <v>1.12362392960407</v>
      </c>
    </row>
    <row r="5" spans="1:9">
      <c r="A5" s="70" t="s">
        <v>95</v>
      </c>
      <c r="B5" s="70">
        <v>1.8179676826449001</v>
      </c>
    </row>
    <row r="6" spans="1:9">
      <c r="A6" s="70" t="s">
        <v>14</v>
      </c>
      <c r="B6" s="70">
        <v>1.87923052326907</v>
      </c>
    </row>
    <row r="7" spans="1:9">
      <c r="A7" s="70" t="s">
        <v>91</v>
      </c>
      <c r="B7" s="70">
        <v>0.82454486419898299</v>
      </c>
    </row>
    <row r="8" spans="1:9">
      <c r="A8" s="70" t="s">
        <v>16</v>
      </c>
      <c r="B8" s="70">
        <v>1</v>
      </c>
    </row>
    <row r="9" spans="1:9">
      <c r="A9" s="70" t="s">
        <v>10</v>
      </c>
      <c r="B9" s="70">
        <v>0.40275485869578198</v>
      </c>
    </row>
    <row r="10" spans="1:9">
      <c r="A10" s="70" t="s">
        <v>93</v>
      </c>
      <c r="B10" s="70">
        <v>2.2951340465485401</v>
      </c>
    </row>
    <row r="11" spans="1:9">
      <c r="A11" s="70" t="s">
        <v>15</v>
      </c>
      <c r="B11" s="70">
        <v>1.7902932758839101</v>
      </c>
    </row>
    <row r="12" spans="1:9">
      <c r="A12" s="70" t="s">
        <v>92</v>
      </c>
      <c r="B12" s="70">
        <v>1.03719967618634</v>
      </c>
    </row>
    <row r="13" spans="1:9">
      <c r="A13" s="70" t="s">
        <v>13</v>
      </c>
      <c r="B13" s="70">
        <v>0.65335495195986704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9"/>
  <sheetViews>
    <sheetView workbookViewId="0">
      <selection activeCell="A2" sqref="A2:B12"/>
    </sheetView>
  </sheetViews>
  <sheetFormatPr defaultColWidth="14.42578125" defaultRowHeight="15" customHeight="1"/>
  <cols>
    <col min="1" max="1" width="8.7109375" customWidth="1"/>
    <col min="2" max="2" width="11.85546875" customWidth="1"/>
    <col min="3" max="6" width="8.7109375" customWidth="1"/>
  </cols>
  <sheetData>
    <row r="1" spans="1:2">
      <c r="A1" s="53" t="s">
        <v>70</v>
      </c>
      <c r="B1" s="54">
        <v>44197</v>
      </c>
    </row>
    <row r="2" spans="1:2">
      <c r="A2" s="70" t="s">
        <v>12</v>
      </c>
      <c r="B2" s="70">
        <v>3.8565642120235902E-2</v>
      </c>
    </row>
    <row r="3" spans="1:2">
      <c r="A3" s="70" t="s">
        <v>15</v>
      </c>
      <c r="B3" s="71">
        <v>8.6454552284537198E-15</v>
      </c>
    </row>
    <row r="4" spans="1:2">
      <c r="A4" s="70" t="s">
        <v>14</v>
      </c>
      <c r="B4" s="71">
        <v>1.30506228653709E-14</v>
      </c>
    </row>
    <row r="5" spans="1:2">
      <c r="A5" s="70" t="s">
        <v>10</v>
      </c>
      <c r="B5" s="70">
        <v>0.31023796736822401</v>
      </c>
    </row>
    <row r="6" spans="1:2">
      <c r="A6" s="70" t="s">
        <v>13</v>
      </c>
      <c r="B6" s="70">
        <v>0.44894083592391598</v>
      </c>
    </row>
    <row r="7" spans="1:2">
      <c r="A7" s="70" t="s">
        <v>95</v>
      </c>
      <c r="B7" s="70">
        <v>5.4804378328904398E-2</v>
      </c>
    </row>
    <row r="8" spans="1:2">
      <c r="A8" s="70" t="s">
        <v>94</v>
      </c>
      <c r="B8" s="70">
        <v>0.142400006625619</v>
      </c>
    </row>
    <row r="9" spans="1:2">
      <c r="A9" s="70" t="s">
        <v>92</v>
      </c>
      <c r="B9" s="71">
        <v>7.6897852235163703E-15</v>
      </c>
    </row>
    <row r="10" spans="1:2">
      <c r="A10" s="70" t="s">
        <v>93</v>
      </c>
      <c r="B10" s="71">
        <v>1.3608824353875099E-14</v>
      </c>
    </row>
    <row r="11" spans="1:2">
      <c r="A11" s="70" t="s">
        <v>91</v>
      </c>
      <c r="B11" s="70">
        <v>5.0511696330517398E-3</v>
      </c>
    </row>
    <row r="12" spans="1:2">
      <c r="A12" s="70" t="s">
        <v>16</v>
      </c>
      <c r="B12" s="71">
        <v>4.6693606012976301E-15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MyPortfolio</vt:lpstr>
      <vt:lpstr>correlation</vt:lpstr>
      <vt:lpstr>lognormal</vt:lpstr>
      <vt:lpstr>beta</vt:lpstr>
      <vt:lpstr>tangentPorfolio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Sheung KAM (Raymond) WONG</dc:creator>
  <cp:lastModifiedBy>user</cp:lastModifiedBy>
  <dcterms:created xsi:type="dcterms:W3CDTF">2015-06-05T18:17:20Z</dcterms:created>
  <dcterms:modified xsi:type="dcterms:W3CDTF">2021-07-31T12:03:07Z</dcterms:modified>
</cp:coreProperties>
</file>