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aymond\Desktop\MyPortfolio\"/>
    </mc:Choice>
  </mc:AlternateContent>
  <xr:revisionPtr revIDLastSave="0" documentId="13_ncr:1_{9A2D9DAC-4D63-45B3-92D3-180A3D6094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Portfolio" sheetId="1" r:id="rId1"/>
    <sheet name="correlation" sheetId="2" r:id="rId2"/>
    <sheet name="lognormal" sheetId="3" r:id="rId3"/>
    <sheet name="beta" sheetId="4" r:id="rId4"/>
    <sheet name="tangentPorfolio" sheetId="5" r:id="rId5"/>
  </sheets>
  <calcPr calcId="191029"/>
  <extLst>
    <ext uri="GoogleSheetsCustomDataVersion1">
      <go:sheetsCustomData xmlns:go="http://customooxmlschemas.google.com/" r:id="rId10" roundtripDataSignature="AMtx7mg3djwjKCAmetazX1NuZIsTUEdZDA=="/>
    </ext>
  </extLst>
</workbook>
</file>

<file path=xl/calcChain.xml><?xml version="1.0" encoding="utf-8"?>
<calcChain xmlns="http://schemas.openxmlformats.org/spreadsheetml/2006/main">
  <c r="Z13" i="1" l="1"/>
  <c r="Z14" i="1"/>
  <c r="Z15" i="1"/>
  <c r="V23" i="1"/>
  <c r="K4" i="1"/>
  <c r="L4" i="1"/>
  <c r="K13" i="1"/>
  <c r="L13" i="1"/>
  <c r="K14" i="1"/>
  <c r="L14" i="1"/>
  <c r="B13" i="1"/>
  <c r="B14" i="1"/>
  <c r="B4" i="1"/>
  <c r="J17" i="3"/>
  <c r="R4" i="3"/>
  <c r="R5" i="3"/>
  <c r="R6" i="3"/>
  <c r="R7" i="3"/>
  <c r="R8" i="3"/>
  <c r="R9" i="3"/>
  <c r="R10" i="3"/>
  <c r="R11" i="3"/>
  <c r="R12" i="3"/>
  <c r="R13" i="3"/>
  <c r="R14" i="3"/>
  <c r="R3" i="3"/>
  <c r="P4" i="3"/>
  <c r="P5" i="3"/>
  <c r="P6" i="3"/>
  <c r="P7" i="3"/>
  <c r="P8" i="3"/>
  <c r="P9" i="3"/>
  <c r="P10" i="3"/>
  <c r="P11" i="3"/>
  <c r="P12" i="3"/>
  <c r="P13" i="3"/>
  <c r="P14" i="3"/>
  <c r="N3" i="3"/>
  <c r="P3" i="3" s="1"/>
  <c r="K14" i="3" l="1"/>
  <c r="C14" i="3"/>
  <c r="F14" i="3" s="1"/>
  <c r="K13" i="3"/>
  <c r="C13" i="3"/>
  <c r="F13" i="3" s="1"/>
  <c r="K12" i="3"/>
  <c r="C12" i="3"/>
  <c r="F12" i="3" s="1"/>
  <c r="K11" i="3"/>
  <c r="C11" i="3"/>
  <c r="F11" i="3" s="1"/>
  <c r="K10" i="3"/>
  <c r="C10" i="3"/>
  <c r="F10" i="3" s="1"/>
  <c r="K9" i="3"/>
  <c r="C9" i="3"/>
  <c r="F9" i="3" s="1"/>
  <c r="K8" i="3"/>
  <c r="C8" i="3"/>
  <c r="F8" i="3" s="1"/>
  <c r="K7" i="3"/>
  <c r="N7" i="3" s="1"/>
  <c r="E7" i="3"/>
  <c r="C7" i="3"/>
  <c r="D7" i="3" s="1"/>
  <c r="M6" i="3"/>
  <c r="K6" i="3"/>
  <c r="N6" i="3" s="1"/>
  <c r="C6" i="3"/>
  <c r="F6" i="3" s="1"/>
  <c r="O6" i="3" s="1"/>
  <c r="Q6" i="3" s="1"/>
  <c r="K5" i="3"/>
  <c r="C5" i="3"/>
  <c r="F5" i="3" s="1"/>
  <c r="K4" i="3"/>
  <c r="C4" i="3"/>
  <c r="K3" i="3"/>
  <c r="C3" i="3"/>
  <c r="F3" i="3" s="1"/>
  <c r="N16" i="2"/>
  <c r="M16" i="2"/>
  <c r="L16" i="2"/>
  <c r="K16" i="2"/>
  <c r="J16" i="2"/>
  <c r="I16" i="2"/>
  <c r="H16" i="2"/>
  <c r="G16" i="2"/>
  <c r="F16" i="2"/>
  <c r="E16" i="2"/>
  <c r="D16" i="2"/>
  <c r="C16" i="2"/>
  <c r="P16" i="2" s="1"/>
  <c r="AC51" i="1"/>
  <c r="AD51" i="1" s="1"/>
  <c r="AE37" i="1"/>
  <c r="AD37" i="1"/>
  <c r="AC37" i="1"/>
  <c r="AB18" i="1"/>
  <c r="AC18" i="1" s="1"/>
  <c r="AB17" i="1"/>
  <c r="AC17" i="1" s="1"/>
  <c r="AB15" i="1"/>
  <c r="AC15" i="1" s="1"/>
  <c r="AA15" i="1"/>
  <c r="T15" i="1" a="1"/>
  <c r="T15" i="1" s="1"/>
  <c r="S15" i="1" a="1"/>
  <c r="S15" i="1" s="1"/>
  <c r="O15" i="1" a="1"/>
  <c r="O15" i="1" s="1"/>
  <c r="Q15" i="1" s="1"/>
  <c r="R15" i="1" s="1"/>
  <c r="AB14" i="1"/>
  <c r="AC14" i="1" s="1"/>
  <c r="AA14" i="1"/>
  <c r="T14" i="1" a="1"/>
  <c r="T14" i="1" s="1"/>
  <c r="S14" i="1" a="1"/>
  <c r="S14" i="1" s="1"/>
  <c r="O14" i="1" a="1"/>
  <c r="O14" i="1" s="1"/>
  <c r="AB13" i="1"/>
  <c r="AC13" i="1" s="1"/>
  <c r="AA13" i="1"/>
  <c r="T13" i="1" a="1"/>
  <c r="T13" i="1" s="1"/>
  <c r="S13" i="1" a="1"/>
  <c r="S13" i="1" s="1"/>
  <c r="O13" i="1" a="1"/>
  <c r="O13" i="1" s="1"/>
  <c r="AB12" i="1"/>
  <c r="AC12" i="1" s="1"/>
  <c r="AA12" i="1"/>
  <c r="T12" i="1" a="1"/>
  <c r="T12" i="1" s="1"/>
  <c r="S12" i="1" a="1"/>
  <c r="S12" i="1" s="1"/>
  <c r="O12" i="1" a="1"/>
  <c r="O12" i="1" s="1"/>
  <c r="Q12" i="1" s="1"/>
  <c r="R12" i="1" s="1"/>
  <c r="AC11" i="1"/>
  <c r="AB11" i="1"/>
  <c r="AA11" i="1"/>
  <c r="T11" i="1" a="1"/>
  <c r="T11" i="1" s="1"/>
  <c r="S11" i="1" a="1"/>
  <c r="S11" i="1" s="1"/>
  <c r="O11" i="1" a="1"/>
  <c r="O11" i="1" s="1"/>
  <c r="Q11" i="1" s="1"/>
  <c r="R11" i="1" s="1"/>
  <c r="AB10" i="1"/>
  <c r="AC10" i="1" s="1"/>
  <c r="AA10" i="1"/>
  <c r="T10" i="1" a="1"/>
  <c r="T10" i="1" s="1"/>
  <c r="S10" i="1" a="1"/>
  <c r="S10" i="1" s="1"/>
  <c r="O10" i="1" a="1"/>
  <c r="O10" i="1" s="1"/>
  <c r="AB9" i="1"/>
  <c r="AC9" i="1" s="1"/>
  <c r="AA9" i="1"/>
  <c r="T9" i="1" a="1"/>
  <c r="T9" i="1" s="1"/>
  <c r="S9" i="1" a="1"/>
  <c r="S9" i="1" s="1"/>
  <c r="O9" i="1" a="1"/>
  <c r="O9" i="1" s="1"/>
  <c r="AB8" i="1"/>
  <c r="AC8" i="1" s="1"/>
  <c r="AA8" i="1"/>
  <c r="T8" i="1" a="1"/>
  <c r="T8" i="1" s="1"/>
  <c r="S8" i="1" a="1"/>
  <c r="S8" i="1" s="1"/>
  <c r="O8" i="1" a="1"/>
  <c r="O8" i="1" s="1"/>
  <c r="Q8" i="1" s="1"/>
  <c r="R8" i="1" s="1"/>
  <c r="AB7" i="1"/>
  <c r="AC7" i="1" s="1"/>
  <c r="AA7" i="1"/>
  <c r="T7" i="1" a="1"/>
  <c r="T7" i="1" s="1"/>
  <c r="S7" i="1" a="1"/>
  <c r="S7" i="1" s="1"/>
  <c r="O7" i="1" a="1"/>
  <c r="O7" i="1" s="1"/>
  <c r="AB6" i="1"/>
  <c r="AC6" i="1" s="1"/>
  <c r="AA6" i="1"/>
  <c r="T6" i="1" a="1"/>
  <c r="T6" i="1" s="1"/>
  <c r="S6" i="1" a="1"/>
  <c r="S6" i="1" s="1"/>
  <c r="O6" i="1" a="1"/>
  <c r="O6" i="1"/>
  <c r="Q6" i="1" s="1"/>
  <c r="R6" i="1" s="1"/>
  <c r="AB5" i="1"/>
  <c r="AC5" i="1" s="1"/>
  <c r="AA5" i="1"/>
  <c r="T5" i="1" a="1"/>
  <c r="T5" i="1"/>
  <c r="S5" i="1" a="1"/>
  <c r="S5" i="1" s="1"/>
  <c r="O5" i="1" a="1"/>
  <c r="O5" i="1" s="1"/>
  <c r="AB4" i="1"/>
  <c r="AC4" i="1" s="1"/>
  <c r="AA4" i="1"/>
  <c r="Z4" i="1" s="1"/>
  <c r="T4" i="1" a="1"/>
  <c r="T4" i="1" s="1"/>
  <c r="S4" i="1" a="1"/>
  <c r="S4" i="1" s="1"/>
  <c r="O4" i="1" a="1"/>
  <c r="O4" i="1" s="1"/>
  <c r="Q4" i="1" s="1"/>
  <c r="R4" i="1" s="1"/>
  <c r="AA3" i="1"/>
  <c r="D9" i="3" l="1"/>
  <c r="M4" i="3"/>
  <c r="N4" i="3"/>
  <c r="M11" i="3"/>
  <c r="O11" i="3" s="1"/>
  <c r="Q11" i="3" s="1"/>
  <c r="N11" i="3"/>
  <c r="O5" i="3"/>
  <c r="Q5" i="3" s="1"/>
  <c r="M5" i="3"/>
  <c r="N5" i="3"/>
  <c r="M8" i="3"/>
  <c r="O8" i="3" s="1"/>
  <c r="Q8" i="3" s="1"/>
  <c r="N8" i="3"/>
  <c r="M12" i="3"/>
  <c r="O12" i="3" s="1"/>
  <c r="Q12" i="3" s="1"/>
  <c r="N12" i="3"/>
  <c r="E3" i="3"/>
  <c r="E10" i="3"/>
  <c r="N9" i="3"/>
  <c r="L13" i="3"/>
  <c r="N13" i="3"/>
  <c r="M3" i="3"/>
  <c r="O3" i="3" s="1"/>
  <c r="Q3" i="3" s="1"/>
  <c r="N10" i="3"/>
  <c r="M10" i="3"/>
  <c r="O10" i="3" s="1"/>
  <c r="Q10" i="3" s="1"/>
  <c r="M14" i="3"/>
  <c r="O14" i="3" s="1"/>
  <c r="Q14" i="3" s="1"/>
  <c r="N14" i="3"/>
  <c r="L6" i="3"/>
  <c r="L9" i="3"/>
  <c r="M9" i="3"/>
  <c r="O9" i="3" s="1"/>
  <c r="Q9" i="3" s="1"/>
  <c r="K20" i="1"/>
  <c r="F7" i="3"/>
  <c r="L7" i="3"/>
  <c r="L5" i="3"/>
  <c r="P13" i="1"/>
  <c r="Q13" i="1"/>
  <c r="R13" i="1" s="1"/>
  <c r="D6" i="3"/>
  <c r="E6" i="3"/>
  <c r="M7" i="3"/>
  <c r="D10" i="3"/>
  <c r="L10" i="3"/>
  <c r="D3" i="3"/>
  <c r="Q7" i="1"/>
  <c r="R7" i="1" s="1"/>
  <c r="Q9" i="1"/>
  <c r="R9" i="1" s="1"/>
  <c r="Q10" i="1"/>
  <c r="R10" i="1" s="1"/>
  <c r="AC19" i="1"/>
  <c r="AC20" i="1" s="1"/>
  <c r="Q5" i="1"/>
  <c r="R5" i="1" s="1"/>
  <c r="Q14" i="1"/>
  <c r="R14" i="1" s="1"/>
  <c r="P14" i="1"/>
  <c r="P4" i="1"/>
  <c r="AA16" i="1"/>
  <c r="B20" i="1"/>
  <c r="L4" i="3"/>
  <c r="D8" i="3"/>
  <c r="E9" i="3"/>
  <c r="L12" i="3"/>
  <c r="M13" i="3"/>
  <c r="O13" i="3" s="1"/>
  <c r="Q13" i="3" s="1"/>
  <c r="L3" i="3"/>
  <c r="E8" i="3"/>
  <c r="L11" i="3"/>
  <c r="D14" i="3"/>
  <c r="D5" i="3"/>
  <c r="D13" i="3"/>
  <c r="E14" i="3"/>
  <c r="D4" i="3"/>
  <c r="E5" i="3"/>
  <c r="L8" i="3"/>
  <c r="D12" i="3"/>
  <c r="E13" i="3"/>
  <c r="E4" i="3"/>
  <c r="D11" i="3"/>
  <c r="E12" i="3"/>
  <c r="F4" i="3"/>
  <c r="E11" i="3"/>
  <c r="L14" i="3"/>
  <c r="L20" i="1" l="1"/>
  <c r="O4" i="3"/>
  <c r="Q4" i="3" s="1"/>
  <c r="O7" i="3"/>
  <c r="Q7" i="3" s="1"/>
  <c r="Y9" i="1"/>
  <c r="Z9" i="1" s="1"/>
  <c r="Y6" i="1"/>
  <c r="Z6" i="1" s="1"/>
  <c r="Y12" i="1"/>
  <c r="Z12" i="1" s="1"/>
  <c r="Y15" i="1"/>
  <c r="Y4" i="1"/>
  <c r="Y11" i="1"/>
  <c r="Z11" i="1" s="1"/>
  <c r="Y5" i="1"/>
  <c r="Z5" i="1" s="1"/>
  <c r="Y13" i="1"/>
  <c r="Y7" i="1"/>
  <c r="Z7" i="1" s="1"/>
  <c r="Y8" i="1"/>
  <c r="Z8" i="1" s="1"/>
  <c r="Y14" i="1"/>
  <c r="Y10" i="1"/>
  <c r="Z10" i="1" s="1"/>
  <c r="J19" i="3"/>
  <c r="D5" i="1" l="1"/>
  <c r="L5" i="1"/>
  <c r="C13" i="1"/>
  <c r="E5" i="1"/>
  <c r="M5" i="1"/>
  <c r="B5" i="1"/>
  <c r="F5" i="1"/>
  <c r="C14" i="1"/>
  <c r="G5" i="1"/>
  <c r="K5" i="1"/>
  <c r="C4" i="1"/>
  <c r="H5" i="1"/>
  <c r="I5" i="1"/>
  <c r="C5" i="1"/>
  <c r="J5" i="1"/>
  <c r="J11" i="1"/>
  <c r="I14" i="1"/>
  <c r="C11" i="1"/>
  <c r="K11" i="1"/>
  <c r="I4" i="1"/>
  <c r="D11" i="1"/>
  <c r="L11" i="1"/>
  <c r="I11" i="1"/>
  <c r="E11" i="1"/>
  <c r="M11" i="1"/>
  <c r="F11" i="1"/>
  <c r="G11" i="1"/>
  <c r="I13" i="1"/>
  <c r="H11" i="1"/>
  <c r="B11" i="1"/>
  <c r="E10" i="1"/>
  <c r="M10" i="1"/>
  <c r="H4" i="1"/>
  <c r="F10" i="1"/>
  <c r="G10" i="1"/>
  <c r="H10" i="1"/>
  <c r="D10" i="1"/>
  <c r="I10" i="1"/>
  <c r="H13" i="1"/>
  <c r="J10" i="1"/>
  <c r="H14" i="1"/>
  <c r="C10" i="1"/>
  <c r="K10" i="1"/>
  <c r="B10" i="1"/>
  <c r="L10" i="1"/>
  <c r="F15" i="1"/>
  <c r="M13" i="1"/>
  <c r="G15" i="1"/>
  <c r="H15" i="1"/>
  <c r="M15" i="1"/>
  <c r="I15" i="1"/>
  <c r="B15" i="1"/>
  <c r="E15" i="1"/>
  <c r="M14" i="1"/>
  <c r="J15" i="1"/>
  <c r="C15" i="1"/>
  <c r="K15" i="1"/>
  <c r="M4" i="1"/>
  <c r="D15" i="1"/>
  <c r="L15" i="1"/>
  <c r="G12" i="1"/>
  <c r="B12" i="1"/>
  <c r="H12" i="1"/>
  <c r="J14" i="1"/>
  <c r="I12" i="1"/>
  <c r="J4" i="1"/>
  <c r="J12" i="1"/>
  <c r="C12" i="1"/>
  <c r="K12" i="1"/>
  <c r="F12" i="1"/>
  <c r="D12" i="1"/>
  <c r="L12" i="1"/>
  <c r="E12" i="1"/>
  <c r="M12" i="1"/>
  <c r="J13" i="1"/>
  <c r="C8" i="1"/>
  <c r="K8" i="1"/>
  <c r="D8" i="1"/>
  <c r="L8" i="1"/>
  <c r="J8" i="1"/>
  <c r="E8" i="1"/>
  <c r="M8" i="1"/>
  <c r="F13" i="1"/>
  <c r="F8" i="1"/>
  <c r="G8" i="1"/>
  <c r="B8" i="1"/>
  <c r="H8" i="1"/>
  <c r="F14" i="1"/>
  <c r="I8" i="1"/>
  <c r="F4" i="1"/>
  <c r="I6" i="1"/>
  <c r="D13" i="1"/>
  <c r="J6" i="1"/>
  <c r="C6" i="1"/>
  <c r="K6" i="1"/>
  <c r="B6" i="1"/>
  <c r="D6" i="1"/>
  <c r="L6" i="1"/>
  <c r="D14" i="1"/>
  <c r="E6" i="1"/>
  <c r="M6" i="1"/>
  <c r="H6" i="1"/>
  <c r="D4" i="1"/>
  <c r="F6" i="1"/>
  <c r="G6" i="1"/>
  <c r="F7" i="1"/>
  <c r="M7" i="1"/>
  <c r="G7" i="1"/>
  <c r="E13" i="1"/>
  <c r="H7" i="1"/>
  <c r="E7" i="1"/>
  <c r="I7" i="1"/>
  <c r="B7" i="1"/>
  <c r="J7" i="1"/>
  <c r="E14" i="1"/>
  <c r="C7" i="1"/>
  <c r="K7" i="1"/>
  <c r="E4" i="1"/>
  <c r="D7" i="1"/>
  <c r="L7" i="1"/>
  <c r="G4" i="1"/>
  <c r="H9" i="1"/>
  <c r="I9" i="1"/>
  <c r="J9" i="1"/>
  <c r="C9" i="1"/>
  <c r="K9" i="1"/>
  <c r="G13" i="1"/>
  <c r="D9" i="1"/>
  <c r="L9" i="1"/>
  <c r="E9" i="1"/>
  <c r="M9" i="1"/>
  <c r="B9" i="1"/>
  <c r="G9" i="1"/>
  <c r="F9" i="1"/>
  <c r="G14" i="1"/>
  <c r="C20" i="1"/>
  <c r="P5" i="1"/>
  <c r="Z16" i="1"/>
  <c r="P11" i="1"/>
  <c r="I20" i="1"/>
  <c r="Y16" i="1"/>
  <c r="P10" i="1"/>
  <c r="H20" i="1"/>
  <c r="P15" i="1"/>
  <c r="M20" i="1"/>
  <c r="J20" i="1"/>
  <c r="P12" i="1"/>
  <c r="P8" i="1"/>
  <c r="F20" i="1"/>
  <c r="P6" i="1"/>
  <c r="D20" i="1"/>
  <c r="P7" i="1"/>
  <c r="E20" i="1"/>
  <c r="G20" i="1"/>
  <c r="P9" i="1"/>
  <c r="N13" i="1" l="1"/>
  <c r="N11" i="1"/>
  <c r="N9" i="1"/>
  <c r="N7" i="1"/>
  <c r="N8" i="1"/>
  <c r="N10" i="1"/>
  <c r="N14" i="1"/>
  <c r="N12" i="1"/>
  <c r="N15" i="1"/>
  <c r="N4" i="1"/>
  <c r="N6" i="1"/>
  <c r="N5" i="1"/>
  <c r="O17" i="1"/>
  <c r="O18" i="1" s="1"/>
  <c r="AC31" i="1"/>
  <c r="AC33" i="1" l="1"/>
  <c r="AC23" i="1"/>
  <c r="O19" i="1"/>
  <c r="Q17" i="1"/>
  <c r="R17" i="1" s="1"/>
  <c r="AC53" i="1"/>
  <c r="AD31" i="1"/>
  <c r="AC54" i="1" l="1"/>
  <c r="AC26" i="1"/>
  <c r="AC27" i="1" s="1"/>
  <c r="AC24" i="1"/>
  <c r="AD53" i="1"/>
  <c r="AC56" i="1"/>
  <c r="P19" i="1"/>
  <c r="AD56" i="1" s="1"/>
  <c r="Q21" i="1" l="1"/>
  <c r="AC34" i="1"/>
  <c r="Q20" i="1" s="1"/>
  <c r="R20" i="1" s="1"/>
  <c r="AC55" i="1"/>
  <c r="AC57" i="1" s="1"/>
  <c r="AD24" i="1"/>
  <c r="AD40" i="1"/>
  <c r="AD41" i="1" s="1"/>
  <c r="AC40" i="1"/>
  <c r="AC41" i="1" s="1"/>
  <c r="AE40" i="1"/>
  <c r="AE41" i="1" s="1"/>
  <c r="AC38" i="1"/>
  <c r="AC39" i="1" s="1"/>
  <c r="AE38" i="1"/>
  <c r="AE39" i="1" s="1"/>
  <c r="AC30" i="1"/>
  <c r="AC22" i="1"/>
  <c r="AD38" i="1"/>
  <c r="AD39" i="1" s="1"/>
  <c r="AC58" i="1"/>
  <c r="AD54" i="1"/>
  <c r="AD58" i="1" s="1"/>
  <c r="AD22" i="1" l="1"/>
  <c r="AD30" i="1"/>
  <c r="AD55" i="1"/>
  <c r="AD57" i="1" s="1"/>
  <c r="AD42" i="1"/>
  <c r="AD43" i="1" s="1"/>
  <c r="AC42" i="1"/>
  <c r="AC43" i="1" s="1"/>
  <c r="AE42" i="1"/>
  <c r="AE43" i="1" s="1"/>
</calcChain>
</file>

<file path=xl/sharedStrings.xml><?xml version="1.0" encoding="utf-8"?>
<sst xmlns="http://schemas.openxmlformats.org/spreadsheetml/2006/main" count="211" uniqueCount="98">
  <si>
    <t>Days of Compounding</t>
  </si>
  <si>
    <t>Y(252)</t>
  </si>
  <si>
    <t>Q(63)</t>
  </si>
  <si>
    <t>M(21)</t>
  </si>
  <si>
    <t>Position Index</t>
  </si>
  <si>
    <t>covariance(HPR) matrix</t>
  </si>
  <si>
    <t>Beta</t>
  </si>
  <si>
    <t>Portfolio</t>
  </si>
  <si>
    <t>Ticker</t>
  </si>
  <si>
    <t>2840.hk</t>
  </si>
  <si>
    <t>159919.SZ</t>
  </si>
  <si>
    <t>0001.HK</t>
  </si>
  <si>
    <t>9988.HK</t>
  </si>
  <si>
    <t>DBC</t>
  </si>
  <si>
    <t>2800.HK</t>
  </si>
  <si>
    <t>BIDU</t>
  </si>
  <si>
    <t>BRK-B</t>
  </si>
  <si>
    <t>REET</t>
  </si>
  <si>
    <t>ARKK</t>
  </si>
  <si>
    <t>LIT</t>
  </si>
  <si>
    <t>SPY</t>
  </si>
  <si>
    <t>Subtotal Covariance</t>
  </si>
  <si>
    <t xml:space="preserve">Weighted </t>
  </si>
  <si>
    <t>CAPM E[R]</t>
  </si>
  <si>
    <t>Alpha</t>
  </si>
  <si>
    <t>Market value</t>
  </si>
  <si>
    <t>Qty</t>
  </si>
  <si>
    <t>Price</t>
  </si>
  <si>
    <t>Position</t>
  </si>
  <si>
    <t>Input</t>
  </si>
  <si>
    <t>Exchange rate</t>
  </si>
  <si>
    <t>Market value(HKD)</t>
  </si>
  <si>
    <t>Subtotal</t>
  </si>
  <si>
    <t>Portfolio Beta</t>
  </si>
  <si>
    <t>Portfolio Alpha</t>
  </si>
  <si>
    <t>Cash - HKD</t>
  </si>
  <si>
    <t>Systematic Var</t>
  </si>
  <si>
    <t>Cash - USD</t>
  </si>
  <si>
    <t>Systematic Risk</t>
  </si>
  <si>
    <t>stock - HKD</t>
  </si>
  <si>
    <t>Weighted (HPR) return</t>
  </si>
  <si>
    <t>total</t>
  </si>
  <si>
    <t>HKD/USD</t>
  </si>
  <si>
    <t>HKD/CNY</t>
  </si>
  <si>
    <t>Risk</t>
  </si>
  <si>
    <t>Normal if lognormal</t>
  </si>
  <si>
    <t>1 Year T-bill Log return</t>
  </si>
  <si>
    <t xml:space="preserve">Total Covariance </t>
  </si>
  <si>
    <t>1 Year T-bill</t>
  </si>
  <si>
    <t>Portfolio Risk(%)</t>
  </si>
  <si>
    <t>Quote Date</t>
  </si>
  <si>
    <t>Non-Systematic Var</t>
  </si>
  <si>
    <t>Non-Systematic Risk</t>
  </si>
  <si>
    <t>Risk Adjusted Return</t>
  </si>
  <si>
    <t>Portfolio Return(%)</t>
  </si>
  <si>
    <t>sharpe ratio</t>
  </si>
  <si>
    <t>Confidence Level</t>
  </si>
  <si>
    <t>Z-Score</t>
  </si>
  <si>
    <t>Remark</t>
  </si>
  <si>
    <t>NORM.INV</t>
  </si>
  <si>
    <t>Value At Risk</t>
  </si>
  <si>
    <t>Compounded</t>
  </si>
  <si>
    <t>Daily</t>
  </si>
  <si>
    <t>https://financetrainingcourse.com/education/2012/07/value-at-risk-var-case-study-explanation/</t>
  </si>
  <si>
    <t>https://www.investopedia.com/ask/answers/033115/how-can-you-calculate-value-risk-var-excel.asp</t>
  </si>
  <si>
    <t>https://medium.com/fintechexplained/market-risk-explanation-of-var-calculations-e31734f26d93</t>
  </si>
  <si>
    <t>Leverage/Deleverage</t>
  </si>
  <si>
    <t>Margin</t>
  </si>
  <si>
    <t>Leverage ratio</t>
  </si>
  <si>
    <t>Monthly Return</t>
  </si>
  <si>
    <t>Monthly Excess Return</t>
  </si>
  <si>
    <t>Diversified Risk</t>
  </si>
  <si>
    <t>Sharpe Ratio</t>
  </si>
  <si>
    <t>Sharpe Ratio(Sys)</t>
  </si>
  <si>
    <t>Date</t>
  </si>
  <si>
    <t>Name</t>
  </si>
  <si>
    <t>avg correlation</t>
  </si>
  <si>
    <t>Input Index</t>
  </si>
  <si>
    <t>Historical Log Daily Return</t>
  </si>
  <si>
    <t>Ln(Geometric Mean)</t>
  </si>
  <si>
    <t>Arithmetic Mean</t>
  </si>
  <si>
    <t>Mode</t>
  </si>
  <si>
    <t>Median/Geometric Mean</t>
  </si>
  <si>
    <t>Historical Log Daily Var</t>
  </si>
  <si>
    <t>Log Std</t>
  </si>
  <si>
    <t>Arithmetic</t>
  </si>
  <si>
    <t>Avg Std</t>
  </si>
  <si>
    <t>limit of deversification</t>
  </si>
  <si>
    <t xml:space="preserve">Remark: arithmetic std = [1 + x1 - (1+m)]/1 = x1-m , so no need to minus 1 for HPR like gemetric   </t>
  </si>
  <si>
    <t>M^2 Alpha</t>
  </si>
  <si>
    <t>M^2 leverage ratio</t>
  </si>
  <si>
    <t>Treynor Ratio</t>
  </si>
  <si>
    <t>Return at + 1 Std</t>
  </si>
  <si>
    <t>Geometric</t>
  </si>
  <si>
    <t>Geometric(-)</t>
  </si>
  <si>
    <t>Diff(+)</t>
  </si>
  <si>
    <t>Return at - 1 Std</t>
  </si>
  <si>
    <t>Diff(-)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</si>
</sst>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HK$&quot;* #,##0.00_);_(&quot;HK$&quot;* \(#,##0.00\);_(&quot;HK$&quot;* &quot;-&quot;??_);_(@_)"/>
    <numFmt numFmtId="165" formatCode="_(&quot;CNY$&quot;* #,##0.00_);_(&quot;CNY$&quot;* \(#,##0.00\);_(&quot;CNY$&quot;* &quot;-&quot;??_);_(@_)"/>
    <numFmt numFmtId="166" formatCode="0.00_ "/>
    <numFmt numFmtId="167" formatCode="_(&quot;US$&quot;* #,##0.00_);_(&quot;US$&quot;* \(#,##0.00\);_(&quot;US$&quot;* &quot;-&quot;??_);_(@_)"/>
    <numFmt numFmtId="168" formatCode="yyyy/m/d"/>
  </numFmts>
  <fonts count="20"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3F3F3F"/>
      <name val="Calibri"/>
    </font>
    <font>
      <sz val="11"/>
      <color rgb="FF3F3F76"/>
      <name val="Calibri"/>
    </font>
    <font>
      <sz val="11"/>
      <color rgb="FF333333"/>
      <name val="Arial"/>
    </font>
    <font>
      <sz val="11"/>
      <color rgb="FF006100"/>
      <name val="Calibri"/>
    </font>
    <font>
      <sz val="11"/>
      <color rgb="FF9C0006"/>
      <name val="Calibri"/>
    </font>
    <font>
      <i/>
      <sz val="11"/>
      <color rgb="FF7F7F7F"/>
      <name val="Calibri"/>
    </font>
    <font>
      <sz val="9"/>
      <color rgb="FF2A2A2A"/>
      <name val="Arial"/>
    </font>
    <font>
      <u/>
      <sz val="11"/>
      <color rgb="FF0563C1"/>
      <name val="Calibri"/>
    </font>
    <font>
      <sz val="11"/>
      <color rgb="FF9C5700"/>
      <name val="Calibri"/>
    </font>
    <font>
      <u/>
      <sz val="11"/>
      <color rgb="FF0563C1"/>
      <name val="Calibri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14" fillId="8" borderId="0" applyNumberFormat="0" applyBorder="0" applyAlignment="0" applyProtection="0"/>
    <xf numFmtId="0" fontId="15" fillId="9" borderId="16" applyNumberFormat="0" applyAlignment="0" applyProtection="0"/>
    <xf numFmtId="0" fontId="16" fillId="0" borderId="33" applyNumberFormat="0" applyFill="0" applyAlignment="0" applyProtection="0"/>
    <xf numFmtId="0" fontId="18" fillId="10" borderId="1" applyNumberFormat="0" applyAlignment="0" applyProtection="0"/>
    <xf numFmtId="0" fontId="19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0" fillId="3" borderId="2" xfId="0" applyFont="1" applyFill="1" applyBorder="1"/>
    <xf numFmtId="0" fontId="0" fillId="0" borderId="0" xfId="0" applyFont="1"/>
    <xf numFmtId="0" fontId="3" fillId="0" borderId="0" xfId="0" applyFont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4" fillId="4" borderId="16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5" fillId="2" borderId="1" xfId="0" applyFont="1" applyFill="1" applyBorder="1"/>
    <xf numFmtId="0" fontId="0" fillId="0" borderId="20" xfId="0" applyFont="1" applyBorder="1"/>
    <xf numFmtId="11" fontId="4" fillId="4" borderId="16" xfId="0" applyNumberFormat="1" applyFont="1" applyFill="1" applyBorder="1"/>
    <xf numFmtId="10" fontId="4" fillId="4" borderId="16" xfId="0" applyNumberFormat="1" applyFont="1" applyFill="1" applyBorder="1"/>
    <xf numFmtId="164" fontId="0" fillId="0" borderId="0" xfId="0" applyNumberFormat="1" applyFont="1"/>
    <xf numFmtId="10" fontId="0" fillId="0" borderId="17" xfId="0" applyNumberFormat="1" applyFont="1" applyBorder="1"/>
    <xf numFmtId="10" fontId="5" fillId="2" borderId="1" xfId="0" applyNumberFormat="1" applyFont="1" applyFill="1" applyBorder="1"/>
    <xf numFmtId="10" fontId="0" fillId="3" borderId="2" xfId="0" applyNumberFormat="1" applyFont="1" applyFill="1" applyBorder="1"/>
    <xf numFmtId="0" fontId="0" fillId="0" borderId="21" xfId="0" applyFont="1" applyBorder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167" fontId="0" fillId="0" borderId="24" xfId="0" applyNumberFormat="1" applyFont="1" applyBorder="1"/>
    <xf numFmtId="10" fontId="0" fillId="0" borderId="25" xfId="0" applyNumberFormat="1" applyFont="1" applyBorder="1"/>
    <xf numFmtId="0" fontId="6" fillId="0" borderId="0" xfId="0" applyFont="1"/>
    <xf numFmtId="10" fontId="0" fillId="0" borderId="0" xfId="0" applyNumberFormat="1" applyFont="1"/>
    <xf numFmtId="10" fontId="6" fillId="0" borderId="0" xfId="0" applyNumberFormat="1" applyFont="1"/>
    <xf numFmtId="0" fontId="7" fillId="5" borderId="16" xfId="0" applyFont="1" applyFill="1" applyBorder="1"/>
    <xf numFmtId="0" fontId="8" fillId="6" borderId="16" xfId="0" applyFont="1" applyFill="1" applyBorder="1"/>
    <xf numFmtId="10" fontId="8" fillId="6" borderId="16" xfId="0" applyNumberFormat="1" applyFont="1" applyFill="1" applyBorder="1"/>
    <xf numFmtId="0" fontId="7" fillId="5" borderId="26" xfId="0" applyFont="1" applyFill="1" applyBorder="1"/>
    <xf numFmtId="10" fontId="7" fillId="5" borderId="26" xfId="0" applyNumberFormat="1" applyFont="1" applyFill="1" applyBorder="1"/>
    <xf numFmtId="164" fontId="4" fillId="4" borderId="16" xfId="0" applyNumberFormat="1" applyFont="1" applyFill="1" applyBorder="1"/>
    <xf numFmtId="9" fontId="0" fillId="0" borderId="11" xfId="0" applyNumberFormat="1" applyFont="1" applyBorder="1"/>
    <xf numFmtId="166" fontId="0" fillId="3" borderId="2" xfId="0" applyNumberFormat="1" applyFont="1" applyFill="1" applyBorder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/>
    </xf>
    <xf numFmtId="10" fontId="9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10" fontId="10" fillId="3" borderId="2" xfId="0" applyNumberFormat="1" applyFont="1" applyFill="1" applyBorder="1"/>
    <xf numFmtId="0" fontId="8" fillId="6" borderId="16" xfId="0" applyFont="1" applyFill="1" applyBorder="1" applyAlignment="1">
      <alignment wrapText="1"/>
    </xf>
    <xf numFmtId="10" fontId="8" fillId="6" borderId="16" xfId="0" applyNumberFormat="1" applyFont="1" applyFill="1" applyBorder="1" applyAlignment="1">
      <alignment horizontal="center" vertical="center"/>
    </xf>
    <xf numFmtId="168" fontId="10" fillId="3" borderId="2" xfId="0" applyNumberFormat="1" applyFont="1" applyFill="1" applyBorder="1"/>
    <xf numFmtId="0" fontId="11" fillId="0" borderId="0" xfId="0" applyFont="1"/>
    <xf numFmtId="0" fontId="9" fillId="0" borderId="0" xfId="0" applyFont="1"/>
    <xf numFmtId="10" fontId="9" fillId="0" borderId="0" xfId="0" applyNumberFormat="1" applyFont="1"/>
    <xf numFmtId="0" fontId="12" fillId="7" borderId="16" xfId="0" applyFont="1" applyFill="1" applyBorder="1" applyAlignment="1">
      <alignment horizontal="center" vertical="center" wrapText="1"/>
    </xf>
    <xf numFmtId="10" fontId="12" fillId="7" borderId="16" xfId="0" applyNumberFormat="1" applyFont="1" applyFill="1" applyBorder="1"/>
    <xf numFmtId="166" fontId="7" fillId="5" borderId="16" xfId="0" applyNumberFormat="1" applyFont="1" applyFill="1" applyBorder="1"/>
    <xf numFmtId="10" fontId="13" fillId="0" borderId="0" xfId="0" applyNumberFormat="1" applyFont="1"/>
    <xf numFmtId="2" fontId="0" fillId="3" borderId="2" xfId="0" applyNumberFormat="1" applyFont="1" applyFill="1" applyBorder="1"/>
    <xf numFmtId="0" fontId="8" fillId="6" borderId="26" xfId="0" applyFont="1" applyFill="1" applyBorder="1"/>
    <xf numFmtId="168" fontId="8" fillId="6" borderId="26" xfId="0" applyNumberFormat="1" applyFont="1" applyFill="1" applyBorder="1"/>
    <xf numFmtId="11" fontId="0" fillId="0" borderId="0" xfId="0" applyNumberFormat="1" applyFont="1"/>
    <xf numFmtId="10" fontId="8" fillId="6" borderId="26" xfId="0" applyNumberFormat="1" applyFont="1" applyFill="1" applyBorder="1"/>
    <xf numFmtId="11" fontId="5" fillId="2" borderId="1" xfId="0" applyNumberFormat="1" applyFont="1" applyFill="1" applyBorder="1"/>
    <xf numFmtId="0" fontId="0" fillId="0" borderId="0" xfId="0" applyFont="1" applyAlignment="1"/>
    <xf numFmtId="0" fontId="0" fillId="0" borderId="28" xfId="0" applyBorder="1"/>
    <xf numFmtId="0" fontId="14" fillId="8" borderId="0" xfId="1"/>
    <xf numFmtId="0" fontId="17" fillId="0" borderId="28" xfId="0" applyFont="1" applyBorder="1"/>
    <xf numFmtId="10" fontId="14" fillId="8" borderId="0" xfId="1" applyNumberFormat="1"/>
    <xf numFmtId="0" fontId="16" fillId="0" borderId="33" xfId="3" applyAlignment="1"/>
    <xf numFmtId="10" fontId="15" fillId="9" borderId="16" xfId="2" applyNumberFormat="1"/>
    <xf numFmtId="10" fontId="0" fillId="0" borderId="0" xfId="0" applyNumberFormat="1" applyFont="1" applyAlignment="1"/>
    <xf numFmtId="0" fontId="17" fillId="0" borderId="0" xfId="0" applyFont="1" applyAlignment="1"/>
    <xf numFmtId="0" fontId="17" fillId="0" borderId="28" xfId="0" applyFont="1" applyFill="1" applyBorder="1" applyAlignment="1"/>
    <xf numFmtId="0" fontId="19" fillId="0" borderId="28" xfId="5" applyBorder="1"/>
    <xf numFmtId="0" fontId="18" fillId="10" borderId="1" xfId="4" applyAlignment="1"/>
    <xf numFmtId="10" fontId="18" fillId="10" borderId="1" xfId="4" applyNumberFormat="1" applyAlignment="1"/>
    <xf numFmtId="10" fontId="19" fillId="0" borderId="28" xfId="5" applyNumberFormat="1" applyBorder="1"/>
    <xf numFmtId="0" fontId="0" fillId="0" borderId="29" xfId="0" applyFont="1" applyBorder="1" applyAlignment="1">
      <alignment horizontal="center"/>
    </xf>
    <xf numFmtId="0" fontId="0" fillId="0" borderId="0" xfId="0" applyFont="1" applyAlignment="1"/>
    <xf numFmtId="10" fontId="0" fillId="0" borderId="0" xfId="0" applyNumberFormat="1" applyFont="1" applyAlignment="1">
      <alignment horizontal="center"/>
    </xf>
    <xf numFmtId="0" fontId="0" fillId="3" borderId="30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2" xfId="0" applyFont="1" applyBorder="1"/>
    <xf numFmtId="0" fontId="4" fillId="4" borderId="3" xfId="0" applyFont="1" applyFill="1" applyBorder="1" applyAlignment="1">
      <alignment horizontal="center"/>
    </xf>
    <xf numFmtId="0" fontId="2" fillId="0" borderId="4" xfId="0" applyFont="1" applyBorder="1"/>
    <xf numFmtId="0" fontId="0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5" fillId="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10" fontId="8" fillId="6" borderId="27" xfId="0" applyNumberFormat="1" applyFont="1" applyFill="1" applyBorder="1" applyAlignment="1">
      <alignment horizontal="center" vertical="center"/>
    </xf>
    <xf numFmtId="0" fontId="2" fillId="0" borderId="28" xfId="0" applyFont="1" applyBorder="1"/>
    <xf numFmtId="0" fontId="7" fillId="5" borderId="2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</cellXfs>
  <cellStyles count="6">
    <cellStyle name="Bad" xfId="1" builtinId="27"/>
    <cellStyle name="Explanatory Text" xfId="5" builtinId="53"/>
    <cellStyle name="Input" xfId="4" builtinId="20"/>
    <cellStyle name="Linked Cell" xfId="3" builtinId="2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fintechexplained/market-risk-explanation-of-var-calculations-e31734f26d93" TargetMode="External"/><Relationship Id="rId2" Type="http://schemas.openxmlformats.org/officeDocument/2006/relationships/hyperlink" Target="https://www.investopedia.com/ask/answers/033115/how-can-you-calculate-value-risk-var-excel.asp" TargetMode="External"/><Relationship Id="rId1" Type="http://schemas.openxmlformats.org/officeDocument/2006/relationships/hyperlink" Target="https://financetrainingcourse.com/education/2012/07/value-at-risk-var-case-study-explanation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topLeftCell="X27" workbookViewId="0">
      <selection activeCell="AD46" sqref="AD46"/>
    </sheetView>
  </sheetViews>
  <sheetFormatPr defaultColWidth="14.453125" defaultRowHeight="15" customHeight="1"/>
  <cols>
    <col min="1" max="1" width="29.54296875" customWidth="1"/>
    <col min="2" max="2" width="8.81640625" customWidth="1"/>
    <col min="3" max="3" width="9.1796875" customWidth="1"/>
    <col min="4" max="4" width="8.81640625" customWidth="1"/>
    <col min="5" max="5" width="14.1796875" customWidth="1"/>
    <col min="6" max="6" width="13.54296875" customWidth="1"/>
    <col min="7" max="7" width="14.81640625" customWidth="1"/>
    <col min="8" max="9" width="14.54296875" customWidth="1"/>
    <col min="10" max="10" width="12.81640625" customWidth="1"/>
    <col min="11" max="11" width="12.1796875" customWidth="1"/>
    <col min="12" max="12" width="11.54296875" customWidth="1"/>
    <col min="13" max="13" width="13.26953125" customWidth="1"/>
    <col min="14" max="14" width="17.54296875" customWidth="1"/>
    <col min="15" max="15" width="20.453125" bestFit="1" customWidth="1"/>
    <col min="16" max="16" width="17.7265625" customWidth="1"/>
    <col min="17" max="17" width="12" customWidth="1"/>
    <col min="18" max="18" width="17.7265625" customWidth="1"/>
    <col min="19" max="19" width="24.81640625" customWidth="1"/>
    <col min="20" max="20" width="23.81640625" customWidth="1"/>
    <col min="21" max="21" width="12.453125" customWidth="1"/>
    <col min="22" max="24" width="20.54296875" customWidth="1"/>
    <col min="25" max="25" width="13.81640625" customWidth="1"/>
    <col min="26" max="26" width="15.81640625" customWidth="1"/>
    <col min="27" max="27" width="30.453125" customWidth="1"/>
    <col min="28" max="28" width="18" customWidth="1"/>
    <col min="29" max="29" width="22.1796875" customWidth="1"/>
    <col min="30" max="30" width="29.1796875" customWidth="1"/>
    <col min="31" max="31" width="14.81640625" customWidth="1"/>
  </cols>
  <sheetData>
    <row r="1" spans="1:31" ht="14.5">
      <c r="A1" s="1" t="s">
        <v>0</v>
      </c>
      <c r="B1" s="2">
        <v>252</v>
      </c>
      <c r="D1" s="3" t="s">
        <v>1</v>
      </c>
      <c r="E1" s="3" t="s">
        <v>2</v>
      </c>
      <c r="F1" s="3" t="s">
        <v>3</v>
      </c>
      <c r="I1" s="4"/>
      <c r="J1" s="4"/>
      <c r="K1" s="4"/>
      <c r="L1" s="4"/>
      <c r="M1" s="4"/>
      <c r="N1" s="4"/>
      <c r="P1" s="4"/>
      <c r="Q1" s="4"/>
      <c r="R1" s="4"/>
      <c r="W1" s="4"/>
      <c r="X1" s="4"/>
      <c r="Y1" s="5" t="s">
        <v>4</v>
      </c>
      <c r="Z1" s="4">
        <v>6</v>
      </c>
      <c r="AA1" s="4"/>
      <c r="AB1" s="4"/>
    </row>
    <row r="2" spans="1:31" ht="14.5">
      <c r="A2" s="87" t="s">
        <v>5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 t="s">
        <v>6</v>
      </c>
      <c r="P2" s="90"/>
      <c r="Q2" s="90"/>
      <c r="R2" s="90"/>
      <c r="S2" s="90"/>
      <c r="T2" s="91"/>
      <c r="U2" s="92" t="s">
        <v>7</v>
      </c>
      <c r="V2" s="93"/>
      <c r="W2" s="93"/>
      <c r="X2" s="93"/>
      <c r="Y2" s="93"/>
      <c r="Z2" s="93"/>
      <c r="AA2" s="93"/>
      <c r="AB2" s="93"/>
      <c r="AC2" s="94"/>
    </row>
    <row r="3" spans="1:31" thickBot="1">
      <c r="A3" s="5" t="s">
        <v>8</v>
      </c>
      <c r="B3" s="6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8" t="s">
        <v>20</v>
      </c>
      <c r="N3" s="9" t="s">
        <v>21</v>
      </c>
      <c r="O3" s="10" t="s">
        <v>20</v>
      </c>
      <c r="P3" s="11" t="s">
        <v>22</v>
      </c>
      <c r="Q3" s="11" t="s">
        <v>23</v>
      </c>
      <c r="R3" s="11" t="s">
        <v>24</v>
      </c>
      <c r="S3" s="4" t="s">
        <v>10</v>
      </c>
      <c r="T3" s="12" t="s">
        <v>14</v>
      </c>
      <c r="U3" s="9" t="s">
        <v>8</v>
      </c>
      <c r="V3" s="13" t="s">
        <v>25</v>
      </c>
      <c r="W3" s="13" t="s">
        <v>26</v>
      </c>
      <c r="X3" s="13" t="s">
        <v>27</v>
      </c>
      <c r="Y3" s="14" t="s">
        <v>28</v>
      </c>
      <c r="Z3" s="15" t="s">
        <v>29</v>
      </c>
      <c r="AA3" s="15" t="str">
        <f>CONCATENATE("Tengant Porfolio(%)"," - ", TEXT( tangentPorfolio!B1, "yyyy-mm-dd"))</f>
        <v>Tengant Porfolio(%) - 2021-01-01</v>
      </c>
      <c r="AB3" s="4" t="s">
        <v>30</v>
      </c>
      <c r="AC3" s="5" t="s">
        <v>31</v>
      </c>
    </row>
    <row r="4" spans="1:31" ht="14.5">
      <c r="A4" s="16" t="s">
        <v>9</v>
      </c>
      <c r="B4" s="4">
        <f>VLOOKUP($A4,lognormal!$I$3:$R$14,lognormal!$M$1,FALSE) * VLOOKUP(B$3,lognormal!$I$3:$R$14,lognormal!$M$1,FALSE) *INDEX(correlation!$C$3:$N$14,MATCH($A4,correlation!$B$3:$B$14,0),MATCH(B$3,correlation!$C$2:$N$2,0))*VLOOKUP($A4,$U$4:$Z$15,$Z$1,FALSE)*VLOOKUP(B$3,$U$4:$Z$15,$Z$1,FALSE)</f>
        <v>0</v>
      </c>
      <c r="C4" s="4">
        <f>VLOOKUP($A4,lognormal!$I$3:$R$14,lognormal!$M$1,FALSE) * VLOOKUP(C$3,lognormal!$I$3:$R$14,lognormal!$M$1,FALSE) *INDEX(correlation!$C$3:$N$14,MATCH($A4,correlation!$B$3:$B$14,0),MATCH(C$3,correlation!$C$2:$N$2,0))*VLOOKUP($A4,$U$4:$Z$15,$Z$1,FALSE)*VLOOKUP(C$3,$U$4:$Z$15,$Z$1,FALSE)</f>
        <v>0</v>
      </c>
      <c r="D4" s="4">
        <f>VLOOKUP($A4,lognormal!$I$3:$R$14,lognormal!$M$1,FALSE) * VLOOKUP(D$3,lognormal!$I$3:$R$14,lognormal!$M$1,FALSE) *INDEX(correlation!$C$3:$N$14,MATCH($A4,correlation!$B$3:$B$14,0),MATCH(D$3,correlation!$C$2:$N$2,0))*VLOOKUP($A4,$U$4:$Z$15,$Z$1,FALSE)*VLOOKUP(D$3,$U$4:$Z$15,$Z$1,FALSE)</f>
        <v>0</v>
      </c>
      <c r="E4" s="4">
        <f>VLOOKUP($A4,lognormal!$I$3:$R$14,lognormal!$M$1,FALSE) * VLOOKUP(E$3,lognormal!$I$3:$R$14,lognormal!$M$1,FALSE) *INDEX(correlation!$C$3:$N$14,MATCH($A4,correlation!$B$3:$B$14,0),MATCH(E$3,correlation!$C$2:$N$2,0))*VLOOKUP($A4,$U$4:$Z$15,$Z$1,FALSE)*VLOOKUP(E$3,$U$4:$Z$15,$Z$1,FALSE)</f>
        <v>0</v>
      </c>
      <c r="F4" s="4">
        <f>VLOOKUP($A4,lognormal!$I$3:$R$14,lognormal!$M$1,FALSE) * VLOOKUP(F$3,lognormal!$I$3:$R$14,lognormal!$M$1,FALSE) *INDEX(correlation!$C$3:$N$14,MATCH($A4,correlation!$B$3:$B$14,0),MATCH(F$3,correlation!$C$2:$N$2,0))*VLOOKUP($A4,$U$4:$Z$15,$Z$1,FALSE)*VLOOKUP(F$3,$U$4:$Z$15,$Z$1,FALSE)</f>
        <v>0</v>
      </c>
      <c r="G4" s="4">
        <f>VLOOKUP($A4,lognormal!$I$3:$R$14,lognormal!$M$1,FALSE) * VLOOKUP(G$3,lognormal!$I$3:$R$14,lognormal!$M$1,FALSE) *INDEX(correlation!$C$3:$N$14,MATCH($A4,correlation!$B$3:$B$14,0),MATCH(G$3,correlation!$C$2:$N$2,0))*VLOOKUP($A4,$U$4:$Z$15,$Z$1,FALSE)*VLOOKUP(G$3,$U$4:$Z$15,$Z$1,FALSE)</f>
        <v>0</v>
      </c>
      <c r="H4" s="4">
        <f>VLOOKUP($A4,lognormal!$I$3:$R$14,lognormal!$M$1,FALSE) * VLOOKUP(H$3,lognormal!$I$3:$R$14,lognormal!$M$1,FALSE) *INDEX(correlation!$C$3:$N$14,MATCH($A4,correlation!$B$3:$B$14,0),MATCH(H$3,correlation!$C$2:$N$2,0))*VLOOKUP($A4,$U$4:$Z$15,$Z$1,FALSE)*VLOOKUP(H$3,$U$4:$Z$15,$Z$1,FALSE)</f>
        <v>0</v>
      </c>
      <c r="I4" s="4">
        <f>VLOOKUP($A4,lognormal!$I$3:$R$14,lognormal!$M$1,FALSE) * VLOOKUP(I$3,lognormal!$I$3:$R$14,lognormal!$M$1,FALSE) *INDEX(correlation!$C$3:$N$14,MATCH($A4,correlation!$B$3:$B$14,0),MATCH(I$3,correlation!$C$2:$N$2,0))*VLOOKUP($A4,$U$4:$Z$15,$Z$1,FALSE)*VLOOKUP(I$3,$U$4:$Z$15,$Z$1,FALSE)</f>
        <v>0</v>
      </c>
      <c r="J4" s="4">
        <f>VLOOKUP($A4,lognormal!$I$3:$R$14,lognormal!$M$1,FALSE) * VLOOKUP(J$3,lognormal!$I$3:$R$14,lognormal!$M$1,FALSE) *INDEX(correlation!$C$3:$N$14,MATCH($A4,correlation!$B$3:$B$14,0),MATCH(J$3,correlation!$C$2:$N$2,0))*VLOOKUP($A4,$U$4:$Z$15,$Z$1,FALSE)*VLOOKUP(J$3,$U$4:$Z$15,$Z$1,FALSE)</f>
        <v>0</v>
      </c>
      <c r="K4" s="4">
        <f>VLOOKUP($A4,lognormal!$I$3:$R$14,lognormal!$M$1,FALSE) * VLOOKUP(K$3,lognormal!$I$3:$R$14,lognormal!$M$1,FALSE) *INDEX(correlation!$C$3:$N$14,MATCH($A4,correlation!$B$3:$B$14,0),MATCH(K$3,correlation!$C$2:$N$2,0))*VLOOKUP($A4,$U$4:$Z$15,$Z$1,FALSE)*VLOOKUP(K$3,$U$4:$Z$15,$Z$1,FALSE)</f>
        <v>0</v>
      </c>
      <c r="L4" s="4">
        <f>VLOOKUP($A4,lognormal!$I$3:$R$14,lognormal!$M$1,FALSE) * VLOOKUP(L$3,lognormal!$I$3:$R$14,lognormal!$M$1,FALSE) *INDEX(correlation!$C$3:$N$14,MATCH($A4,correlation!$B$3:$B$14,0),MATCH(L$3,correlation!$C$2:$N$2,0))*VLOOKUP($A4,$U$4:$Z$15,$Z$1,FALSE)*VLOOKUP(L$3,$U$4:$Z$15,$Z$1,FALSE)</f>
        <v>0</v>
      </c>
      <c r="M4" s="4">
        <f>VLOOKUP($A4,lognormal!$I$3:$R$14,lognormal!$M$1,FALSE) * VLOOKUP(M$3,lognormal!$I$3:$R$14,lognormal!$M$1,FALSE) *INDEX(correlation!$C$3:$N$14,MATCH($A4,correlation!$B$3:$B$14,0),MATCH(M$3,correlation!$C$2:$N$2,0))*VLOOKUP($A4,$U$4:$Z$15,$Z$1,FALSE)*VLOOKUP(M$3,$U$4:$Z$15,$Z$1,FALSE)</f>
        <v>0</v>
      </c>
      <c r="N4" s="16">
        <f t="shared" ref="N4:N15" si="0">SUM(C4:M4)</f>
        <v>0</v>
      </c>
      <c r="O4" s="10">
        <f t="array" ref="O4">INDEX(beta!$B$3:$D$14,MATCH($A4,beta!$A$3:$A$14,0),MATCH(O$3,beta!$B$2:$D$2,0))</f>
        <v>8.8363619154022896E-2</v>
      </c>
      <c r="P4" s="11">
        <f t="shared" ref="P4:P15" si="1">O4*VLOOKUP(A4,$U$4:$Z$15,$Z$1,FALSE)</f>
        <v>0</v>
      </c>
      <c r="Q4" s="17">
        <f>O4*(VLOOKUP($O$3,lognormal!$A$3:$C$14,3,FALSE)-$V$23)+$V$23</f>
        <v>3.147423819002975E-2</v>
      </c>
      <c r="R4" s="18">
        <f>EXP(VLOOKUP(A4,lognormal!$A$3:$C$14,3,FALSE)-Q4)-1</f>
        <v>-0.17113814300401553</v>
      </c>
      <c r="S4" s="4">
        <f t="array" ref="S4">INDEX(beta!$B$3:$D$14,MATCH($A4,beta!$A$3:$A$14,0),MATCH(S$3,beta!$B$2:$D$2,0))</f>
        <v>-0.151491364153789</v>
      </c>
      <c r="T4" s="12">
        <f t="array" ref="T4">INDEX(beta!$B$3:$D$14,MATCH($A4,beta!$A$3:$A$14,0),MATCH(T$3,beta!$B$2:$D$2,0))</f>
        <v>0.13358183339340399</v>
      </c>
      <c r="U4" s="10" t="s">
        <v>9</v>
      </c>
      <c r="V4" s="19"/>
      <c r="W4" s="19"/>
      <c r="X4" s="19"/>
      <c r="Y4" s="20">
        <f t="shared" ref="Y4:Y15" si="2">AC4/$AC$20</f>
        <v>0</v>
      </c>
      <c r="Z4" s="21">
        <f>AA4</f>
        <v>0</v>
      </c>
      <c r="AA4" s="22">
        <f>VLOOKUP(U4,tangentPorfolio!$A$2:$B$13,2,FALSE)</f>
        <v>0</v>
      </c>
      <c r="AB4" s="4">
        <f>IF(ISNUMBER(SEARCH("HK",U4)),1,$V$21)</f>
        <v>1</v>
      </c>
      <c r="AC4" s="19">
        <f t="shared" ref="AC4:AC15" si="3">V4*AB4</f>
        <v>0</v>
      </c>
    </row>
    <row r="5" spans="1:31" ht="14.5">
      <c r="A5" s="23" t="s">
        <v>10</v>
      </c>
      <c r="B5" s="4">
        <f>VLOOKUP($A5,lognormal!$I$3:$R$14,lognormal!$M$1,FALSE) * VLOOKUP(B$3,lognormal!$I$3:$R$14,lognormal!$M$1,FALSE) *INDEX(correlation!$C$3:$N$14,MATCH($A5,correlation!$B$3:$B$14,0),MATCH(B$3,correlation!$C$2:$N$2,0))*VLOOKUP($A5,$U$4:$Z$15,$Z$1,FALSE)*VLOOKUP(B$3,$U$4:$Z$15,$Z$1,FALSE)</f>
        <v>0</v>
      </c>
      <c r="C5" s="4">
        <f>VLOOKUP($A5,lognormal!$I$3:$R$14,lognormal!$M$1,FALSE) * VLOOKUP(C$3,lognormal!$I$3:$R$14,lognormal!$M$1,FALSE) *INDEX(correlation!$C$3:$N$14,MATCH($A5,correlation!$B$3:$B$14,0),MATCH(C$3,correlation!$C$2:$N$2,0))*VLOOKUP($A5,$U$4:$Z$15,$Z$1,FALSE)*VLOOKUP(C$3,$U$4:$Z$15,$Z$1,FALSE)</f>
        <v>0</v>
      </c>
      <c r="D5" s="4">
        <f>VLOOKUP($A5,lognormal!$I$3:$R$14,lognormal!$M$1,FALSE) * VLOOKUP(D$3,lognormal!$I$3:$R$14,lognormal!$M$1,FALSE) *INDEX(correlation!$C$3:$N$14,MATCH($A5,correlation!$B$3:$B$14,0),MATCH(D$3,correlation!$C$2:$N$2,0))*VLOOKUP($A5,$U$4:$Z$15,$Z$1,FALSE)*VLOOKUP(D$3,$U$4:$Z$15,$Z$1,FALSE)</f>
        <v>0</v>
      </c>
      <c r="E5" s="4">
        <f>VLOOKUP($A5,lognormal!$I$3:$R$14,lognormal!$M$1,FALSE) * VLOOKUP(E$3,lognormal!$I$3:$R$14,lognormal!$M$1,FALSE) *INDEX(correlation!$C$3:$N$14,MATCH($A5,correlation!$B$3:$B$14,0),MATCH(E$3,correlation!$C$2:$N$2,0))*VLOOKUP($A5,$U$4:$Z$15,$Z$1,FALSE)*VLOOKUP(E$3,$U$4:$Z$15,$Z$1,FALSE)</f>
        <v>0</v>
      </c>
      <c r="F5" s="4">
        <f>VLOOKUP($A5,lognormal!$I$3:$R$14,lognormal!$M$1,FALSE) * VLOOKUP(F$3,lognormal!$I$3:$R$14,lognormal!$M$1,FALSE) *INDEX(correlation!$C$3:$N$14,MATCH($A5,correlation!$B$3:$B$14,0),MATCH(F$3,correlation!$C$2:$N$2,0))*VLOOKUP($A5,$U$4:$Z$15,$Z$1,FALSE)*VLOOKUP(F$3,$U$4:$Z$15,$Z$1,FALSE)</f>
        <v>0</v>
      </c>
      <c r="G5" s="4">
        <f>VLOOKUP($A5,lognormal!$I$3:$R$14,lognormal!$M$1,FALSE) * VLOOKUP(G$3,lognormal!$I$3:$R$14,lognormal!$M$1,FALSE) *INDEX(correlation!$C$3:$N$14,MATCH($A5,correlation!$B$3:$B$14,0),MATCH(G$3,correlation!$C$2:$N$2,0))*VLOOKUP($A5,$U$4:$Z$15,$Z$1,FALSE)*VLOOKUP(G$3,$U$4:$Z$15,$Z$1,FALSE)</f>
        <v>0</v>
      </c>
      <c r="H5" s="4">
        <f>VLOOKUP($A5,lognormal!$I$3:$R$14,lognormal!$M$1,FALSE) * VLOOKUP(H$3,lognormal!$I$3:$R$14,lognormal!$M$1,FALSE) *INDEX(correlation!$C$3:$N$14,MATCH($A5,correlation!$B$3:$B$14,0),MATCH(H$3,correlation!$C$2:$N$2,0))*VLOOKUP($A5,$U$4:$Z$15,$Z$1,FALSE)*VLOOKUP(H$3,$U$4:$Z$15,$Z$1,FALSE)</f>
        <v>0</v>
      </c>
      <c r="I5" s="4">
        <f>VLOOKUP($A5,lognormal!$I$3:$R$14,lognormal!$M$1,FALSE) * VLOOKUP(I$3,lognormal!$I$3:$R$14,lognormal!$M$1,FALSE) *INDEX(correlation!$C$3:$N$14,MATCH($A5,correlation!$B$3:$B$14,0),MATCH(I$3,correlation!$C$2:$N$2,0))*VLOOKUP($A5,$U$4:$Z$15,$Z$1,FALSE)*VLOOKUP(I$3,$U$4:$Z$15,$Z$1,FALSE)</f>
        <v>0</v>
      </c>
      <c r="J5" s="4">
        <f>VLOOKUP($A5,lognormal!$I$3:$R$14,lognormal!$M$1,FALSE) * VLOOKUP(J$3,lognormal!$I$3:$R$14,lognormal!$M$1,FALSE) *INDEX(correlation!$C$3:$N$14,MATCH($A5,correlation!$B$3:$B$14,0),MATCH(J$3,correlation!$C$2:$N$2,0))*VLOOKUP($A5,$U$4:$Z$15,$Z$1,FALSE)*VLOOKUP(J$3,$U$4:$Z$15,$Z$1,FALSE)</f>
        <v>0</v>
      </c>
      <c r="K5" s="4">
        <f>VLOOKUP($A5,lognormal!$I$3:$R$14,lognormal!$M$1,FALSE) * VLOOKUP(K$3,lognormal!$I$3:$R$14,lognormal!$M$1,FALSE) *INDEX(correlation!$C$3:$N$14,MATCH($A5,correlation!$B$3:$B$14,0),MATCH(K$3,correlation!$C$2:$N$2,0))*VLOOKUP($A5,$U$4:$Z$15,$Z$1,FALSE)*VLOOKUP(K$3,$U$4:$Z$15,$Z$1,FALSE)</f>
        <v>0</v>
      </c>
      <c r="L5" s="4">
        <f>VLOOKUP($A5,lognormal!$I$3:$R$14,lognormal!$M$1,FALSE) * VLOOKUP(L$3,lognormal!$I$3:$R$14,lognormal!$M$1,FALSE) *INDEX(correlation!$C$3:$N$14,MATCH($A5,correlation!$B$3:$B$14,0),MATCH(L$3,correlation!$C$2:$N$2,0))*VLOOKUP($A5,$U$4:$Z$15,$Z$1,FALSE)*VLOOKUP(L$3,$U$4:$Z$15,$Z$1,FALSE)</f>
        <v>0</v>
      </c>
      <c r="M5" s="4">
        <f>VLOOKUP($A5,lognormal!$I$3:$R$14,lognormal!$M$1,FALSE) * VLOOKUP(M$3,lognormal!$I$3:$R$14,lognormal!$M$1,FALSE) *INDEX(correlation!$C$3:$N$14,MATCH($A5,correlation!$B$3:$B$14,0),MATCH(M$3,correlation!$C$2:$N$2,0))*VLOOKUP($A5,$U$4:$Z$15,$Z$1,FALSE)*VLOOKUP(M$3,$U$4:$Z$15,$Z$1,FALSE)</f>
        <v>0</v>
      </c>
      <c r="N5" s="23">
        <f t="shared" si="0"/>
        <v>0</v>
      </c>
      <c r="O5" s="10">
        <f t="array" ref="O5">INDEX(beta!$B$3:$D$14,MATCH($A5,beta!$A$3:$A$14,0),MATCH(O$3,beta!$B$2:$D$2,0))</f>
        <v>0.15743642273504599</v>
      </c>
      <c r="P5" s="11">
        <f t="shared" si="1"/>
        <v>0</v>
      </c>
      <c r="Q5" s="17">
        <f>O5*(VLOOKUP($O$3,lognormal!$A$3:$C$14,3,FALSE)-$V$23)+$V$23</f>
        <v>5.319037156938751E-2</v>
      </c>
      <c r="R5" s="18">
        <f>EXP(VLOOKUP(A5,lognormal!$A$3:$C$14,3,FALSE)-Q5)-1</f>
        <v>-7.4015295478354726E-2</v>
      </c>
      <c r="S5" s="4">
        <f t="array" ref="S5">INDEX(beta!$B$3:$D$14,MATCH($A5,beta!$A$3:$A$14,0),MATCH(S$3,beta!$B$2:$D$2,0))</f>
        <v>1</v>
      </c>
      <c r="T5" s="12">
        <f t="array" ref="T5">INDEX(beta!$B$3:$D$14,MATCH($A5,beta!$A$3:$A$14,0),MATCH(T$3,beta!$B$2:$D$2,0))</f>
        <v>0.48734204708203599</v>
      </c>
      <c r="U5" s="10" t="s">
        <v>10</v>
      </c>
      <c r="V5" s="24"/>
      <c r="W5" s="24"/>
      <c r="X5" s="24"/>
      <c r="Y5" s="20">
        <f t="shared" si="2"/>
        <v>0</v>
      </c>
      <c r="Z5" s="21">
        <f t="shared" ref="Z5:Z15" si="4">Y5</f>
        <v>0</v>
      </c>
      <c r="AA5" s="22">
        <f>VLOOKUP(U5,tangentPorfolio!$A$2:$B$13,2,FALSE)</f>
        <v>0</v>
      </c>
      <c r="AB5" s="25">
        <f>IF(ISNUMBER(SEARCH("HK",U5)),1,IF(ISNUMBER(SEARCH("SZ",U5)), V22, V21))</f>
        <v>1.20726716</v>
      </c>
      <c r="AC5" s="19">
        <f t="shared" si="3"/>
        <v>0</v>
      </c>
    </row>
    <row r="6" spans="1:31" ht="14.5">
      <c r="A6" s="23" t="s">
        <v>11</v>
      </c>
      <c r="B6" s="4">
        <f>VLOOKUP($A6,lognormal!$I$3:$R$14,lognormal!$M$1,FALSE) * VLOOKUP(B$3,lognormal!$I$3:$R$14,lognormal!$M$1,FALSE) *INDEX(correlation!$C$3:$N$14,MATCH($A6,correlation!$B$3:$B$14,0),MATCH(B$3,correlation!$C$2:$N$2,0))*VLOOKUP($A6,$U$4:$Z$15,$Z$1,FALSE)*VLOOKUP(B$3,$U$4:$Z$15,$Z$1,FALSE)</f>
        <v>0</v>
      </c>
      <c r="C6" s="4">
        <f>VLOOKUP($A6,lognormal!$I$3:$R$14,lognormal!$M$1,FALSE) * VLOOKUP(C$3,lognormal!$I$3:$R$14,lognormal!$M$1,FALSE) *INDEX(correlation!$C$3:$N$14,MATCH($A6,correlation!$B$3:$B$14,0),MATCH(C$3,correlation!$C$2:$N$2,0))*VLOOKUP($A6,$U$4:$Z$15,$Z$1,FALSE)*VLOOKUP(C$3,$U$4:$Z$15,$Z$1,FALSE)</f>
        <v>0</v>
      </c>
      <c r="D6" s="4">
        <f>VLOOKUP($A6,lognormal!$I$3:$R$14,lognormal!$M$1,FALSE) * VLOOKUP(D$3,lognormal!$I$3:$R$14,lognormal!$M$1,FALSE) *INDEX(correlation!$C$3:$N$14,MATCH($A6,correlation!$B$3:$B$14,0),MATCH(D$3,correlation!$C$2:$N$2,0))*VLOOKUP($A6,$U$4:$Z$15,$Z$1,FALSE)*VLOOKUP(D$3,$U$4:$Z$15,$Z$1,FALSE)</f>
        <v>0</v>
      </c>
      <c r="E6" s="4">
        <f>VLOOKUP($A6,lognormal!$I$3:$R$14,lognormal!$M$1,FALSE) * VLOOKUP(E$3,lognormal!$I$3:$R$14,lognormal!$M$1,FALSE) *INDEX(correlation!$C$3:$N$14,MATCH($A6,correlation!$B$3:$B$14,0),MATCH(E$3,correlation!$C$2:$N$2,0))*VLOOKUP($A6,$U$4:$Z$15,$Z$1,FALSE)*VLOOKUP(E$3,$U$4:$Z$15,$Z$1,FALSE)</f>
        <v>0</v>
      </c>
      <c r="F6" s="4">
        <f>VLOOKUP($A6,lognormal!$I$3:$R$14,lognormal!$M$1,FALSE) * VLOOKUP(F$3,lognormal!$I$3:$R$14,lognormal!$M$1,FALSE) *INDEX(correlation!$C$3:$N$14,MATCH($A6,correlation!$B$3:$B$14,0),MATCH(F$3,correlation!$C$2:$N$2,0))*VLOOKUP($A6,$U$4:$Z$15,$Z$1,FALSE)*VLOOKUP(F$3,$U$4:$Z$15,$Z$1,FALSE)</f>
        <v>0</v>
      </c>
      <c r="G6" s="4">
        <f>VLOOKUP($A6,lognormal!$I$3:$R$14,lognormal!$M$1,FALSE) * VLOOKUP(G$3,lognormal!$I$3:$R$14,lognormal!$M$1,FALSE) *INDEX(correlation!$C$3:$N$14,MATCH($A6,correlation!$B$3:$B$14,0),MATCH(G$3,correlation!$C$2:$N$2,0))*VLOOKUP($A6,$U$4:$Z$15,$Z$1,FALSE)*VLOOKUP(G$3,$U$4:$Z$15,$Z$1,FALSE)</f>
        <v>0</v>
      </c>
      <c r="H6" s="4">
        <f>VLOOKUP($A6,lognormal!$I$3:$R$14,lognormal!$M$1,FALSE) * VLOOKUP(H$3,lognormal!$I$3:$R$14,lognormal!$M$1,FALSE) *INDEX(correlation!$C$3:$N$14,MATCH($A6,correlation!$B$3:$B$14,0),MATCH(H$3,correlation!$C$2:$N$2,0))*VLOOKUP($A6,$U$4:$Z$15,$Z$1,FALSE)*VLOOKUP(H$3,$U$4:$Z$15,$Z$1,FALSE)</f>
        <v>0</v>
      </c>
      <c r="I6" s="4">
        <f>VLOOKUP($A6,lognormal!$I$3:$R$14,lognormal!$M$1,FALSE) * VLOOKUP(I$3,lognormal!$I$3:$R$14,lognormal!$M$1,FALSE) *INDEX(correlation!$C$3:$N$14,MATCH($A6,correlation!$B$3:$B$14,0),MATCH(I$3,correlation!$C$2:$N$2,0))*VLOOKUP($A6,$U$4:$Z$15,$Z$1,FALSE)*VLOOKUP(I$3,$U$4:$Z$15,$Z$1,FALSE)</f>
        <v>0</v>
      </c>
      <c r="J6" s="4">
        <f>VLOOKUP($A6,lognormal!$I$3:$R$14,lognormal!$M$1,FALSE) * VLOOKUP(J$3,lognormal!$I$3:$R$14,lognormal!$M$1,FALSE) *INDEX(correlation!$C$3:$N$14,MATCH($A6,correlation!$B$3:$B$14,0),MATCH(J$3,correlation!$C$2:$N$2,0))*VLOOKUP($A6,$U$4:$Z$15,$Z$1,FALSE)*VLOOKUP(J$3,$U$4:$Z$15,$Z$1,FALSE)</f>
        <v>0</v>
      </c>
      <c r="K6" s="4">
        <f>VLOOKUP($A6,lognormal!$I$3:$R$14,lognormal!$M$1,FALSE) * VLOOKUP(K$3,lognormal!$I$3:$R$14,lognormal!$M$1,FALSE) *INDEX(correlation!$C$3:$N$14,MATCH($A6,correlation!$B$3:$B$14,0),MATCH(K$3,correlation!$C$2:$N$2,0))*VLOOKUP($A6,$U$4:$Z$15,$Z$1,FALSE)*VLOOKUP(K$3,$U$4:$Z$15,$Z$1,FALSE)</f>
        <v>0</v>
      </c>
      <c r="L6" s="4">
        <f>VLOOKUP($A6,lognormal!$I$3:$R$14,lognormal!$M$1,FALSE) * VLOOKUP(L$3,lognormal!$I$3:$R$14,lognormal!$M$1,FALSE) *INDEX(correlation!$C$3:$N$14,MATCH($A6,correlation!$B$3:$B$14,0),MATCH(L$3,correlation!$C$2:$N$2,0))*VLOOKUP($A6,$U$4:$Z$15,$Z$1,FALSE)*VLOOKUP(L$3,$U$4:$Z$15,$Z$1,FALSE)</f>
        <v>0</v>
      </c>
      <c r="M6" s="4">
        <f>VLOOKUP($A6,lognormal!$I$3:$R$14,lognormal!$M$1,FALSE) * VLOOKUP(M$3,lognormal!$I$3:$R$14,lognormal!$M$1,FALSE) *INDEX(correlation!$C$3:$N$14,MATCH($A6,correlation!$B$3:$B$14,0),MATCH(M$3,correlation!$C$2:$N$2,0))*VLOOKUP($A6,$U$4:$Z$15,$Z$1,FALSE)*VLOOKUP(M$3,$U$4:$Z$15,$Z$1,FALSE)</f>
        <v>0</v>
      </c>
      <c r="N6" s="23">
        <f t="shared" si="0"/>
        <v>0</v>
      </c>
      <c r="O6" s="10">
        <f t="array" ref="O6">INDEX(beta!$B$3:$D$14,MATCH($A6,beta!$A$3:$A$14,0),MATCH(O$3,beta!$B$2:$D$2,0))</f>
        <v>0.27083084484242498</v>
      </c>
      <c r="P6" s="11">
        <f t="shared" si="1"/>
        <v>0</v>
      </c>
      <c r="Q6" s="17">
        <f>O6*(VLOOKUP($O$3,lognormal!$A$3:$C$14,3,FALSE)-$V$23)+$V$23</f>
        <v>8.884099333791777E-2</v>
      </c>
      <c r="R6" s="18">
        <f>EXP(VLOOKUP(A6,lognormal!$A$3:$C$14,3,FALSE)-Q6)-1</f>
        <v>0.20610309291756579</v>
      </c>
      <c r="S6" s="4">
        <f t="array" ref="S6">INDEX(beta!$B$3:$D$14,MATCH($A6,beta!$A$3:$A$14,0),MATCH(S$3,beta!$B$2:$D$2,0))</f>
        <v>0.24531328073466099</v>
      </c>
      <c r="T6" s="12">
        <f t="array" ref="T6">INDEX(beta!$B$3:$D$14,MATCH($A6,beta!$A$3:$A$14,0),MATCH(T$3,beta!$B$2:$D$2,0))</f>
        <v>0.82233353607652304</v>
      </c>
      <c r="U6" s="10" t="s">
        <v>11</v>
      </c>
      <c r="V6" s="19"/>
      <c r="W6" s="19"/>
      <c r="X6" s="19"/>
      <c r="Y6" s="20">
        <f t="shared" si="2"/>
        <v>0</v>
      </c>
      <c r="Z6" s="21">
        <f t="shared" si="4"/>
        <v>0</v>
      </c>
      <c r="AA6" s="22">
        <f>VLOOKUP(U6,tangentPorfolio!$A$2:$B$13,2,FALSE)</f>
        <v>8.78667868240567E-2</v>
      </c>
      <c r="AB6" s="4">
        <f t="shared" ref="AB6:AB15" si="5">IF(ISNUMBER(SEARCH("HK",U6)),1,$V$21)</f>
        <v>1</v>
      </c>
      <c r="AC6" s="19">
        <f t="shared" si="3"/>
        <v>0</v>
      </c>
    </row>
    <row r="7" spans="1:31" ht="14.5">
      <c r="A7" s="23" t="s">
        <v>12</v>
      </c>
      <c r="B7" s="4">
        <f>VLOOKUP($A7,lognormal!$I$3:$R$14,lognormal!$M$1,FALSE) * VLOOKUP(B$3,lognormal!$I$3:$R$14,lognormal!$M$1,FALSE) *INDEX(correlation!$C$3:$N$14,MATCH($A7,correlation!$B$3:$B$14,0),MATCH(B$3,correlation!$C$2:$N$2,0))*VLOOKUP($A7,$U$4:$Z$15,$Z$1,FALSE)*VLOOKUP(B$3,$U$4:$Z$15,$Z$1,FALSE)</f>
        <v>0</v>
      </c>
      <c r="C7" s="4">
        <f>VLOOKUP($A7,lognormal!$I$3:$R$14,lognormal!$M$1,FALSE) * VLOOKUP(C$3,lognormal!$I$3:$R$14,lognormal!$M$1,FALSE) *INDEX(correlation!$C$3:$N$14,MATCH($A7,correlation!$B$3:$B$14,0),MATCH(C$3,correlation!$C$2:$N$2,0))*VLOOKUP($A7,$U$4:$Z$15,$Z$1,FALSE)*VLOOKUP(C$3,$U$4:$Z$15,$Z$1,FALSE)</f>
        <v>0</v>
      </c>
      <c r="D7" s="4">
        <f>VLOOKUP($A7,lognormal!$I$3:$R$14,lognormal!$M$1,FALSE) * VLOOKUP(D$3,lognormal!$I$3:$R$14,lognormal!$M$1,FALSE) *INDEX(correlation!$C$3:$N$14,MATCH($A7,correlation!$B$3:$B$14,0),MATCH(D$3,correlation!$C$2:$N$2,0))*VLOOKUP($A7,$U$4:$Z$15,$Z$1,FALSE)*VLOOKUP(D$3,$U$4:$Z$15,$Z$1,FALSE)</f>
        <v>0</v>
      </c>
      <c r="E7" s="4">
        <f>VLOOKUP($A7,lognormal!$I$3:$R$14,lognormal!$M$1,FALSE) * VLOOKUP(E$3,lognormal!$I$3:$R$14,lognormal!$M$1,FALSE) *INDEX(correlation!$C$3:$N$14,MATCH($A7,correlation!$B$3:$B$14,0),MATCH(E$3,correlation!$C$2:$N$2,0))*VLOOKUP($A7,$U$4:$Z$15,$Z$1,FALSE)*VLOOKUP(E$3,$U$4:$Z$15,$Z$1,FALSE)</f>
        <v>0</v>
      </c>
      <c r="F7" s="4">
        <f>VLOOKUP($A7,lognormal!$I$3:$R$14,lognormal!$M$1,FALSE) * VLOOKUP(F$3,lognormal!$I$3:$R$14,lognormal!$M$1,FALSE) *INDEX(correlation!$C$3:$N$14,MATCH($A7,correlation!$B$3:$B$14,0),MATCH(F$3,correlation!$C$2:$N$2,0))*VLOOKUP($A7,$U$4:$Z$15,$Z$1,FALSE)*VLOOKUP(F$3,$U$4:$Z$15,$Z$1,FALSE)</f>
        <v>0</v>
      </c>
      <c r="G7" s="4">
        <f>VLOOKUP($A7,lognormal!$I$3:$R$14,lognormal!$M$1,FALSE) * VLOOKUP(G$3,lognormal!$I$3:$R$14,lognormal!$M$1,FALSE) *INDEX(correlation!$C$3:$N$14,MATCH($A7,correlation!$B$3:$B$14,0),MATCH(G$3,correlation!$C$2:$N$2,0))*VLOOKUP($A7,$U$4:$Z$15,$Z$1,FALSE)*VLOOKUP(G$3,$U$4:$Z$15,$Z$1,FALSE)</f>
        <v>0</v>
      </c>
      <c r="H7" s="4">
        <f>VLOOKUP($A7,lognormal!$I$3:$R$14,lognormal!$M$1,FALSE) * VLOOKUP(H$3,lognormal!$I$3:$R$14,lognormal!$M$1,FALSE) *INDEX(correlation!$C$3:$N$14,MATCH($A7,correlation!$B$3:$B$14,0),MATCH(H$3,correlation!$C$2:$N$2,0))*VLOOKUP($A7,$U$4:$Z$15,$Z$1,FALSE)*VLOOKUP(H$3,$U$4:$Z$15,$Z$1,FALSE)</f>
        <v>0</v>
      </c>
      <c r="I7" s="4">
        <f>VLOOKUP($A7,lognormal!$I$3:$R$14,lognormal!$M$1,FALSE) * VLOOKUP(I$3,lognormal!$I$3:$R$14,lognormal!$M$1,FALSE) *INDEX(correlation!$C$3:$N$14,MATCH($A7,correlation!$B$3:$B$14,0),MATCH(I$3,correlation!$C$2:$N$2,0))*VLOOKUP($A7,$U$4:$Z$15,$Z$1,FALSE)*VLOOKUP(I$3,$U$4:$Z$15,$Z$1,FALSE)</f>
        <v>0</v>
      </c>
      <c r="J7" s="4">
        <f>VLOOKUP($A7,lognormal!$I$3:$R$14,lognormal!$M$1,FALSE) * VLOOKUP(J$3,lognormal!$I$3:$R$14,lognormal!$M$1,FALSE) *INDEX(correlation!$C$3:$N$14,MATCH($A7,correlation!$B$3:$B$14,0),MATCH(J$3,correlation!$C$2:$N$2,0))*VLOOKUP($A7,$U$4:$Z$15,$Z$1,FALSE)*VLOOKUP(J$3,$U$4:$Z$15,$Z$1,FALSE)</f>
        <v>0</v>
      </c>
      <c r="K7" s="4">
        <f>VLOOKUP($A7,lognormal!$I$3:$R$14,lognormal!$M$1,FALSE) * VLOOKUP(K$3,lognormal!$I$3:$R$14,lognormal!$M$1,FALSE) *INDEX(correlation!$C$3:$N$14,MATCH($A7,correlation!$B$3:$B$14,0),MATCH(K$3,correlation!$C$2:$N$2,0))*VLOOKUP($A7,$U$4:$Z$15,$Z$1,FALSE)*VLOOKUP(K$3,$U$4:$Z$15,$Z$1,FALSE)</f>
        <v>0</v>
      </c>
      <c r="L7" s="4">
        <f>VLOOKUP($A7,lognormal!$I$3:$R$14,lognormal!$M$1,FALSE) * VLOOKUP(L$3,lognormal!$I$3:$R$14,lognormal!$M$1,FALSE) *INDEX(correlation!$C$3:$N$14,MATCH($A7,correlation!$B$3:$B$14,0),MATCH(L$3,correlation!$C$2:$N$2,0))*VLOOKUP($A7,$U$4:$Z$15,$Z$1,FALSE)*VLOOKUP(L$3,$U$4:$Z$15,$Z$1,FALSE)</f>
        <v>0</v>
      </c>
      <c r="M7" s="4">
        <f>VLOOKUP($A7,lognormal!$I$3:$R$14,lognormal!$M$1,FALSE) * VLOOKUP(M$3,lognormal!$I$3:$R$14,lognormal!$M$1,FALSE) *INDEX(correlation!$C$3:$N$14,MATCH($A7,correlation!$B$3:$B$14,0),MATCH(M$3,correlation!$C$2:$N$2,0))*VLOOKUP($A7,$U$4:$Z$15,$Z$1,FALSE)*VLOOKUP(M$3,$U$4:$Z$15,$Z$1,FALSE)</f>
        <v>0</v>
      </c>
      <c r="N7" s="23">
        <f t="shared" si="0"/>
        <v>0</v>
      </c>
      <c r="O7" s="10">
        <f t="array" ref="O7">INDEX(beta!$B$3:$D$14,MATCH($A7,beta!$A$3:$A$14,0),MATCH(O$3,beta!$B$2:$D$2,0))</f>
        <v>0.107490055967637</v>
      </c>
      <c r="P7" s="11">
        <f t="shared" si="1"/>
        <v>0</v>
      </c>
      <c r="Q7" s="17">
        <f>O7*(VLOOKUP($O$3,lognormal!$A$3:$C$14,3,FALSE)-$V$23)+$V$23</f>
        <v>3.7487491328496755E-2</v>
      </c>
      <c r="R7" s="18">
        <f>EXP(VLOOKUP(A7,lognormal!$A$3:$C$14,3,FALSE)-Q7)-1</f>
        <v>-0.22857442105307679</v>
      </c>
      <c r="S7" s="4">
        <f t="array" ref="S7">INDEX(beta!$B$3:$D$14,MATCH($A7,beta!$A$3:$A$14,0),MATCH(S$3,beta!$B$2:$D$2,0))</f>
        <v>7.8730227643679707E-2</v>
      </c>
      <c r="T7" s="12">
        <f t="array" ref="T7">INDEX(beta!$B$3:$D$14,MATCH($A7,beta!$A$3:$A$14,0),MATCH(T$3,beta!$B$2:$D$2,0))</f>
        <v>0.15387059728765001</v>
      </c>
      <c r="U7" s="10" t="s">
        <v>12</v>
      </c>
      <c r="V7" s="19"/>
      <c r="W7" s="19"/>
      <c r="X7" s="19"/>
      <c r="Y7" s="20">
        <f t="shared" si="2"/>
        <v>0</v>
      </c>
      <c r="Z7" s="21">
        <f t="shared" si="4"/>
        <v>0</v>
      </c>
      <c r="AA7" s="22">
        <f>VLOOKUP(U7,tangentPorfolio!$A$2:$B$13,2,FALSE)</f>
        <v>0</v>
      </c>
      <c r="AB7" s="4">
        <f t="shared" si="5"/>
        <v>1</v>
      </c>
      <c r="AC7" s="19">
        <f t="shared" si="3"/>
        <v>0</v>
      </c>
    </row>
    <row r="8" spans="1:31" ht="14.5">
      <c r="A8" s="23" t="s">
        <v>13</v>
      </c>
      <c r="B8" s="4">
        <f>VLOOKUP($A8,lognormal!$I$3:$R$14,lognormal!$M$1,FALSE) * VLOOKUP(B$3,lognormal!$I$3:$R$14,lognormal!$M$1,FALSE) *INDEX(correlation!$C$3:$N$14,MATCH($A8,correlation!$B$3:$B$14,0),MATCH(B$3,correlation!$C$2:$N$2,0))*VLOOKUP($A8,$U$4:$Z$15,$Z$1,FALSE)*VLOOKUP(B$3,$U$4:$Z$15,$Z$1,FALSE)</f>
        <v>0</v>
      </c>
      <c r="C8" s="4">
        <f>VLOOKUP($A8,lognormal!$I$3:$R$14,lognormal!$M$1,FALSE) * VLOOKUP(C$3,lognormal!$I$3:$R$14,lognormal!$M$1,FALSE) *INDEX(correlation!$C$3:$N$14,MATCH($A8,correlation!$B$3:$B$14,0),MATCH(C$3,correlation!$C$2:$N$2,0))*VLOOKUP($A8,$U$4:$Z$15,$Z$1,FALSE)*VLOOKUP(C$3,$U$4:$Z$15,$Z$1,FALSE)</f>
        <v>0</v>
      </c>
      <c r="D8" s="4">
        <f>VLOOKUP($A8,lognormal!$I$3:$R$14,lognormal!$M$1,FALSE) * VLOOKUP(D$3,lognormal!$I$3:$R$14,lognormal!$M$1,FALSE) *INDEX(correlation!$C$3:$N$14,MATCH($A8,correlation!$B$3:$B$14,0),MATCH(D$3,correlation!$C$2:$N$2,0))*VLOOKUP($A8,$U$4:$Z$15,$Z$1,FALSE)*VLOOKUP(D$3,$U$4:$Z$15,$Z$1,FALSE)</f>
        <v>0</v>
      </c>
      <c r="E8" s="4">
        <f>VLOOKUP($A8,lognormal!$I$3:$R$14,lognormal!$M$1,FALSE) * VLOOKUP(E$3,lognormal!$I$3:$R$14,lognormal!$M$1,FALSE) *INDEX(correlation!$C$3:$N$14,MATCH($A8,correlation!$B$3:$B$14,0),MATCH(E$3,correlation!$C$2:$N$2,0))*VLOOKUP($A8,$U$4:$Z$15,$Z$1,FALSE)*VLOOKUP(E$3,$U$4:$Z$15,$Z$1,FALSE)</f>
        <v>0</v>
      </c>
      <c r="F8" s="4">
        <f>VLOOKUP($A8,lognormal!$I$3:$R$14,lognormal!$M$1,FALSE) * VLOOKUP(F$3,lognormal!$I$3:$R$14,lognormal!$M$1,FALSE) *INDEX(correlation!$C$3:$N$14,MATCH($A8,correlation!$B$3:$B$14,0),MATCH(F$3,correlation!$C$2:$N$2,0))*VLOOKUP($A8,$U$4:$Z$15,$Z$1,FALSE)*VLOOKUP(F$3,$U$4:$Z$15,$Z$1,FALSE)</f>
        <v>0</v>
      </c>
      <c r="G8" s="4">
        <f>VLOOKUP($A8,lognormal!$I$3:$R$14,lognormal!$M$1,FALSE) * VLOOKUP(G$3,lognormal!$I$3:$R$14,lognormal!$M$1,FALSE) *INDEX(correlation!$C$3:$N$14,MATCH($A8,correlation!$B$3:$B$14,0),MATCH(G$3,correlation!$C$2:$N$2,0))*VLOOKUP($A8,$U$4:$Z$15,$Z$1,FALSE)*VLOOKUP(G$3,$U$4:$Z$15,$Z$1,FALSE)</f>
        <v>0</v>
      </c>
      <c r="H8" s="4">
        <f>VLOOKUP($A8,lognormal!$I$3:$R$14,lognormal!$M$1,FALSE) * VLOOKUP(H$3,lognormal!$I$3:$R$14,lognormal!$M$1,FALSE) *INDEX(correlation!$C$3:$N$14,MATCH($A8,correlation!$B$3:$B$14,0),MATCH(H$3,correlation!$C$2:$N$2,0))*VLOOKUP($A8,$U$4:$Z$15,$Z$1,FALSE)*VLOOKUP(H$3,$U$4:$Z$15,$Z$1,FALSE)</f>
        <v>0</v>
      </c>
      <c r="I8" s="4">
        <f>VLOOKUP($A8,lognormal!$I$3:$R$14,lognormal!$M$1,FALSE) * VLOOKUP(I$3,lognormal!$I$3:$R$14,lognormal!$M$1,FALSE) *INDEX(correlation!$C$3:$N$14,MATCH($A8,correlation!$B$3:$B$14,0),MATCH(I$3,correlation!$C$2:$N$2,0))*VLOOKUP($A8,$U$4:$Z$15,$Z$1,FALSE)*VLOOKUP(I$3,$U$4:$Z$15,$Z$1,FALSE)</f>
        <v>0</v>
      </c>
      <c r="J8" s="4">
        <f>VLOOKUP($A8,lognormal!$I$3:$R$14,lognormal!$M$1,FALSE) * VLOOKUP(J$3,lognormal!$I$3:$R$14,lognormal!$M$1,FALSE) *INDEX(correlation!$C$3:$N$14,MATCH($A8,correlation!$B$3:$B$14,0),MATCH(J$3,correlation!$C$2:$N$2,0))*VLOOKUP($A8,$U$4:$Z$15,$Z$1,FALSE)*VLOOKUP(J$3,$U$4:$Z$15,$Z$1,FALSE)</f>
        <v>0</v>
      </c>
      <c r="K8" s="4">
        <f>VLOOKUP($A8,lognormal!$I$3:$R$14,lognormal!$M$1,FALSE) * VLOOKUP(K$3,lognormal!$I$3:$R$14,lognormal!$M$1,FALSE) *INDEX(correlation!$C$3:$N$14,MATCH($A8,correlation!$B$3:$B$14,0),MATCH(K$3,correlation!$C$2:$N$2,0))*VLOOKUP($A8,$U$4:$Z$15,$Z$1,FALSE)*VLOOKUP(K$3,$U$4:$Z$15,$Z$1,FALSE)</f>
        <v>0</v>
      </c>
      <c r="L8" s="4">
        <f>VLOOKUP($A8,lognormal!$I$3:$R$14,lognormal!$M$1,FALSE) * VLOOKUP(L$3,lognormal!$I$3:$R$14,lognormal!$M$1,FALSE) *INDEX(correlation!$C$3:$N$14,MATCH($A8,correlation!$B$3:$B$14,0),MATCH(L$3,correlation!$C$2:$N$2,0))*VLOOKUP($A8,$U$4:$Z$15,$Z$1,FALSE)*VLOOKUP(L$3,$U$4:$Z$15,$Z$1,FALSE)</f>
        <v>0</v>
      </c>
      <c r="M8" s="4">
        <f>VLOOKUP($A8,lognormal!$I$3:$R$14,lognormal!$M$1,FALSE) * VLOOKUP(M$3,lognormal!$I$3:$R$14,lognormal!$M$1,FALSE) *INDEX(correlation!$C$3:$N$14,MATCH($A8,correlation!$B$3:$B$14,0),MATCH(M$3,correlation!$C$2:$N$2,0))*VLOOKUP($A8,$U$4:$Z$15,$Z$1,FALSE)*VLOOKUP(M$3,$U$4:$Z$15,$Z$1,FALSE)</f>
        <v>0</v>
      </c>
      <c r="N8" s="23">
        <f t="shared" si="0"/>
        <v>0</v>
      </c>
      <c r="O8" s="10">
        <f t="array" ref="O8">INDEX(beta!$B$3:$D$14,MATCH($A8,beta!$A$3:$A$14,0),MATCH(O$3,beta!$B$2:$D$2,0))</f>
        <v>0.45307655490166998</v>
      </c>
      <c r="P8" s="11">
        <f t="shared" si="1"/>
        <v>0</v>
      </c>
      <c r="Q8" s="17">
        <f>O8*(VLOOKUP($O$3,lognormal!$A$3:$C$14,3,FALSE)-$V$23)+$V$23</f>
        <v>0.14613810511389971</v>
      </c>
      <c r="R8" s="18">
        <f>EXP(VLOOKUP(A8,lognormal!$A$3:$C$14,3,FALSE)-Q8)-1</f>
        <v>0.52439428277399824</v>
      </c>
      <c r="S8" s="4">
        <f t="array" ref="S8">INDEX(beta!$B$3:$D$14,MATCH($A8,beta!$A$3:$A$14,0),MATCH(S$3,beta!$B$2:$D$2,0))</f>
        <v>8.1742052260978207E-2</v>
      </c>
      <c r="T8" s="12">
        <f t="array" ref="T8">INDEX(beta!$B$3:$D$14,MATCH($A8,beta!$A$3:$A$14,0),MATCH(T$3,beta!$B$2:$D$2,0))</f>
        <v>0.15913902386590301</v>
      </c>
      <c r="U8" s="10" t="s">
        <v>13</v>
      </c>
      <c r="V8" s="26"/>
      <c r="W8" s="26"/>
      <c r="X8" s="26"/>
      <c r="Y8" s="20">
        <f t="shared" si="2"/>
        <v>0</v>
      </c>
      <c r="Z8" s="21">
        <f t="shared" si="4"/>
        <v>0</v>
      </c>
      <c r="AA8" s="22">
        <f>VLOOKUP(U8,tangentPorfolio!$A$2:$B$13,2,FALSE)</f>
        <v>0.35648312666953402</v>
      </c>
      <c r="AB8" s="25">
        <f t="shared" si="5"/>
        <v>7.75</v>
      </c>
      <c r="AC8" s="19">
        <f t="shared" si="3"/>
        <v>0</v>
      </c>
    </row>
    <row r="9" spans="1:31" ht="14.5">
      <c r="A9" s="23" t="s">
        <v>14</v>
      </c>
      <c r="B9" s="4">
        <f>VLOOKUP($A9,lognormal!$I$3:$R$14,lognormal!$M$1,FALSE) * VLOOKUP(B$3,lognormal!$I$3:$R$14,lognormal!$M$1,FALSE) *INDEX(correlation!$C$3:$N$14,MATCH($A9,correlation!$B$3:$B$14,0),MATCH(B$3,correlation!$C$2:$N$2,0))*VLOOKUP($A9,$U$4:$Z$15,$Z$1,FALSE)*VLOOKUP(B$3,$U$4:$Z$15,$Z$1,FALSE)</f>
        <v>0</v>
      </c>
      <c r="C9" s="4">
        <f>VLOOKUP($A9,lognormal!$I$3:$R$14,lognormal!$M$1,FALSE) * VLOOKUP(C$3,lognormal!$I$3:$R$14,lognormal!$M$1,FALSE) *INDEX(correlation!$C$3:$N$14,MATCH($A9,correlation!$B$3:$B$14,0),MATCH(C$3,correlation!$C$2:$N$2,0))*VLOOKUP($A9,$U$4:$Z$15,$Z$1,FALSE)*VLOOKUP(C$3,$U$4:$Z$15,$Z$1,FALSE)</f>
        <v>0</v>
      </c>
      <c r="D9" s="4">
        <f>VLOOKUP($A9,lognormal!$I$3:$R$14,lognormal!$M$1,FALSE) * VLOOKUP(D$3,lognormal!$I$3:$R$14,lognormal!$M$1,FALSE) *INDEX(correlation!$C$3:$N$14,MATCH($A9,correlation!$B$3:$B$14,0),MATCH(D$3,correlation!$C$2:$N$2,0))*VLOOKUP($A9,$U$4:$Z$15,$Z$1,FALSE)*VLOOKUP(D$3,$U$4:$Z$15,$Z$1,FALSE)</f>
        <v>0</v>
      </c>
      <c r="E9" s="4">
        <f>VLOOKUP($A9,lognormal!$I$3:$R$14,lognormal!$M$1,FALSE) * VLOOKUP(E$3,lognormal!$I$3:$R$14,lognormal!$M$1,FALSE) *INDEX(correlation!$C$3:$N$14,MATCH($A9,correlation!$B$3:$B$14,0),MATCH(E$3,correlation!$C$2:$N$2,0))*VLOOKUP($A9,$U$4:$Z$15,$Z$1,FALSE)*VLOOKUP(E$3,$U$4:$Z$15,$Z$1,FALSE)</f>
        <v>0</v>
      </c>
      <c r="F9" s="4">
        <f>VLOOKUP($A9,lognormal!$I$3:$R$14,lognormal!$M$1,FALSE) * VLOOKUP(F$3,lognormal!$I$3:$R$14,lognormal!$M$1,FALSE) *INDEX(correlation!$C$3:$N$14,MATCH($A9,correlation!$B$3:$B$14,0),MATCH(F$3,correlation!$C$2:$N$2,0))*VLOOKUP($A9,$U$4:$Z$15,$Z$1,FALSE)*VLOOKUP(F$3,$U$4:$Z$15,$Z$1,FALSE)</f>
        <v>0</v>
      </c>
      <c r="G9" s="4">
        <f>VLOOKUP($A9,lognormal!$I$3:$R$14,lognormal!$M$1,FALSE) * VLOOKUP(G$3,lognormal!$I$3:$R$14,lognormal!$M$1,FALSE) *INDEX(correlation!$C$3:$N$14,MATCH($A9,correlation!$B$3:$B$14,0),MATCH(G$3,correlation!$C$2:$N$2,0))*VLOOKUP($A9,$U$4:$Z$15,$Z$1,FALSE)*VLOOKUP(G$3,$U$4:$Z$15,$Z$1,FALSE)</f>
        <v>0</v>
      </c>
      <c r="H9" s="4">
        <f>VLOOKUP($A9,lognormal!$I$3:$R$14,lognormal!$M$1,FALSE) * VLOOKUP(H$3,lognormal!$I$3:$R$14,lognormal!$M$1,FALSE) *INDEX(correlation!$C$3:$N$14,MATCH($A9,correlation!$B$3:$B$14,0),MATCH(H$3,correlation!$C$2:$N$2,0))*VLOOKUP($A9,$U$4:$Z$15,$Z$1,FALSE)*VLOOKUP(H$3,$U$4:$Z$15,$Z$1,FALSE)</f>
        <v>0</v>
      </c>
      <c r="I9" s="4">
        <f>VLOOKUP($A9,lognormal!$I$3:$R$14,lognormal!$M$1,FALSE) * VLOOKUP(I$3,lognormal!$I$3:$R$14,lognormal!$M$1,FALSE) *INDEX(correlation!$C$3:$N$14,MATCH($A9,correlation!$B$3:$B$14,0),MATCH(I$3,correlation!$C$2:$N$2,0))*VLOOKUP($A9,$U$4:$Z$15,$Z$1,FALSE)*VLOOKUP(I$3,$U$4:$Z$15,$Z$1,FALSE)</f>
        <v>0</v>
      </c>
      <c r="J9" s="4">
        <f>VLOOKUP($A9,lognormal!$I$3:$R$14,lognormal!$M$1,FALSE) * VLOOKUP(J$3,lognormal!$I$3:$R$14,lognormal!$M$1,FALSE) *INDEX(correlation!$C$3:$N$14,MATCH($A9,correlation!$B$3:$B$14,0),MATCH(J$3,correlation!$C$2:$N$2,0))*VLOOKUP($A9,$U$4:$Z$15,$Z$1,FALSE)*VLOOKUP(J$3,$U$4:$Z$15,$Z$1,FALSE)</f>
        <v>0</v>
      </c>
      <c r="K9" s="4">
        <f>VLOOKUP($A9,lognormal!$I$3:$R$14,lognormal!$M$1,FALSE) * VLOOKUP(K$3,lognormal!$I$3:$R$14,lognormal!$M$1,FALSE) *INDEX(correlation!$C$3:$N$14,MATCH($A9,correlation!$B$3:$B$14,0),MATCH(K$3,correlation!$C$2:$N$2,0))*VLOOKUP($A9,$U$4:$Z$15,$Z$1,FALSE)*VLOOKUP(K$3,$U$4:$Z$15,$Z$1,FALSE)</f>
        <v>0</v>
      </c>
      <c r="L9" s="4">
        <f>VLOOKUP($A9,lognormal!$I$3:$R$14,lognormal!$M$1,FALSE) * VLOOKUP(L$3,lognormal!$I$3:$R$14,lognormal!$M$1,FALSE) *INDEX(correlation!$C$3:$N$14,MATCH($A9,correlation!$B$3:$B$14,0),MATCH(L$3,correlation!$C$2:$N$2,0))*VLOOKUP($A9,$U$4:$Z$15,$Z$1,FALSE)*VLOOKUP(L$3,$U$4:$Z$15,$Z$1,FALSE)</f>
        <v>0</v>
      </c>
      <c r="M9" s="4">
        <f>VLOOKUP($A9,lognormal!$I$3:$R$14,lognormal!$M$1,FALSE) * VLOOKUP(M$3,lognormal!$I$3:$R$14,lognormal!$M$1,FALSE) *INDEX(correlation!$C$3:$N$14,MATCH($A9,correlation!$B$3:$B$14,0),MATCH(M$3,correlation!$C$2:$N$2,0))*VLOOKUP($A9,$U$4:$Z$15,$Z$1,FALSE)*VLOOKUP(M$3,$U$4:$Z$15,$Z$1,FALSE)</f>
        <v>0</v>
      </c>
      <c r="N9" s="23">
        <f t="shared" si="0"/>
        <v>0</v>
      </c>
      <c r="O9" s="10">
        <f t="array" ref="O9">INDEX(beta!$B$3:$D$14,MATCH($A9,beta!$A$3:$A$14,0),MATCH(O$3,beta!$B$2:$D$2,0))</f>
        <v>0.211951644728336</v>
      </c>
      <c r="P9" s="11">
        <f t="shared" si="1"/>
        <v>0</v>
      </c>
      <c r="Q9" s="17">
        <f>O9*(VLOOKUP($O$3,lognormal!$A$3:$C$14,3,FALSE)-$V$23)+$V$23</f>
        <v>7.0329676341097033E-2</v>
      </c>
      <c r="R9" s="18">
        <f>EXP(VLOOKUP(A9,lognormal!$A$3:$C$14,3,FALSE)-Q9)-1</f>
        <v>1.7953027413102562E-2</v>
      </c>
      <c r="S9" s="4">
        <f t="array" ref="S9">INDEX(beta!$B$3:$D$14,MATCH($A9,beta!$A$3:$A$14,0),MATCH(S$3,beta!$B$2:$D$2,0))</f>
        <v>0.36988209384246601</v>
      </c>
      <c r="T9" s="12">
        <f t="array" ref="T9">INDEX(beta!$B$3:$D$14,MATCH($A9,beta!$A$3:$A$14,0),MATCH(T$3,beta!$B$2:$D$2,0))</f>
        <v>1</v>
      </c>
      <c r="U9" s="10" t="s">
        <v>14</v>
      </c>
      <c r="V9" s="19"/>
      <c r="W9" s="19"/>
      <c r="X9" s="19"/>
      <c r="Y9" s="20">
        <f t="shared" si="2"/>
        <v>0</v>
      </c>
      <c r="Z9" s="21">
        <f t="shared" si="4"/>
        <v>0</v>
      </c>
      <c r="AA9" s="22">
        <f>VLOOKUP(U9,tangentPorfolio!$A$2:$B$13,2,FALSE)</f>
        <v>7.8797781017173003E-16</v>
      </c>
      <c r="AB9" s="4">
        <f t="shared" si="5"/>
        <v>1</v>
      </c>
      <c r="AC9" s="19">
        <f t="shared" si="3"/>
        <v>0</v>
      </c>
    </row>
    <row r="10" spans="1:31" ht="14.5">
      <c r="A10" s="23" t="s">
        <v>15</v>
      </c>
      <c r="B10" s="4">
        <f>VLOOKUP($A10,lognormal!$I$3:$R$14,lognormal!$M$1,FALSE) * VLOOKUP(B$3,lognormal!$I$3:$R$14,lognormal!$M$1,FALSE) *INDEX(correlation!$C$3:$N$14,MATCH($A10,correlation!$B$3:$B$14,0),MATCH(B$3,correlation!$C$2:$N$2,0))*VLOOKUP($A10,$U$4:$Z$15,$Z$1,FALSE)*VLOOKUP(B$3,$U$4:$Z$15,$Z$1,FALSE)</f>
        <v>0</v>
      </c>
      <c r="C10" s="4">
        <f>VLOOKUP($A10,lognormal!$I$3:$R$14,lognormal!$M$1,FALSE) * VLOOKUP(C$3,lognormal!$I$3:$R$14,lognormal!$M$1,FALSE) *INDEX(correlation!$C$3:$N$14,MATCH($A10,correlation!$B$3:$B$14,0),MATCH(C$3,correlation!$C$2:$N$2,0))*VLOOKUP($A10,$U$4:$Z$15,$Z$1,FALSE)*VLOOKUP(C$3,$U$4:$Z$15,$Z$1,FALSE)</f>
        <v>0</v>
      </c>
      <c r="D10" s="4">
        <f>VLOOKUP($A10,lognormal!$I$3:$R$14,lognormal!$M$1,FALSE) * VLOOKUP(D$3,lognormal!$I$3:$R$14,lognormal!$M$1,FALSE) *INDEX(correlation!$C$3:$N$14,MATCH($A10,correlation!$B$3:$B$14,0),MATCH(D$3,correlation!$C$2:$N$2,0))*VLOOKUP($A10,$U$4:$Z$15,$Z$1,FALSE)*VLOOKUP(D$3,$U$4:$Z$15,$Z$1,FALSE)</f>
        <v>0</v>
      </c>
      <c r="E10" s="4">
        <f>VLOOKUP($A10,lognormal!$I$3:$R$14,lognormal!$M$1,FALSE) * VLOOKUP(E$3,lognormal!$I$3:$R$14,lognormal!$M$1,FALSE) *INDEX(correlation!$C$3:$N$14,MATCH($A10,correlation!$B$3:$B$14,0),MATCH(E$3,correlation!$C$2:$N$2,0))*VLOOKUP($A10,$U$4:$Z$15,$Z$1,FALSE)*VLOOKUP(E$3,$U$4:$Z$15,$Z$1,FALSE)</f>
        <v>0</v>
      </c>
      <c r="F10" s="4">
        <f>VLOOKUP($A10,lognormal!$I$3:$R$14,lognormal!$M$1,FALSE) * VLOOKUP(F$3,lognormal!$I$3:$R$14,lognormal!$M$1,FALSE) *INDEX(correlation!$C$3:$N$14,MATCH($A10,correlation!$B$3:$B$14,0),MATCH(F$3,correlation!$C$2:$N$2,0))*VLOOKUP($A10,$U$4:$Z$15,$Z$1,FALSE)*VLOOKUP(F$3,$U$4:$Z$15,$Z$1,FALSE)</f>
        <v>0</v>
      </c>
      <c r="G10" s="4">
        <f>VLOOKUP($A10,lognormal!$I$3:$R$14,lognormal!$M$1,FALSE) * VLOOKUP(G$3,lognormal!$I$3:$R$14,lognormal!$M$1,FALSE) *INDEX(correlation!$C$3:$N$14,MATCH($A10,correlation!$B$3:$B$14,0),MATCH(G$3,correlation!$C$2:$N$2,0))*VLOOKUP($A10,$U$4:$Z$15,$Z$1,FALSE)*VLOOKUP(G$3,$U$4:$Z$15,$Z$1,FALSE)</f>
        <v>0</v>
      </c>
      <c r="H10" s="4">
        <f>VLOOKUP($A10,lognormal!$I$3:$R$14,lognormal!$M$1,FALSE) * VLOOKUP(H$3,lognormal!$I$3:$R$14,lognormal!$M$1,FALSE) *INDEX(correlation!$C$3:$N$14,MATCH($A10,correlation!$B$3:$B$14,0),MATCH(H$3,correlation!$C$2:$N$2,0))*VLOOKUP($A10,$U$4:$Z$15,$Z$1,FALSE)*VLOOKUP(H$3,$U$4:$Z$15,$Z$1,FALSE)</f>
        <v>0</v>
      </c>
      <c r="I10" s="4">
        <f>VLOOKUP($A10,lognormal!$I$3:$R$14,lognormal!$M$1,FALSE) * VLOOKUP(I$3,lognormal!$I$3:$R$14,lognormal!$M$1,FALSE) *INDEX(correlation!$C$3:$N$14,MATCH($A10,correlation!$B$3:$B$14,0),MATCH(I$3,correlation!$C$2:$N$2,0))*VLOOKUP($A10,$U$4:$Z$15,$Z$1,FALSE)*VLOOKUP(I$3,$U$4:$Z$15,$Z$1,FALSE)</f>
        <v>0</v>
      </c>
      <c r="J10" s="4">
        <f>VLOOKUP($A10,lognormal!$I$3:$R$14,lognormal!$M$1,FALSE) * VLOOKUP(J$3,lognormal!$I$3:$R$14,lognormal!$M$1,FALSE) *INDEX(correlation!$C$3:$N$14,MATCH($A10,correlation!$B$3:$B$14,0),MATCH(J$3,correlation!$C$2:$N$2,0))*VLOOKUP($A10,$U$4:$Z$15,$Z$1,FALSE)*VLOOKUP(J$3,$U$4:$Z$15,$Z$1,FALSE)</f>
        <v>0</v>
      </c>
      <c r="K10" s="4">
        <f>VLOOKUP($A10,lognormal!$I$3:$R$14,lognormal!$M$1,FALSE) * VLOOKUP(K$3,lognormal!$I$3:$R$14,lognormal!$M$1,FALSE) *INDEX(correlation!$C$3:$N$14,MATCH($A10,correlation!$B$3:$B$14,0),MATCH(K$3,correlation!$C$2:$N$2,0))*VLOOKUP($A10,$U$4:$Z$15,$Z$1,FALSE)*VLOOKUP(K$3,$U$4:$Z$15,$Z$1,FALSE)</f>
        <v>0</v>
      </c>
      <c r="L10" s="4">
        <f>VLOOKUP($A10,lognormal!$I$3:$R$14,lognormal!$M$1,FALSE) * VLOOKUP(L$3,lognormal!$I$3:$R$14,lognormal!$M$1,FALSE) *INDEX(correlation!$C$3:$N$14,MATCH($A10,correlation!$B$3:$B$14,0),MATCH(L$3,correlation!$C$2:$N$2,0))*VLOOKUP($A10,$U$4:$Z$15,$Z$1,FALSE)*VLOOKUP(L$3,$U$4:$Z$15,$Z$1,FALSE)</f>
        <v>0</v>
      </c>
      <c r="M10" s="4">
        <f>VLOOKUP($A10,lognormal!$I$3:$R$14,lognormal!$M$1,FALSE) * VLOOKUP(M$3,lognormal!$I$3:$R$14,lognormal!$M$1,FALSE) *INDEX(correlation!$C$3:$N$14,MATCH($A10,correlation!$B$3:$B$14,0),MATCH(M$3,correlation!$C$2:$N$2,0))*VLOOKUP($A10,$U$4:$Z$15,$Z$1,FALSE)*VLOOKUP(M$3,$U$4:$Z$15,$Z$1,FALSE)</f>
        <v>0</v>
      </c>
      <c r="N10" s="23">
        <f t="shared" si="0"/>
        <v>0</v>
      </c>
      <c r="O10" s="10">
        <f t="array" ref="O10">INDEX(beta!$B$3:$D$14,MATCH($A10,beta!$A$3:$A$14,0),MATCH(O$3,beta!$B$2:$D$2,0))</f>
        <v>1.1676715478264199</v>
      </c>
      <c r="P10" s="11">
        <f t="shared" si="1"/>
        <v>0</v>
      </c>
      <c r="Q10" s="17">
        <f>O10*(VLOOKUP($O$3,lognormal!$A$3:$C$14,3,FALSE)-$V$23)+$V$23</f>
        <v>0.37080308719142652</v>
      </c>
      <c r="R10" s="18">
        <f>EXP(VLOOKUP(A10,lognormal!$A$3:$C$14,3,FALSE)-Q10)-1</f>
        <v>-0.51503400305555114</v>
      </c>
      <c r="S10" s="4">
        <f t="array" ref="S10">INDEX(beta!$B$3:$D$14,MATCH($A10,beta!$A$3:$A$14,0),MATCH(S$3,beta!$B$2:$D$2,0))</f>
        <v>0.30654108719175799</v>
      </c>
      <c r="T10" s="12">
        <f t="array" ref="T10">INDEX(beta!$B$3:$D$14,MATCH($A10,beta!$A$3:$A$14,0),MATCH(T$3,beta!$B$2:$D$2,0))</f>
        <v>0.51567664526228796</v>
      </c>
      <c r="U10" s="10" t="s">
        <v>15</v>
      </c>
      <c r="V10" s="26"/>
      <c r="W10" s="26"/>
      <c r="X10" s="26"/>
      <c r="Y10" s="20">
        <f t="shared" si="2"/>
        <v>0</v>
      </c>
      <c r="Z10" s="21">
        <f t="shared" si="4"/>
        <v>0</v>
      </c>
      <c r="AA10" s="22">
        <f>VLOOKUP(U10,tangentPorfolio!$A$2:$B$13,2,FALSE)</f>
        <v>0</v>
      </c>
      <c r="AB10" s="25">
        <f t="shared" si="5"/>
        <v>7.75</v>
      </c>
      <c r="AC10" s="19">
        <f t="shared" si="3"/>
        <v>0</v>
      </c>
      <c r="AD10" s="4"/>
      <c r="AE10" s="4"/>
    </row>
    <row r="11" spans="1:31" ht="14.5">
      <c r="A11" s="23" t="s">
        <v>16</v>
      </c>
      <c r="B11" s="4">
        <f>VLOOKUP($A11,lognormal!$I$3:$R$14,lognormal!$M$1,FALSE) * VLOOKUP(B$3,lognormal!$I$3:$R$14,lognormal!$M$1,FALSE) *INDEX(correlation!$C$3:$N$14,MATCH($A11,correlation!$B$3:$B$14,0),MATCH(B$3,correlation!$C$2:$N$2,0))*VLOOKUP($A11,$U$4:$Z$15,$Z$1,FALSE)*VLOOKUP(B$3,$U$4:$Z$15,$Z$1,FALSE)</f>
        <v>0</v>
      </c>
      <c r="C11" s="4">
        <f>VLOOKUP($A11,lognormal!$I$3:$R$14,lognormal!$M$1,FALSE) * VLOOKUP(C$3,lognormal!$I$3:$R$14,lognormal!$M$1,FALSE) *INDEX(correlation!$C$3:$N$14,MATCH($A11,correlation!$B$3:$B$14,0),MATCH(C$3,correlation!$C$2:$N$2,0))*VLOOKUP($A11,$U$4:$Z$15,$Z$1,FALSE)*VLOOKUP(C$3,$U$4:$Z$15,$Z$1,FALSE)</f>
        <v>0</v>
      </c>
      <c r="D11" s="4">
        <f>VLOOKUP($A11,lognormal!$I$3:$R$14,lognormal!$M$1,FALSE) * VLOOKUP(D$3,lognormal!$I$3:$R$14,lognormal!$M$1,FALSE) *INDEX(correlation!$C$3:$N$14,MATCH($A11,correlation!$B$3:$B$14,0),MATCH(D$3,correlation!$C$2:$N$2,0))*VLOOKUP($A11,$U$4:$Z$15,$Z$1,FALSE)*VLOOKUP(D$3,$U$4:$Z$15,$Z$1,FALSE)</f>
        <v>0</v>
      </c>
      <c r="E11" s="4">
        <f>VLOOKUP($A11,lognormal!$I$3:$R$14,lognormal!$M$1,FALSE) * VLOOKUP(E$3,lognormal!$I$3:$R$14,lognormal!$M$1,FALSE) *INDEX(correlation!$C$3:$N$14,MATCH($A11,correlation!$B$3:$B$14,0),MATCH(E$3,correlation!$C$2:$N$2,0))*VLOOKUP($A11,$U$4:$Z$15,$Z$1,FALSE)*VLOOKUP(E$3,$U$4:$Z$15,$Z$1,FALSE)</f>
        <v>0</v>
      </c>
      <c r="F11" s="4">
        <f>VLOOKUP($A11,lognormal!$I$3:$R$14,lognormal!$M$1,FALSE) * VLOOKUP(F$3,lognormal!$I$3:$R$14,lognormal!$M$1,FALSE) *INDEX(correlation!$C$3:$N$14,MATCH($A11,correlation!$B$3:$B$14,0),MATCH(F$3,correlation!$C$2:$N$2,0))*VLOOKUP($A11,$U$4:$Z$15,$Z$1,FALSE)*VLOOKUP(F$3,$U$4:$Z$15,$Z$1,FALSE)</f>
        <v>0</v>
      </c>
      <c r="G11" s="4">
        <f>VLOOKUP($A11,lognormal!$I$3:$R$14,lognormal!$M$1,FALSE) * VLOOKUP(G$3,lognormal!$I$3:$R$14,lognormal!$M$1,FALSE) *INDEX(correlation!$C$3:$N$14,MATCH($A11,correlation!$B$3:$B$14,0),MATCH(G$3,correlation!$C$2:$N$2,0))*VLOOKUP($A11,$U$4:$Z$15,$Z$1,FALSE)*VLOOKUP(G$3,$U$4:$Z$15,$Z$1,FALSE)</f>
        <v>0</v>
      </c>
      <c r="H11" s="4">
        <f>VLOOKUP($A11,lognormal!$I$3:$R$14,lognormal!$M$1,FALSE) * VLOOKUP(H$3,lognormal!$I$3:$R$14,lognormal!$M$1,FALSE) *INDEX(correlation!$C$3:$N$14,MATCH($A11,correlation!$B$3:$B$14,0),MATCH(H$3,correlation!$C$2:$N$2,0))*VLOOKUP($A11,$U$4:$Z$15,$Z$1,FALSE)*VLOOKUP(H$3,$U$4:$Z$15,$Z$1,FALSE)</f>
        <v>0</v>
      </c>
      <c r="I11" s="4">
        <f>VLOOKUP($A11,lognormal!$I$3:$R$14,lognormal!$M$1,FALSE) * VLOOKUP(I$3,lognormal!$I$3:$R$14,lognormal!$M$1,FALSE) *INDEX(correlation!$C$3:$N$14,MATCH($A11,correlation!$B$3:$B$14,0),MATCH(I$3,correlation!$C$2:$N$2,0))*VLOOKUP($A11,$U$4:$Z$15,$Z$1,FALSE)*VLOOKUP(I$3,$U$4:$Z$15,$Z$1,FALSE)</f>
        <v>0</v>
      </c>
      <c r="J11" s="4">
        <f>VLOOKUP($A11,lognormal!$I$3:$R$14,lognormal!$M$1,FALSE) * VLOOKUP(J$3,lognormal!$I$3:$R$14,lognormal!$M$1,FALSE) *INDEX(correlation!$C$3:$N$14,MATCH($A11,correlation!$B$3:$B$14,0),MATCH(J$3,correlation!$C$2:$N$2,0))*VLOOKUP($A11,$U$4:$Z$15,$Z$1,FALSE)*VLOOKUP(J$3,$U$4:$Z$15,$Z$1,FALSE)</f>
        <v>0</v>
      </c>
      <c r="K11" s="4">
        <f>VLOOKUP($A11,lognormal!$I$3:$R$14,lognormal!$M$1,FALSE) * VLOOKUP(K$3,lognormal!$I$3:$R$14,lognormal!$M$1,FALSE) *INDEX(correlation!$C$3:$N$14,MATCH($A11,correlation!$B$3:$B$14,0),MATCH(K$3,correlation!$C$2:$N$2,0))*VLOOKUP($A11,$U$4:$Z$15,$Z$1,FALSE)*VLOOKUP(K$3,$U$4:$Z$15,$Z$1,FALSE)</f>
        <v>0</v>
      </c>
      <c r="L11" s="4">
        <f>VLOOKUP($A11,lognormal!$I$3:$R$14,lognormal!$M$1,FALSE) * VLOOKUP(L$3,lognormal!$I$3:$R$14,lognormal!$M$1,FALSE) *INDEX(correlation!$C$3:$N$14,MATCH($A11,correlation!$B$3:$B$14,0),MATCH(L$3,correlation!$C$2:$N$2,0))*VLOOKUP($A11,$U$4:$Z$15,$Z$1,FALSE)*VLOOKUP(L$3,$U$4:$Z$15,$Z$1,FALSE)</f>
        <v>0</v>
      </c>
      <c r="M11" s="4">
        <f>VLOOKUP($A11,lognormal!$I$3:$R$14,lognormal!$M$1,FALSE) * VLOOKUP(M$3,lognormal!$I$3:$R$14,lognormal!$M$1,FALSE) *INDEX(correlation!$C$3:$N$14,MATCH($A11,correlation!$B$3:$B$14,0),MATCH(M$3,correlation!$C$2:$N$2,0))*VLOOKUP($A11,$U$4:$Z$15,$Z$1,FALSE)*VLOOKUP(M$3,$U$4:$Z$15,$Z$1,FALSE)</f>
        <v>0</v>
      </c>
      <c r="N11" s="23">
        <f t="shared" si="0"/>
        <v>0</v>
      </c>
      <c r="O11" s="10">
        <f t="array" ref="O11">INDEX(beta!$B$3:$D$14,MATCH($A11,beta!$A$3:$A$14,0),MATCH(O$3,beta!$B$2:$D$2,0))</f>
        <v>0.95985998793451</v>
      </c>
      <c r="P11" s="11">
        <f t="shared" si="1"/>
        <v>0</v>
      </c>
      <c r="Q11" s="17">
        <f>O11*(VLOOKUP($O$3,lognormal!$A$3:$C$14,3,FALSE)-$V$23)+$V$23</f>
        <v>0.30546820401860908</v>
      </c>
      <c r="R11" s="18">
        <f>EXP(VLOOKUP(A11,lognormal!$A$3:$C$14,3,FALSE)-Q11)-1</f>
        <v>0.3501612763546389</v>
      </c>
      <c r="S11" s="4">
        <f t="array" ref="S11">INDEX(beta!$B$3:$D$14,MATCH($A11,beta!$A$3:$A$14,0),MATCH(S$3,beta!$B$2:$D$2,0))</f>
        <v>7.4880454613250602E-2</v>
      </c>
      <c r="T11" s="12">
        <f t="array" ref="T11">INDEX(beta!$B$3:$D$14,MATCH($A11,beta!$A$3:$A$14,0),MATCH(T$3,beta!$B$2:$D$2,0))</f>
        <v>0.10848484650859901</v>
      </c>
      <c r="U11" s="10" t="s">
        <v>16</v>
      </c>
      <c r="V11" s="26"/>
      <c r="W11" s="26"/>
      <c r="X11" s="26"/>
      <c r="Y11" s="20">
        <f t="shared" si="2"/>
        <v>0</v>
      </c>
      <c r="Z11" s="21">
        <f t="shared" si="4"/>
        <v>0</v>
      </c>
      <c r="AA11" s="22">
        <f>VLOOKUP(U11,tangentPorfolio!$A$2:$B$13,2,FALSE)</f>
        <v>0.37639471300157801</v>
      </c>
      <c r="AB11" s="25">
        <f t="shared" si="5"/>
        <v>7.75</v>
      </c>
      <c r="AC11" s="19">
        <f t="shared" si="3"/>
        <v>0</v>
      </c>
      <c r="AD11" s="4"/>
      <c r="AE11" s="4"/>
    </row>
    <row r="12" spans="1:31" ht="14.5">
      <c r="A12" s="23" t="s">
        <v>17</v>
      </c>
      <c r="B12" s="4">
        <f>VLOOKUP($A12,lognormal!$I$3:$R$14,lognormal!$M$1,FALSE) * VLOOKUP(B$3,lognormal!$I$3:$R$14,lognormal!$M$1,FALSE) *INDEX(correlation!$C$3:$N$14,MATCH($A12,correlation!$B$3:$B$14,0),MATCH(B$3,correlation!$C$2:$N$2,0))*VLOOKUP($A12,$U$4:$Z$15,$Z$1,FALSE)*VLOOKUP(B$3,$U$4:$Z$15,$Z$1,FALSE)</f>
        <v>0</v>
      </c>
      <c r="C12" s="4">
        <f>VLOOKUP($A12,lognormal!$I$3:$R$14,lognormal!$M$1,FALSE) * VLOOKUP(C$3,lognormal!$I$3:$R$14,lognormal!$M$1,FALSE) *INDEX(correlation!$C$3:$N$14,MATCH($A12,correlation!$B$3:$B$14,0),MATCH(C$3,correlation!$C$2:$N$2,0))*VLOOKUP($A12,$U$4:$Z$15,$Z$1,FALSE)*VLOOKUP(C$3,$U$4:$Z$15,$Z$1,FALSE)</f>
        <v>0</v>
      </c>
      <c r="D12" s="4">
        <f>VLOOKUP($A12,lognormal!$I$3:$R$14,lognormal!$M$1,FALSE) * VLOOKUP(D$3,lognormal!$I$3:$R$14,lognormal!$M$1,FALSE) *INDEX(correlation!$C$3:$N$14,MATCH($A12,correlation!$B$3:$B$14,0),MATCH(D$3,correlation!$C$2:$N$2,0))*VLOOKUP($A12,$U$4:$Z$15,$Z$1,FALSE)*VLOOKUP(D$3,$U$4:$Z$15,$Z$1,FALSE)</f>
        <v>0</v>
      </c>
      <c r="E12" s="4">
        <f>VLOOKUP($A12,lognormal!$I$3:$R$14,lognormal!$M$1,FALSE) * VLOOKUP(E$3,lognormal!$I$3:$R$14,lognormal!$M$1,FALSE) *INDEX(correlation!$C$3:$N$14,MATCH($A12,correlation!$B$3:$B$14,0),MATCH(E$3,correlation!$C$2:$N$2,0))*VLOOKUP($A12,$U$4:$Z$15,$Z$1,FALSE)*VLOOKUP(E$3,$U$4:$Z$15,$Z$1,FALSE)</f>
        <v>0</v>
      </c>
      <c r="F12" s="4">
        <f>VLOOKUP($A12,lognormal!$I$3:$R$14,lognormal!$M$1,FALSE) * VLOOKUP(F$3,lognormal!$I$3:$R$14,lognormal!$M$1,FALSE) *INDEX(correlation!$C$3:$N$14,MATCH($A12,correlation!$B$3:$B$14,0),MATCH(F$3,correlation!$C$2:$N$2,0))*VLOOKUP($A12,$U$4:$Z$15,$Z$1,FALSE)*VLOOKUP(F$3,$U$4:$Z$15,$Z$1,FALSE)</f>
        <v>0</v>
      </c>
      <c r="G12" s="4">
        <f>VLOOKUP($A12,lognormal!$I$3:$R$14,lognormal!$M$1,FALSE) * VLOOKUP(G$3,lognormal!$I$3:$R$14,lognormal!$M$1,FALSE) *INDEX(correlation!$C$3:$N$14,MATCH($A12,correlation!$B$3:$B$14,0),MATCH(G$3,correlation!$C$2:$N$2,0))*VLOOKUP($A12,$U$4:$Z$15,$Z$1,FALSE)*VLOOKUP(G$3,$U$4:$Z$15,$Z$1,FALSE)</f>
        <v>0</v>
      </c>
      <c r="H12" s="4">
        <f>VLOOKUP($A12,lognormal!$I$3:$R$14,lognormal!$M$1,FALSE) * VLOOKUP(H$3,lognormal!$I$3:$R$14,lognormal!$M$1,FALSE) *INDEX(correlation!$C$3:$N$14,MATCH($A12,correlation!$B$3:$B$14,0),MATCH(H$3,correlation!$C$2:$N$2,0))*VLOOKUP($A12,$U$4:$Z$15,$Z$1,FALSE)*VLOOKUP(H$3,$U$4:$Z$15,$Z$1,FALSE)</f>
        <v>0</v>
      </c>
      <c r="I12" s="4">
        <f>VLOOKUP($A12,lognormal!$I$3:$R$14,lognormal!$M$1,FALSE) * VLOOKUP(I$3,lognormal!$I$3:$R$14,lognormal!$M$1,FALSE) *INDEX(correlation!$C$3:$N$14,MATCH($A12,correlation!$B$3:$B$14,0),MATCH(I$3,correlation!$C$2:$N$2,0))*VLOOKUP($A12,$U$4:$Z$15,$Z$1,FALSE)*VLOOKUP(I$3,$U$4:$Z$15,$Z$1,FALSE)</f>
        <v>0</v>
      </c>
      <c r="J12" s="4">
        <f>VLOOKUP($A12,lognormal!$I$3:$R$14,lognormal!$M$1,FALSE) * VLOOKUP(J$3,lognormal!$I$3:$R$14,lognormal!$M$1,FALSE) *INDEX(correlation!$C$3:$N$14,MATCH($A12,correlation!$B$3:$B$14,0),MATCH(J$3,correlation!$C$2:$N$2,0))*VLOOKUP($A12,$U$4:$Z$15,$Z$1,FALSE)*VLOOKUP(J$3,$U$4:$Z$15,$Z$1,FALSE)</f>
        <v>0</v>
      </c>
      <c r="K12" s="4">
        <f>VLOOKUP($A12,lognormal!$I$3:$R$14,lognormal!$M$1,FALSE) * VLOOKUP(K$3,lognormal!$I$3:$R$14,lognormal!$M$1,FALSE) *INDEX(correlation!$C$3:$N$14,MATCH($A12,correlation!$B$3:$B$14,0),MATCH(K$3,correlation!$C$2:$N$2,0))*VLOOKUP($A12,$U$4:$Z$15,$Z$1,FALSE)*VLOOKUP(K$3,$U$4:$Z$15,$Z$1,FALSE)</f>
        <v>0</v>
      </c>
      <c r="L12" s="4">
        <f>VLOOKUP($A12,lognormal!$I$3:$R$14,lognormal!$M$1,FALSE) * VLOOKUP(L$3,lognormal!$I$3:$R$14,lognormal!$M$1,FALSE) *INDEX(correlation!$C$3:$N$14,MATCH($A12,correlation!$B$3:$B$14,0),MATCH(L$3,correlation!$C$2:$N$2,0))*VLOOKUP($A12,$U$4:$Z$15,$Z$1,FALSE)*VLOOKUP(L$3,$U$4:$Z$15,$Z$1,FALSE)</f>
        <v>0</v>
      </c>
      <c r="M12" s="4">
        <f>VLOOKUP($A12,lognormal!$I$3:$R$14,lognormal!$M$1,FALSE) * VLOOKUP(M$3,lognormal!$I$3:$R$14,lognormal!$M$1,FALSE) *INDEX(correlation!$C$3:$N$14,MATCH($A12,correlation!$B$3:$B$14,0),MATCH(M$3,correlation!$C$2:$N$2,0))*VLOOKUP($A12,$U$4:$Z$15,$Z$1,FALSE)*VLOOKUP(M$3,$U$4:$Z$15,$Z$1,FALSE)</f>
        <v>0</v>
      </c>
      <c r="N12" s="23">
        <f t="shared" si="0"/>
        <v>0</v>
      </c>
      <c r="O12" s="10">
        <f t="array" ref="O12">INDEX(beta!$B$3:$D$14,MATCH($A12,beta!$A$3:$A$14,0),MATCH(O$3,beta!$B$2:$D$2,0))</f>
        <v>0.524043493240686</v>
      </c>
      <c r="P12" s="11">
        <f t="shared" si="1"/>
        <v>0</v>
      </c>
      <c r="Q12" s="17">
        <f>O12*(VLOOKUP($O$3,lognormal!$A$3:$C$14,3,FALSE)-$V$23)+$V$23</f>
        <v>0.16844974469700963</v>
      </c>
      <c r="R12" s="18">
        <f>EXP(VLOOKUP(A12,lognormal!$A$3:$C$14,3,FALSE)-Q12)-1</f>
        <v>0.29306719566763828</v>
      </c>
      <c r="S12" s="4">
        <f t="array" ref="S12">INDEX(beta!$B$3:$D$14,MATCH($A12,beta!$A$3:$A$14,0),MATCH(S$3,beta!$B$2:$D$2,0))</f>
        <v>6.9683598711698796E-2</v>
      </c>
      <c r="T12" s="12">
        <f t="array" ref="T12">INDEX(beta!$B$3:$D$14,MATCH($A12,beta!$A$3:$A$14,0),MATCH(T$3,beta!$B$2:$D$2,0))</f>
        <v>9.0560101553886593E-2</v>
      </c>
      <c r="U12" s="10" t="s">
        <v>17</v>
      </c>
      <c r="V12" s="26"/>
      <c r="W12" s="26"/>
      <c r="X12" s="26"/>
      <c r="Y12" s="20">
        <f t="shared" si="2"/>
        <v>0</v>
      </c>
      <c r="Z12" s="21">
        <f t="shared" si="4"/>
        <v>0</v>
      </c>
      <c r="AA12" s="22">
        <f>VLOOKUP(U12,tangentPorfolio!$A$2:$B$13,2,FALSE)</f>
        <v>0.17925537350522699</v>
      </c>
      <c r="AB12" s="25">
        <f t="shared" si="5"/>
        <v>7.75</v>
      </c>
      <c r="AC12" s="19">
        <f t="shared" si="3"/>
        <v>0</v>
      </c>
      <c r="AD12" s="4"/>
      <c r="AE12" s="4"/>
    </row>
    <row r="13" spans="1:31" ht="14.5">
      <c r="A13" s="23" t="s">
        <v>18</v>
      </c>
      <c r="B13" s="4">
        <f>VLOOKUP($A13,lognormal!$I$3:$R$14,lognormal!$M$1,FALSE) * VLOOKUP(B$3,lognormal!$I$3:$R$14,lognormal!$M$1,FALSE) *INDEX(correlation!$C$3:$N$14,MATCH($A13,correlation!$B$3:$B$14,0),MATCH(B$3,correlation!$C$2:$N$2,0))*VLOOKUP($A13,$U$4:$Z$15,$Z$1,FALSE)*VLOOKUP(B$3,$U$4:$Z$15,$Z$1,FALSE)</f>
        <v>0</v>
      </c>
      <c r="C13" s="4">
        <f>VLOOKUP($A13,lognormal!$I$3:$R$14,lognormal!$M$1,FALSE) * VLOOKUP(C$3,lognormal!$I$3:$R$14,lognormal!$M$1,FALSE) *INDEX(correlation!$C$3:$N$14,MATCH($A13,correlation!$B$3:$B$14,0),MATCH(C$3,correlation!$C$2:$N$2,0))*VLOOKUP($A13,$U$4:$Z$15,$Z$1,FALSE)*VLOOKUP(C$3,$U$4:$Z$15,$Z$1,FALSE)</f>
        <v>0</v>
      </c>
      <c r="D13" s="4">
        <f>VLOOKUP($A13,lognormal!$I$3:$R$14,lognormal!$M$1,FALSE) * VLOOKUP(D$3,lognormal!$I$3:$R$14,lognormal!$M$1,FALSE) *INDEX(correlation!$C$3:$N$14,MATCH($A13,correlation!$B$3:$B$14,0),MATCH(D$3,correlation!$C$2:$N$2,0))*VLOOKUP($A13,$U$4:$Z$15,$Z$1,FALSE)*VLOOKUP(D$3,$U$4:$Z$15,$Z$1,FALSE)</f>
        <v>0</v>
      </c>
      <c r="E13" s="4">
        <f>VLOOKUP($A13,lognormal!$I$3:$R$14,lognormal!$M$1,FALSE) * VLOOKUP(E$3,lognormal!$I$3:$R$14,lognormal!$M$1,FALSE) *INDEX(correlation!$C$3:$N$14,MATCH($A13,correlation!$B$3:$B$14,0),MATCH(E$3,correlation!$C$2:$N$2,0))*VLOOKUP($A13,$U$4:$Z$15,$Z$1,FALSE)*VLOOKUP(E$3,$U$4:$Z$15,$Z$1,FALSE)</f>
        <v>0</v>
      </c>
      <c r="F13" s="4">
        <f>VLOOKUP($A13,lognormal!$I$3:$R$14,lognormal!$M$1,FALSE) * VLOOKUP(F$3,lognormal!$I$3:$R$14,lognormal!$M$1,FALSE) *INDEX(correlation!$C$3:$N$14,MATCH($A13,correlation!$B$3:$B$14,0),MATCH(F$3,correlation!$C$2:$N$2,0))*VLOOKUP($A13,$U$4:$Z$15,$Z$1,FALSE)*VLOOKUP(F$3,$U$4:$Z$15,$Z$1,FALSE)</f>
        <v>0</v>
      </c>
      <c r="G13" s="4">
        <f>VLOOKUP($A13,lognormal!$I$3:$R$14,lognormal!$M$1,FALSE) * VLOOKUP(G$3,lognormal!$I$3:$R$14,lognormal!$M$1,FALSE) *INDEX(correlation!$C$3:$N$14,MATCH($A13,correlation!$B$3:$B$14,0),MATCH(G$3,correlation!$C$2:$N$2,0))*VLOOKUP($A13,$U$4:$Z$15,$Z$1,FALSE)*VLOOKUP(G$3,$U$4:$Z$15,$Z$1,FALSE)</f>
        <v>0</v>
      </c>
      <c r="H13" s="4">
        <f>VLOOKUP($A13,lognormal!$I$3:$R$14,lognormal!$M$1,FALSE) * VLOOKUP(H$3,lognormal!$I$3:$R$14,lognormal!$M$1,FALSE) *INDEX(correlation!$C$3:$N$14,MATCH($A13,correlation!$B$3:$B$14,0),MATCH(H$3,correlation!$C$2:$N$2,0))*VLOOKUP($A13,$U$4:$Z$15,$Z$1,FALSE)*VLOOKUP(H$3,$U$4:$Z$15,$Z$1,FALSE)</f>
        <v>0</v>
      </c>
      <c r="I13" s="4">
        <f>VLOOKUP($A13,lognormal!$I$3:$R$14,lognormal!$M$1,FALSE) * VLOOKUP(I$3,lognormal!$I$3:$R$14,lognormal!$M$1,FALSE) *INDEX(correlation!$C$3:$N$14,MATCH($A13,correlation!$B$3:$B$14,0),MATCH(I$3,correlation!$C$2:$N$2,0))*VLOOKUP($A13,$U$4:$Z$15,$Z$1,FALSE)*VLOOKUP(I$3,$U$4:$Z$15,$Z$1,FALSE)</f>
        <v>0</v>
      </c>
      <c r="J13" s="4">
        <f>VLOOKUP($A13,lognormal!$I$3:$R$14,lognormal!$M$1,FALSE) * VLOOKUP(J$3,lognormal!$I$3:$R$14,lognormal!$M$1,FALSE) *INDEX(correlation!$C$3:$N$14,MATCH($A13,correlation!$B$3:$B$14,0),MATCH(J$3,correlation!$C$2:$N$2,0))*VLOOKUP($A13,$U$4:$Z$15,$Z$1,FALSE)*VLOOKUP(J$3,$U$4:$Z$15,$Z$1,FALSE)</f>
        <v>0</v>
      </c>
      <c r="K13" s="4">
        <f>VLOOKUP($A13,lognormal!$I$3:$R$14,lognormal!$M$1,FALSE) * VLOOKUP(K$3,lognormal!$I$3:$R$14,lognormal!$M$1,FALSE) *INDEX(correlation!$C$3:$N$14,MATCH($A13,correlation!$B$3:$B$14,0),MATCH(K$3,correlation!$C$2:$N$2,0))*VLOOKUP($A13,$U$4:$Z$15,$Z$1,FALSE)*VLOOKUP(K$3,$U$4:$Z$15,$Z$1,FALSE)</f>
        <v>0</v>
      </c>
      <c r="L13" s="4">
        <f>VLOOKUP($A13,lognormal!$I$3:$R$14,lognormal!$M$1,FALSE) * VLOOKUP(L$3,lognormal!$I$3:$R$14,lognormal!$M$1,FALSE) *INDEX(correlation!$C$3:$N$14,MATCH($A13,correlation!$B$3:$B$14,0),MATCH(L$3,correlation!$C$2:$N$2,0))*VLOOKUP($A13,$U$4:$Z$15,$Z$1,FALSE)*VLOOKUP(L$3,$U$4:$Z$15,$Z$1,FALSE)</f>
        <v>0</v>
      </c>
      <c r="M13" s="4">
        <f>VLOOKUP($A13,lognormal!$I$3:$R$14,lognormal!$M$1,FALSE) * VLOOKUP(M$3,lognormal!$I$3:$R$14,lognormal!$M$1,FALSE) *INDEX(correlation!$C$3:$N$14,MATCH($A13,correlation!$B$3:$B$14,0),MATCH(M$3,correlation!$C$2:$N$2,0))*VLOOKUP($A13,$U$4:$Z$15,$Z$1,FALSE)*VLOOKUP(M$3,$U$4:$Z$15,$Z$1,FALSE)</f>
        <v>0</v>
      </c>
      <c r="N13" s="23">
        <f t="shared" si="0"/>
        <v>0</v>
      </c>
      <c r="O13" s="10">
        <f t="array" ref="O13">INDEX(beta!$B$3:$D$14,MATCH($A13,beta!$A$3:$A$14,0),MATCH(O$3,beta!$B$2:$D$2,0))</f>
        <v>0.77046775743178997</v>
      </c>
      <c r="P13" s="11">
        <f t="shared" si="1"/>
        <v>0</v>
      </c>
      <c r="Q13" s="17">
        <f>O13*(VLOOKUP($O$3,lognormal!$A$3:$C$14,3,FALSE)-$V$23)+$V$23</f>
        <v>0.24592426305511975</v>
      </c>
      <c r="R13" s="18">
        <f>EXP(VLOOKUP(A13,lognormal!$A$3:$C$14,3,FALSE)-Q13)-1</f>
        <v>-0.49143768049270975</v>
      </c>
      <c r="S13" s="4">
        <f t="array" ref="S13">INDEX(beta!$B$3:$D$14,MATCH($A13,beta!$A$3:$A$14,0),MATCH(S$3,beta!$B$2:$D$2,0))</f>
        <v>0.15876100440722901</v>
      </c>
      <c r="T13" s="12">
        <f t="array" ref="T13">INDEX(beta!$B$3:$D$14,MATCH($A13,beta!$A$3:$A$14,0),MATCH(T$3,beta!$B$2:$D$2,0))</f>
        <v>0.18695250035945399</v>
      </c>
      <c r="U13" s="10" t="s">
        <v>18</v>
      </c>
      <c r="V13" s="26"/>
      <c r="W13" s="26"/>
      <c r="X13" s="26"/>
      <c r="Y13" s="20">
        <f t="shared" si="2"/>
        <v>0</v>
      </c>
      <c r="Z13" s="21">
        <f t="shared" si="4"/>
        <v>0</v>
      </c>
      <c r="AA13" s="22">
        <f>VLOOKUP(U13,tangentPorfolio!$A$2:$B$13,2,FALSE)</f>
        <v>0</v>
      </c>
      <c r="AB13" s="25">
        <f t="shared" si="5"/>
        <v>7.75</v>
      </c>
      <c r="AC13" s="19">
        <f t="shared" si="3"/>
        <v>0</v>
      </c>
      <c r="AD13" s="4"/>
      <c r="AE13" s="4"/>
    </row>
    <row r="14" spans="1:31" ht="14.5">
      <c r="A14" s="23" t="s">
        <v>19</v>
      </c>
      <c r="B14" s="4">
        <f>VLOOKUP($A14,lognormal!$I$3:$R$14,lognormal!$M$1,FALSE) * VLOOKUP(B$3,lognormal!$I$3:$R$14,lognormal!$M$1,FALSE) *INDEX(correlation!$C$3:$N$14,MATCH($A14,correlation!$B$3:$B$14,0),MATCH(B$3,correlation!$C$2:$N$2,0))*VLOOKUP($A14,$U$4:$Z$15,$Z$1,FALSE)*VLOOKUP(B$3,$U$4:$Z$15,$Z$1,FALSE)</f>
        <v>0</v>
      </c>
      <c r="C14" s="4">
        <f>VLOOKUP($A14,lognormal!$I$3:$R$14,lognormal!$M$1,FALSE) * VLOOKUP(C$3,lognormal!$I$3:$R$14,lognormal!$M$1,FALSE) *INDEX(correlation!$C$3:$N$14,MATCH($A14,correlation!$B$3:$B$14,0),MATCH(C$3,correlation!$C$2:$N$2,0))*VLOOKUP($A14,$U$4:$Z$15,$Z$1,FALSE)*VLOOKUP(C$3,$U$4:$Z$15,$Z$1,FALSE)</f>
        <v>0</v>
      </c>
      <c r="D14" s="4">
        <f>VLOOKUP($A14,lognormal!$I$3:$R$14,lognormal!$M$1,FALSE) * VLOOKUP(D$3,lognormal!$I$3:$R$14,lognormal!$M$1,FALSE) *INDEX(correlation!$C$3:$N$14,MATCH($A14,correlation!$B$3:$B$14,0),MATCH(D$3,correlation!$C$2:$N$2,0))*VLOOKUP($A14,$U$4:$Z$15,$Z$1,FALSE)*VLOOKUP(D$3,$U$4:$Z$15,$Z$1,FALSE)</f>
        <v>0</v>
      </c>
      <c r="E14" s="4">
        <f>VLOOKUP($A14,lognormal!$I$3:$R$14,lognormal!$M$1,FALSE) * VLOOKUP(E$3,lognormal!$I$3:$R$14,lognormal!$M$1,FALSE) *INDEX(correlation!$C$3:$N$14,MATCH($A14,correlation!$B$3:$B$14,0),MATCH(E$3,correlation!$C$2:$N$2,0))*VLOOKUP($A14,$U$4:$Z$15,$Z$1,FALSE)*VLOOKUP(E$3,$U$4:$Z$15,$Z$1,FALSE)</f>
        <v>0</v>
      </c>
      <c r="F14" s="4">
        <f>VLOOKUP($A14,lognormal!$I$3:$R$14,lognormal!$M$1,FALSE) * VLOOKUP(F$3,lognormal!$I$3:$R$14,lognormal!$M$1,FALSE) *INDEX(correlation!$C$3:$N$14,MATCH($A14,correlation!$B$3:$B$14,0),MATCH(F$3,correlation!$C$2:$N$2,0))*VLOOKUP($A14,$U$4:$Z$15,$Z$1,FALSE)*VLOOKUP(F$3,$U$4:$Z$15,$Z$1,FALSE)</f>
        <v>0</v>
      </c>
      <c r="G14" s="4">
        <f>VLOOKUP($A14,lognormal!$I$3:$R$14,lognormal!$M$1,FALSE) * VLOOKUP(G$3,lognormal!$I$3:$R$14,lognormal!$M$1,FALSE) *INDEX(correlation!$C$3:$N$14,MATCH($A14,correlation!$B$3:$B$14,0),MATCH(G$3,correlation!$C$2:$N$2,0))*VLOOKUP($A14,$U$4:$Z$15,$Z$1,FALSE)*VLOOKUP(G$3,$U$4:$Z$15,$Z$1,FALSE)</f>
        <v>0</v>
      </c>
      <c r="H14" s="4">
        <f>VLOOKUP($A14,lognormal!$I$3:$R$14,lognormal!$M$1,FALSE) * VLOOKUP(H$3,lognormal!$I$3:$R$14,lognormal!$M$1,FALSE) *INDEX(correlation!$C$3:$N$14,MATCH($A14,correlation!$B$3:$B$14,0),MATCH(H$3,correlation!$C$2:$N$2,0))*VLOOKUP($A14,$U$4:$Z$15,$Z$1,FALSE)*VLOOKUP(H$3,$U$4:$Z$15,$Z$1,FALSE)</f>
        <v>0</v>
      </c>
      <c r="I14" s="4">
        <f>VLOOKUP($A14,lognormal!$I$3:$R$14,lognormal!$M$1,FALSE) * VLOOKUP(I$3,lognormal!$I$3:$R$14,lognormal!$M$1,FALSE) *INDEX(correlation!$C$3:$N$14,MATCH($A14,correlation!$B$3:$B$14,0),MATCH(I$3,correlation!$C$2:$N$2,0))*VLOOKUP($A14,$U$4:$Z$15,$Z$1,FALSE)*VLOOKUP(I$3,$U$4:$Z$15,$Z$1,FALSE)</f>
        <v>0</v>
      </c>
      <c r="J14" s="4">
        <f>VLOOKUP($A14,lognormal!$I$3:$R$14,lognormal!$M$1,FALSE) * VLOOKUP(J$3,lognormal!$I$3:$R$14,lognormal!$M$1,FALSE) *INDEX(correlation!$C$3:$N$14,MATCH($A14,correlation!$B$3:$B$14,0),MATCH(J$3,correlation!$C$2:$N$2,0))*VLOOKUP($A14,$U$4:$Z$15,$Z$1,FALSE)*VLOOKUP(J$3,$U$4:$Z$15,$Z$1,FALSE)</f>
        <v>0</v>
      </c>
      <c r="K14" s="4">
        <f>VLOOKUP($A14,lognormal!$I$3:$R$14,lognormal!$M$1,FALSE) * VLOOKUP(K$3,lognormal!$I$3:$R$14,lognormal!$M$1,FALSE) *INDEX(correlation!$C$3:$N$14,MATCH($A14,correlation!$B$3:$B$14,0),MATCH(K$3,correlation!$C$2:$N$2,0))*VLOOKUP($A14,$U$4:$Z$15,$Z$1,FALSE)*VLOOKUP(K$3,$U$4:$Z$15,$Z$1,FALSE)</f>
        <v>0</v>
      </c>
      <c r="L14" s="4">
        <f>VLOOKUP($A14,lognormal!$I$3:$R$14,lognormal!$M$1,FALSE) * VLOOKUP(L$3,lognormal!$I$3:$R$14,lognormal!$M$1,FALSE) *INDEX(correlation!$C$3:$N$14,MATCH($A14,correlation!$B$3:$B$14,0),MATCH(L$3,correlation!$C$2:$N$2,0))*VLOOKUP($A14,$U$4:$Z$15,$Z$1,FALSE)*VLOOKUP(L$3,$U$4:$Z$15,$Z$1,FALSE)</f>
        <v>0</v>
      </c>
      <c r="M14" s="4">
        <f>VLOOKUP($A14,lognormal!$I$3:$R$14,lognormal!$M$1,FALSE) * VLOOKUP(M$3,lognormal!$I$3:$R$14,lognormal!$M$1,FALSE) *INDEX(correlation!$C$3:$N$14,MATCH($A14,correlation!$B$3:$B$14,0),MATCH(M$3,correlation!$C$2:$N$2,0))*VLOOKUP($A14,$U$4:$Z$15,$Z$1,FALSE)*VLOOKUP(M$3,$U$4:$Z$15,$Z$1,FALSE)</f>
        <v>0</v>
      </c>
      <c r="N14" s="23">
        <f t="shared" si="0"/>
        <v>0</v>
      </c>
      <c r="O14" s="10">
        <f t="array" ref="O14">INDEX(beta!$B$3:$D$14,MATCH($A14,beta!$A$3:$A$14,0),MATCH(O$3,beta!$B$2:$D$2,0))</f>
        <v>1.1032598491710599</v>
      </c>
      <c r="P14" s="11">
        <f t="shared" si="1"/>
        <v>0</v>
      </c>
      <c r="Q14" s="17">
        <f>O14*(VLOOKUP($O$3,lognormal!$A$3:$C$14,3,FALSE)-$V$23)+$V$23</f>
        <v>0.3505523811729569</v>
      </c>
      <c r="R14" s="18">
        <f>EXP(VLOOKUP(A14,lognormal!$A$3:$C$14,3,FALSE)-Q14)-1</f>
        <v>-0.40234709669068214</v>
      </c>
      <c r="S14" s="4">
        <f t="array" ref="S14">INDEX(beta!$B$3:$D$14,MATCH($A14,beta!$A$3:$A$14,0),MATCH(S$3,beta!$B$2:$D$2,0))</f>
        <v>0.25907056004447199</v>
      </c>
      <c r="T14" s="12">
        <f t="array" ref="T14">INDEX(beta!$B$3:$D$14,MATCH($A14,beta!$A$3:$A$14,0),MATCH(T$3,beta!$B$2:$D$2,0))</f>
        <v>0.42765626494898001</v>
      </c>
      <c r="U14" s="10" t="s">
        <v>19</v>
      </c>
      <c r="V14" s="26"/>
      <c r="W14" s="26"/>
      <c r="X14" s="26"/>
      <c r="Y14" s="20">
        <f t="shared" si="2"/>
        <v>0</v>
      </c>
      <c r="Z14" s="21">
        <f t="shared" si="4"/>
        <v>0</v>
      </c>
      <c r="AA14" s="22">
        <f>VLOOKUP(U14,tangentPorfolio!$A$2:$B$13,2,FALSE)</f>
        <v>0</v>
      </c>
      <c r="AB14" s="25">
        <f t="shared" si="5"/>
        <v>7.75</v>
      </c>
      <c r="AC14" s="19">
        <f t="shared" si="3"/>
        <v>0</v>
      </c>
      <c r="AD14" s="4"/>
      <c r="AE14" s="4"/>
    </row>
    <row r="15" spans="1:31" thickBot="1">
      <c r="A15" s="27" t="s">
        <v>20</v>
      </c>
      <c r="B15" s="4">
        <f>VLOOKUP($A15,lognormal!$I$3:$R$14,lognormal!$M$1,FALSE) * VLOOKUP(B$3,lognormal!$I$3:$R$14,lognormal!$M$1,FALSE) *INDEX(correlation!$C$3:$N$14,MATCH($A15,correlation!$B$3:$B$14,0),MATCH(B$3,correlation!$C$2:$N$2,0))*VLOOKUP($A15,$U$4:$Z$15,$Z$1,FALSE)*VLOOKUP(B$3,$U$4:$Z$15,$Z$1,FALSE)</f>
        <v>0</v>
      </c>
      <c r="C15" s="4">
        <f>VLOOKUP($A15,lognormal!$I$3:$R$14,lognormal!$M$1,FALSE) * VLOOKUP(C$3,lognormal!$I$3:$R$14,lognormal!$M$1,FALSE) *INDEX(correlation!$C$3:$N$14,MATCH($A15,correlation!$B$3:$B$14,0),MATCH(C$3,correlation!$C$2:$N$2,0))*VLOOKUP($A15,$U$4:$Z$15,$Z$1,FALSE)*VLOOKUP(C$3,$U$4:$Z$15,$Z$1,FALSE)</f>
        <v>0</v>
      </c>
      <c r="D15" s="4">
        <f>VLOOKUP($A15,lognormal!$I$3:$R$14,lognormal!$M$1,FALSE) * VLOOKUP(D$3,lognormal!$I$3:$R$14,lognormal!$M$1,FALSE) *INDEX(correlation!$C$3:$N$14,MATCH($A15,correlation!$B$3:$B$14,0),MATCH(D$3,correlation!$C$2:$N$2,0))*VLOOKUP($A15,$U$4:$Z$15,$Z$1,FALSE)*VLOOKUP(D$3,$U$4:$Z$15,$Z$1,FALSE)</f>
        <v>0</v>
      </c>
      <c r="E15" s="4">
        <f>VLOOKUP($A15,lognormal!$I$3:$R$14,lognormal!$M$1,FALSE) * VLOOKUP(E$3,lognormal!$I$3:$R$14,lognormal!$M$1,FALSE) *INDEX(correlation!$C$3:$N$14,MATCH($A15,correlation!$B$3:$B$14,0),MATCH(E$3,correlation!$C$2:$N$2,0))*VLOOKUP($A15,$U$4:$Z$15,$Z$1,FALSE)*VLOOKUP(E$3,$U$4:$Z$15,$Z$1,FALSE)</f>
        <v>0</v>
      </c>
      <c r="F15" s="4">
        <f>VLOOKUP($A15,lognormal!$I$3:$R$14,lognormal!$M$1,FALSE) * VLOOKUP(F$3,lognormal!$I$3:$R$14,lognormal!$M$1,FALSE) *INDEX(correlation!$C$3:$N$14,MATCH($A15,correlation!$B$3:$B$14,0),MATCH(F$3,correlation!$C$2:$N$2,0))*VLOOKUP($A15,$U$4:$Z$15,$Z$1,FALSE)*VLOOKUP(F$3,$U$4:$Z$15,$Z$1,FALSE)</f>
        <v>0</v>
      </c>
      <c r="G15" s="4">
        <f>VLOOKUP($A15,lognormal!$I$3:$R$14,lognormal!$M$1,FALSE) * VLOOKUP(G$3,lognormal!$I$3:$R$14,lognormal!$M$1,FALSE) *INDEX(correlation!$C$3:$N$14,MATCH($A15,correlation!$B$3:$B$14,0),MATCH(G$3,correlation!$C$2:$N$2,0))*VLOOKUP($A15,$U$4:$Z$15,$Z$1,FALSE)*VLOOKUP(G$3,$U$4:$Z$15,$Z$1,FALSE)</f>
        <v>0</v>
      </c>
      <c r="H15" s="4">
        <f>VLOOKUP($A15,lognormal!$I$3:$R$14,lognormal!$M$1,FALSE) * VLOOKUP(H$3,lognormal!$I$3:$R$14,lognormal!$M$1,FALSE) *INDEX(correlation!$C$3:$N$14,MATCH($A15,correlation!$B$3:$B$14,0),MATCH(H$3,correlation!$C$2:$N$2,0))*VLOOKUP($A15,$U$4:$Z$15,$Z$1,FALSE)*VLOOKUP(H$3,$U$4:$Z$15,$Z$1,FALSE)</f>
        <v>0</v>
      </c>
      <c r="I15" s="4">
        <f>VLOOKUP($A15,lognormal!$I$3:$R$14,lognormal!$M$1,FALSE) * VLOOKUP(I$3,lognormal!$I$3:$R$14,lognormal!$M$1,FALSE) *INDEX(correlation!$C$3:$N$14,MATCH($A15,correlation!$B$3:$B$14,0),MATCH(I$3,correlation!$C$2:$N$2,0))*VLOOKUP($A15,$U$4:$Z$15,$Z$1,FALSE)*VLOOKUP(I$3,$U$4:$Z$15,$Z$1,FALSE)</f>
        <v>0</v>
      </c>
      <c r="J15" s="4">
        <f>VLOOKUP($A15,lognormal!$I$3:$R$14,lognormal!$M$1,FALSE) * VLOOKUP(J$3,lognormal!$I$3:$R$14,lognormal!$M$1,FALSE) *INDEX(correlation!$C$3:$N$14,MATCH($A15,correlation!$B$3:$B$14,0),MATCH(J$3,correlation!$C$2:$N$2,0))*VLOOKUP($A15,$U$4:$Z$15,$Z$1,FALSE)*VLOOKUP(J$3,$U$4:$Z$15,$Z$1,FALSE)</f>
        <v>0</v>
      </c>
      <c r="K15" s="4">
        <f>VLOOKUP($A15,lognormal!$I$3:$R$14,lognormal!$M$1,FALSE) * VLOOKUP(K$3,lognormal!$I$3:$R$14,lognormal!$M$1,FALSE) *INDEX(correlation!$C$3:$N$14,MATCH($A15,correlation!$B$3:$B$14,0),MATCH(K$3,correlation!$C$2:$N$2,0))*VLOOKUP($A15,$U$4:$Z$15,$Z$1,FALSE)*VLOOKUP(K$3,$U$4:$Z$15,$Z$1,FALSE)</f>
        <v>0</v>
      </c>
      <c r="L15" s="4">
        <f>VLOOKUP($A15,lognormal!$I$3:$R$14,lognormal!$M$1,FALSE) * VLOOKUP(L$3,lognormal!$I$3:$R$14,lognormal!$M$1,FALSE) *INDEX(correlation!$C$3:$N$14,MATCH($A15,correlation!$B$3:$B$14,0),MATCH(L$3,correlation!$C$2:$N$2,0))*VLOOKUP($A15,$U$4:$Z$15,$Z$1,FALSE)*VLOOKUP(L$3,$U$4:$Z$15,$Z$1,FALSE)</f>
        <v>0</v>
      </c>
      <c r="M15" s="4">
        <f>VLOOKUP($A15,lognormal!$I$3:$R$14,lognormal!$M$1,FALSE) * VLOOKUP(M$3,lognormal!$I$3:$R$14,lognormal!$M$1,FALSE) *INDEX(correlation!$C$3:$N$14,MATCH($A15,correlation!$B$3:$B$14,0),MATCH(M$3,correlation!$C$2:$N$2,0))*VLOOKUP($A15,$U$4:$Z$15,$Z$1,FALSE)*VLOOKUP(M$3,$U$4:$Z$15,$Z$1,FALSE)</f>
        <v>0</v>
      </c>
      <c r="N15" s="27">
        <f t="shared" si="0"/>
        <v>0</v>
      </c>
      <c r="O15" s="28">
        <f t="array" ref="O15">INDEX(beta!$B$3:$D$14,MATCH($A15,beta!$A$3:$A$14,0),MATCH(O$3,beta!$B$2:$D$2,0))</f>
        <v>1</v>
      </c>
      <c r="P15" s="11">
        <f t="shared" si="1"/>
        <v>0</v>
      </c>
      <c r="Q15" s="17">
        <f>O15*(VLOOKUP($O$3,lognormal!$A$3:$C$14,3,FALSE)-$V$23)+$V$23</f>
        <v>0.31808801689243743</v>
      </c>
      <c r="R15" s="18">
        <f>EXP(VLOOKUP(A15,lognormal!$A$3:$C$14,3,FALSE)-Q15)-1</f>
        <v>0</v>
      </c>
      <c r="S15" s="29">
        <f t="array" ref="S15">INDEX(beta!$B$3:$D$14,MATCH($A15,beta!$A$3:$A$14,0),MATCH(S$3,beta!$B$2:$D$2,0))</f>
        <v>9.81486299491766E-2</v>
      </c>
      <c r="T15" s="30">
        <f t="array" ref="T15">INDEX(beta!$B$3:$D$14,MATCH($A15,beta!$A$3:$A$14,0),MATCH(T$3,beta!$B$2:$D$2,0))</f>
        <v>0.17409503885588601</v>
      </c>
      <c r="U15" s="28" t="s">
        <v>20</v>
      </c>
      <c r="V15" s="31"/>
      <c r="W15" s="31"/>
      <c r="X15" s="31"/>
      <c r="Y15" s="32">
        <f t="shared" si="2"/>
        <v>0</v>
      </c>
      <c r="Z15" s="21">
        <f t="shared" si="4"/>
        <v>0</v>
      </c>
      <c r="AA15" s="22">
        <f>VLOOKUP(U15,tangentPorfolio!$A$2:$B$13,2,FALSE)</f>
        <v>1.22312709548329E-14</v>
      </c>
      <c r="AB15" s="25">
        <f t="shared" si="5"/>
        <v>7.75</v>
      </c>
      <c r="AC15" s="19">
        <f t="shared" si="3"/>
        <v>0</v>
      </c>
      <c r="AD15" s="4"/>
      <c r="AE15" s="4"/>
    </row>
    <row r="16" spans="1:31" ht="14.5">
      <c r="A16" s="4"/>
      <c r="B16" s="4"/>
      <c r="C16" s="4"/>
      <c r="D16" s="4"/>
      <c r="E16" s="4"/>
      <c r="F16" s="4"/>
      <c r="G16" s="4"/>
      <c r="H16" s="33"/>
      <c r="I16" s="33"/>
      <c r="J16" s="33"/>
      <c r="K16" s="33"/>
      <c r="L16" s="33"/>
      <c r="M16" s="33"/>
      <c r="N16" s="4"/>
      <c r="O16" s="4"/>
      <c r="P16" s="4"/>
      <c r="Q16" s="4"/>
      <c r="R16" s="4"/>
      <c r="S16" s="34"/>
      <c r="T16" s="34"/>
      <c r="U16" s="11" t="s">
        <v>32</v>
      </c>
      <c r="V16" s="18"/>
      <c r="W16" s="18"/>
      <c r="X16" s="18"/>
      <c r="Y16" s="18">
        <f t="shared" ref="Y16:AA16" si="6">SUM(Y4:Y15)</f>
        <v>0</v>
      </c>
      <c r="Z16" s="18">
        <f t="shared" si="6"/>
        <v>0</v>
      </c>
      <c r="AA16" s="18">
        <f t="shared" si="6"/>
        <v>1.0000000000004086</v>
      </c>
      <c r="AB16" s="34"/>
      <c r="AC16" s="34"/>
      <c r="AD16" s="35"/>
      <c r="AE16" s="4"/>
    </row>
    <row r="17" spans="1:31" ht="14.5">
      <c r="I17" s="4"/>
      <c r="J17" s="4"/>
      <c r="K17" s="4"/>
      <c r="L17" s="4"/>
      <c r="M17" s="4"/>
      <c r="N17" s="36" t="s">
        <v>33</v>
      </c>
      <c r="O17" s="36">
        <f>SUM(P4:P15)</f>
        <v>0</v>
      </c>
      <c r="P17" s="37" t="s">
        <v>34</v>
      </c>
      <c r="Q17" s="18">
        <f>O17*(VLOOKUP($O$3,lognormal!$A$3:$F$14,lognormal!$E$1,FALSE)-$V$24)+$V$24</f>
        <v>3.7000000000000002E-3</v>
      </c>
      <c r="R17" s="38">
        <f>$AC$31-Q17</f>
        <v>-3.7000000000000002E-3</v>
      </c>
      <c r="U17" s="4" t="s">
        <v>35</v>
      </c>
      <c r="V17" s="4">
        <v>29219.37</v>
      </c>
      <c r="W17" s="4"/>
      <c r="X17" s="4"/>
      <c r="Y17" s="34"/>
      <c r="Z17" s="34"/>
      <c r="AA17" s="34"/>
      <c r="AB17" s="4">
        <f>IF(ISNUMBER(SEARCH("HK",U17)),1,$V$21)</f>
        <v>1</v>
      </c>
      <c r="AC17" s="19">
        <f t="shared" ref="AC17:AC18" si="7">V17*AB17</f>
        <v>29219.37</v>
      </c>
    </row>
    <row r="18" spans="1:31" ht="14.5">
      <c r="I18" s="4"/>
      <c r="J18" s="4"/>
      <c r="K18" s="4"/>
      <c r="L18" s="4"/>
      <c r="M18" s="4"/>
      <c r="N18" s="4" t="s">
        <v>36</v>
      </c>
      <c r="O18" s="5">
        <f>POWER(VLOOKUP($O$3,lognormal!$I$3:$R$14,lognormal!$M$1,FALSE),2)*POWER(O17,2)</f>
        <v>0</v>
      </c>
      <c r="P18" s="4"/>
      <c r="Q18" s="34"/>
      <c r="R18" s="4"/>
      <c r="U18" s="4" t="s">
        <v>37</v>
      </c>
      <c r="V18" s="4">
        <v>13114.06</v>
      </c>
      <c r="W18" s="4"/>
      <c r="X18" s="4"/>
      <c r="Y18" s="34"/>
      <c r="Z18" s="34"/>
      <c r="AA18" s="34"/>
      <c r="AB18" s="25">
        <f>IF(ISNUMBER(SEARCH("HK",U18)),1,$V$21)</f>
        <v>7.75</v>
      </c>
      <c r="AC18" s="19">
        <f t="shared" si="7"/>
        <v>101633.965</v>
      </c>
    </row>
    <row r="19" spans="1:31" ht="14.5">
      <c r="I19" s="4"/>
      <c r="J19" s="4"/>
      <c r="K19" s="4"/>
      <c r="L19" s="4"/>
      <c r="M19" s="4"/>
      <c r="N19" s="39" t="s">
        <v>38</v>
      </c>
      <c r="O19" s="40">
        <f>SQRT(O18)</f>
        <v>0</v>
      </c>
      <c r="P19" s="34">
        <f>EXP(LN($O$19+1)/SQRT($B$1))-1</f>
        <v>0</v>
      </c>
      <c r="Q19" s="4"/>
      <c r="R19" s="4"/>
      <c r="U19" s="4"/>
      <c r="V19" s="26"/>
      <c r="W19" s="26"/>
      <c r="X19" s="26"/>
      <c r="Y19" s="34"/>
      <c r="Z19" s="34"/>
      <c r="AA19" s="34"/>
      <c r="AB19" s="11" t="s">
        <v>39</v>
      </c>
      <c r="AC19" s="41">
        <f>SUM(AC4:AC15)</f>
        <v>0</v>
      </c>
    </row>
    <row r="20" spans="1:31" ht="14.5">
      <c r="A20" s="5" t="s">
        <v>40</v>
      </c>
      <c r="B20" s="42">
        <f>VLOOKUP(B3,lognormal!$A$3:$F$14,lognormal!$E$1,FALSE)*VLOOKUP(B3,$U$4:$Z$15,$Z$1,FALSE)</f>
        <v>0</v>
      </c>
      <c r="C20" s="42">
        <f>VLOOKUP(C3,lognormal!$A$3:$F$14,lognormal!$E$1,FALSE)*VLOOKUP(C3,$U$4:$Z$15,$Z$1,FALSE)</f>
        <v>0</v>
      </c>
      <c r="D20" s="42">
        <f>VLOOKUP(D3,lognormal!$A$3:$F$14,lognormal!$E$1,FALSE)*VLOOKUP(D3,$U$4:$Z$15,$Z$1,FALSE)</f>
        <v>0</v>
      </c>
      <c r="E20" s="42">
        <f>VLOOKUP(E3,lognormal!$A$3:$F$14,lognormal!$E$1,FALSE)*VLOOKUP(E3,$U$4:$Z$15,$Z$1,FALSE)</f>
        <v>0</v>
      </c>
      <c r="F20" s="42">
        <f>VLOOKUP(F3,lognormal!$A$3:$F$14,lognormal!$E$1,FALSE)*VLOOKUP(F3,$U$4:$Z$15,$Z$1,FALSE)</f>
        <v>0</v>
      </c>
      <c r="G20" s="42">
        <f>VLOOKUP(G3,lognormal!$A$3:$F$14,lognormal!$E$1,FALSE)*VLOOKUP(G3,$U$4:$Z$15,$Z$1,FALSE)</f>
        <v>0</v>
      </c>
      <c r="H20" s="42">
        <f>VLOOKUP(H3,lognormal!$A$3:$F$14,lognormal!$E$1,FALSE)*VLOOKUP(H3,$U$4:$Z$15,$Z$1,FALSE)</f>
        <v>0</v>
      </c>
      <c r="I20" s="42">
        <f>VLOOKUP(I3,lognormal!$A$3:$F$14,lognormal!$E$1,FALSE)*VLOOKUP(I3,$U$4:$Z$15,$Z$1,FALSE)</f>
        <v>0</v>
      </c>
      <c r="J20" s="42">
        <f>VLOOKUP(J3,lognormal!$A$3:$F$14,lognormal!$E$1,FALSE)*VLOOKUP(J3,$U$4:$Z$15,$Z$1,FALSE)</f>
        <v>0</v>
      </c>
      <c r="K20" s="42">
        <f>VLOOKUP(K3,lognormal!$A$3:$F$14,lognormal!$E$1,FALSE)*VLOOKUP(K3,$U$4:$Z$15,$Z$1,FALSE)</f>
        <v>0</v>
      </c>
      <c r="L20" s="42">
        <f>VLOOKUP(L3,lognormal!$A$3:$F$14,lognormal!$E$1,FALSE)*VLOOKUP(L3,$U$4:$Z$15,$Z$1,FALSE)</f>
        <v>0</v>
      </c>
      <c r="M20" s="42">
        <f>VLOOKUP(M3,lognormal!$A$3:$F$14,lognormal!$E$1,FALSE)*VLOOKUP(M3,$U$4:$Z$15,$Z$1,FALSE)</f>
        <v>0</v>
      </c>
      <c r="N20" s="68"/>
      <c r="O20" s="34"/>
      <c r="P20" s="69" t="s">
        <v>89</v>
      </c>
      <c r="Q20" s="73" t="e">
        <f>$AC$34*VLOOKUP($O$3,lognormal!$I$3:$R$14,lognormal!$M$1,FALSE) + $V$24</f>
        <v>#DIV/0!</v>
      </c>
      <c r="R20" s="71" t="e">
        <f>$Q$20 - VLOOKUP($O$3,lognormal!$A$3:$F$14,lognormal!$E$1,FALSE)</f>
        <v>#DIV/0!</v>
      </c>
      <c r="U20" s="4"/>
      <c r="V20" s="26"/>
      <c r="W20" s="26"/>
      <c r="X20" s="26"/>
      <c r="Z20" s="4"/>
      <c r="AA20" s="4"/>
      <c r="AB20" s="11" t="s">
        <v>41</v>
      </c>
      <c r="AC20" s="41">
        <f>SUM(AC17:AC19)</f>
        <v>130853.33499999999</v>
      </c>
    </row>
    <row r="21" spans="1:31" ht="15.75" customHeight="1">
      <c r="G21" s="4"/>
      <c r="H21" s="4"/>
      <c r="I21" s="4"/>
      <c r="J21" s="4"/>
      <c r="K21" s="4"/>
      <c r="L21" s="4"/>
      <c r="M21" s="4"/>
      <c r="N21" s="68"/>
      <c r="P21" s="70" t="s">
        <v>90</v>
      </c>
      <c r="Q21" t="e">
        <f>VLOOKUP($O$3,lognormal!$I$3:$R$14,lognormal!$M$1,FALSE)/$AC$24</f>
        <v>#DIV/0!</v>
      </c>
      <c r="R21" s="4"/>
      <c r="U21" s="3" t="s">
        <v>42</v>
      </c>
      <c r="V21" s="43">
        <v>7.75</v>
      </c>
      <c r="W21" s="43"/>
      <c r="X21" s="43"/>
      <c r="Z21" s="4"/>
      <c r="AA21" s="4"/>
      <c r="AB21" s="4"/>
    </row>
    <row r="22" spans="1:31" ht="15.75" customHeight="1">
      <c r="I22" s="4"/>
      <c r="J22" s="4"/>
      <c r="K22" s="4"/>
      <c r="L22" s="4"/>
      <c r="M22" s="4"/>
      <c r="N22" s="4"/>
      <c r="P22" s="4"/>
      <c r="Q22" s="4"/>
      <c r="R22" s="4"/>
      <c r="U22" s="3" t="s">
        <v>43</v>
      </c>
      <c r="V22" s="43">
        <v>1.20726716</v>
      </c>
      <c r="W22" s="43"/>
      <c r="X22" s="43"/>
      <c r="Y22" s="34"/>
      <c r="Z22" s="34"/>
      <c r="AA22" s="95" t="s">
        <v>44</v>
      </c>
      <c r="AB22" s="44" t="s">
        <v>45</v>
      </c>
      <c r="AC22" s="45">
        <f>SQRT(-2*LN($AC$31+1) + LN(POWER($AC$24,2) + POWER($AC$31+1,2)))</f>
        <v>0</v>
      </c>
      <c r="AD22" s="46">
        <f>EXP(AC22)-1</f>
        <v>0</v>
      </c>
    </row>
    <row r="23" spans="1:31" ht="29">
      <c r="I23" s="4"/>
      <c r="J23" s="4"/>
      <c r="K23" s="4"/>
      <c r="L23" s="4"/>
      <c r="M23" s="4"/>
      <c r="N23" s="4"/>
      <c r="P23" s="4"/>
      <c r="Q23" s="4"/>
      <c r="R23" s="4"/>
      <c r="U23" s="47" t="s">
        <v>46</v>
      </c>
      <c r="V23" s="5">
        <f>LN(V24+1)</f>
        <v>3.6931718376176067E-3</v>
      </c>
      <c r="W23" s="4"/>
      <c r="X23" s="4"/>
      <c r="Z23" s="4"/>
      <c r="AA23" s="96"/>
      <c r="AB23" s="48" t="s">
        <v>47</v>
      </c>
      <c r="AC23" s="49">
        <f>SUM(N4:N15)</f>
        <v>0</v>
      </c>
    </row>
    <row r="24" spans="1:31" ht="15.75" customHeight="1">
      <c r="I24" s="4"/>
      <c r="J24" s="4"/>
      <c r="K24" s="4"/>
      <c r="L24" s="4"/>
      <c r="M24" s="4"/>
      <c r="N24" s="4"/>
      <c r="P24" s="4"/>
      <c r="Q24" s="4"/>
      <c r="R24" s="4"/>
      <c r="U24" s="3" t="s">
        <v>48</v>
      </c>
      <c r="V24" s="50">
        <v>3.7000000000000002E-3</v>
      </c>
      <c r="W24" s="50"/>
      <c r="X24" s="50"/>
      <c r="Y24" s="34"/>
      <c r="Z24" s="34"/>
      <c r="AA24" s="96"/>
      <c r="AB24" s="51" t="s">
        <v>49</v>
      </c>
      <c r="AC24" s="52">
        <f>SQRT(AC23)</f>
        <v>0</v>
      </c>
      <c r="AD24" s="34">
        <f>EXP(LN($AC$24+1)/SQRT($B$1))-1</f>
        <v>0</v>
      </c>
      <c r="AE24" s="4"/>
    </row>
    <row r="25" spans="1:31" ht="15.75" customHeight="1">
      <c r="I25" s="4"/>
      <c r="J25" s="4"/>
      <c r="K25" s="4"/>
      <c r="L25" s="4"/>
      <c r="M25" s="4"/>
      <c r="N25" s="4"/>
      <c r="P25" s="4"/>
      <c r="Q25" s="4"/>
      <c r="R25" s="4"/>
      <c r="U25" s="3" t="s">
        <v>50</v>
      </c>
      <c r="V25" s="53">
        <v>43831</v>
      </c>
      <c r="W25" s="53"/>
      <c r="X25" s="53"/>
      <c r="Y25" s="34"/>
      <c r="Z25" s="34"/>
      <c r="AA25" s="96"/>
      <c r="AB25" s="54"/>
      <c r="AC25" s="4"/>
      <c r="AD25" s="4"/>
    </row>
    <row r="26" spans="1:31" ht="15.75" customHeight="1">
      <c r="I26" s="4"/>
      <c r="J26" s="4"/>
      <c r="K26" s="4"/>
      <c r="L26" s="4"/>
      <c r="M26" s="4"/>
      <c r="N26" s="4"/>
      <c r="P26" s="4"/>
      <c r="Q26" s="4"/>
      <c r="R26" s="4"/>
      <c r="V26" s="34"/>
      <c r="W26" s="34"/>
      <c r="X26" s="34"/>
      <c r="Y26" s="34"/>
      <c r="Z26" s="34"/>
      <c r="AA26" s="96"/>
      <c r="AB26" s="4" t="s">
        <v>51</v>
      </c>
      <c r="AC26" s="4">
        <f>$AC$23-$O$18</f>
        <v>0</v>
      </c>
      <c r="AD26" s="34"/>
      <c r="AE26" s="34"/>
    </row>
    <row r="27" spans="1:31" ht="15.75" customHeight="1">
      <c r="I27" s="4"/>
      <c r="J27" s="4"/>
      <c r="K27" s="4"/>
      <c r="L27" s="4"/>
      <c r="M27" s="4"/>
      <c r="N27" s="4"/>
      <c r="P27" s="4"/>
      <c r="Q27" s="4"/>
      <c r="R27" s="4"/>
      <c r="V27" s="34"/>
      <c r="W27" s="34"/>
      <c r="X27" s="34"/>
      <c r="Y27" s="34"/>
      <c r="Z27" s="4"/>
      <c r="AA27" s="96"/>
      <c r="AB27" s="4" t="s">
        <v>52</v>
      </c>
      <c r="AC27" s="34">
        <f>SQRT(AC26)</f>
        <v>0</v>
      </c>
      <c r="AD27" s="4"/>
      <c r="AE27" s="34"/>
    </row>
    <row r="28" spans="1:31" ht="15.75" customHeight="1">
      <c r="I28" s="4"/>
      <c r="J28" s="4"/>
      <c r="K28" s="4"/>
      <c r="L28" s="4"/>
      <c r="M28" s="4"/>
      <c r="N28" s="4"/>
      <c r="P28" s="4"/>
      <c r="Q28" s="4"/>
      <c r="R28" s="4"/>
      <c r="V28" s="34"/>
      <c r="W28" s="34"/>
      <c r="X28" s="34"/>
      <c r="Y28" s="34"/>
      <c r="Z28" s="4"/>
      <c r="AA28" s="4"/>
      <c r="AB28" s="4"/>
      <c r="AC28" s="4"/>
      <c r="AD28" s="4"/>
    </row>
    <row r="29" spans="1:31" ht="15.75" customHeight="1">
      <c r="I29" s="4"/>
      <c r="J29" s="4"/>
      <c r="K29" s="4"/>
      <c r="L29" s="4"/>
      <c r="M29" s="4"/>
      <c r="N29" s="4"/>
      <c r="P29" s="4"/>
      <c r="Q29" s="4"/>
      <c r="R29" s="4"/>
      <c r="V29" s="34"/>
      <c r="W29" s="34"/>
      <c r="X29" s="34"/>
      <c r="Y29" s="34"/>
      <c r="Z29" s="4"/>
      <c r="AA29" s="4"/>
      <c r="AB29" s="34"/>
      <c r="AC29" s="34"/>
      <c r="AD29" s="34"/>
    </row>
    <row r="30" spans="1:31" ht="15.75" customHeight="1">
      <c r="I30" s="4"/>
      <c r="J30" s="4"/>
      <c r="K30" s="4"/>
      <c r="L30" s="4"/>
      <c r="M30" s="4"/>
      <c r="N30" s="4"/>
      <c r="P30" s="4"/>
      <c r="Q30" s="4"/>
      <c r="R30" s="4"/>
      <c r="V30" s="34"/>
      <c r="W30" s="34"/>
      <c r="X30" s="34"/>
      <c r="Z30" s="4"/>
      <c r="AA30" s="97" t="s">
        <v>53</v>
      </c>
      <c r="AB30" s="44" t="s">
        <v>45</v>
      </c>
      <c r="AC30" s="55">
        <f>2*LN($AC$31+1)-0.5*LN(POWER($AC$24,2) + POWER($AC$31+1,2))</f>
        <v>0</v>
      </c>
      <c r="AD30" s="56">
        <f>EXP(AC30)-1</f>
        <v>0</v>
      </c>
    </row>
    <row r="31" spans="1:31" ht="15.75" customHeight="1">
      <c r="I31" s="4"/>
      <c r="J31" s="4"/>
      <c r="K31" s="4"/>
      <c r="L31" s="4"/>
      <c r="M31" s="4"/>
      <c r="N31" s="4"/>
      <c r="P31" s="4"/>
      <c r="Q31" s="4"/>
      <c r="R31" s="4"/>
      <c r="V31" s="34"/>
      <c r="W31" s="34"/>
      <c r="X31" s="34"/>
      <c r="Z31" s="4"/>
      <c r="AA31" s="96"/>
      <c r="AB31" s="57" t="s">
        <v>54</v>
      </c>
      <c r="AC31" s="58">
        <f>SUM(B20:M20)</f>
        <v>0</v>
      </c>
      <c r="AD31" s="34">
        <f>EXP(LN(1+$AC$31)/$B$1)-1</f>
        <v>0</v>
      </c>
      <c r="AE31" s="4"/>
    </row>
    <row r="32" spans="1:31" ht="15.75" customHeight="1">
      <c r="I32" s="4"/>
      <c r="J32" s="4"/>
      <c r="K32" s="4"/>
      <c r="L32" s="4"/>
      <c r="M32" s="4"/>
      <c r="N32" s="4"/>
      <c r="P32" s="4"/>
      <c r="Q32" s="4"/>
      <c r="R32" s="4"/>
      <c r="W32" s="4"/>
      <c r="X32" s="4"/>
      <c r="Z32" s="4"/>
      <c r="AA32" s="96"/>
      <c r="AB32" s="4"/>
      <c r="AC32" s="4"/>
      <c r="AE32" s="4"/>
    </row>
    <row r="33" spans="9:31" ht="15.75" customHeight="1" thickBot="1">
      <c r="I33" s="4"/>
      <c r="J33" s="4"/>
      <c r="K33" s="4"/>
      <c r="L33" s="4"/>
      <c r="M33" s="4"/>
      <c r="N33" s="4"/>
      <c r="P33" s="4"/>
      <c r="Q33" s="4"/>
      <c r="R33" s="4"/>
      <c r="W33" s="4"/>
      <c r="X33" s="4"/>
      <c r="AA33" s="96"/>
      <c r="AB33" s="72" t="s">
        <v>91</v>
      </c>
      <c r="AC33" s="72" t="e">
        <f>(AC31-V24)/O17</f>
        <v>#DIV/0!</v>
      </c>
    </row>
    <row r="34" spans="9:31" ht="15.75" customHeight="1" thickTop="1">
      <c r="I34" s="4"/>
      <c r="J34" s="4"/>
      <c r="K34" s="4"/>
      <c r="L34" s="4"/>
      <c r="M34" s="4"/>
      <c r="N34" s="4"/>
      <c r="P34" s="4"/>
      <c r="Q34" s="4"/>
      <c r="R34" s="4"/>
      <c r="W34" s="4"/>
      <c r="X34" s="4"/>
      <c r="AA34" s="96"/>
      <c r="AB34" s="36" t="s">
        <v>55</v>
      </c>
      <c r="AC34" s="59" t="e">
        <f>(AC31-V24)/AC24</f>
        <v>#DIV/0!</v>
      </c>
    </row>
    <row r="35" spans="9:31" ht="15.75" customHeight="1">
      <c r="I35" s="4"/>
      <c r="J35" s="4"/>
      <c r="K35" s="4"/>
      <c r="L35" s="4"/>
      <c r="M35" s="4"/>
      <c r="N35" s="4"/>
      <c r="P35" s="4"/>
      <c r="Q35" s="4"/>
      <c r="R35" s="4"/>
      <c r="W35" s="4"/>
      <c r="X35" s="4"/>
      <c r="AA35" s="49"/>
      <c r="AB35" s="4"/>
    </row>
    <row r="36" spans="9:31" ht="15.75" customHeight="1">
      <c r="I36" s="4"/>
      <c r="J36" s="4"/>
      <c r="K36" s="4"/>
      <c r="L36" s="4"/>
      <c r="M36" s="4"/>
      <c r="N36" s="4"/>
      <c r="P36" s="4"/>
      <c r="Q36" s="4"/>
      <c r="R36" s="4"/>
      <c r="W36" s="4"/>
      <c r="X36" s="4"/>
      <c r="AA36" s="49"/>
      <c r="AB36" s="3" t="s">
        <v>56</v>
      </c>
      <c r="AC36" s="22">
        <v>0.9</v>
      </c>
      <c r="AD36" s="22">
        <v>0.95</v>
      </c>
      <c r="AE36" s="22">
        <v>0.99</v>
      </c>
    </row>
    <row r="37" spans="9:31" ht="15.75" customHeight="1">
      <c r="I37" s="4"/>
      <c r="J37" s="4"/>
      <c r="K37" s="4"/>
      <c r="L37" s="4"/>
      <c r="M37" s="4"/>
      <c r="N37" s="4"/>
      <c r="P37" s="4"/>
      <c r="Q37" s="4"/>
      <c r="R37" s="4"/>
      <c r="W37" s="4"/>
      <c r="X37" s="4"/>
      <c r="AA37" s="49"/>
      <c r="AB37" s="3" t="s">
        <v>57</v>
      </c>
      <c r="AC37" s="3">
        <f t="shared" ref="AC37:AE37" si="8">NORMSINV(AC36)</f>
        <v>1.2815515655446006</v>
      </c>
      <c r="AD37" s="3">
        <f t="shared" si="8"/>
        <v>1.6448536269514715</v>
      </c>
      <c r="AE37" s="3">
        <f t="shared" si="8"/>
        <v>2.3263478740408408</v>
      </c>
    </row>
    <row r="38" spans="9:31" ht="15.75" customHeight="1">
      <c r="I38" s="4"/>
      <c r="J38" s="4"/>
      <c r="K38" s="4"/>
      <c r="L38" s="4"/>
      <c r="M38" s="4"/>
      <c r="N38" s="4"/>
      <c r="P38" s="4"/>
      <c r="Q38" s="4"/>
      <c r="R38" s="4"/>
      <c r="W38" s="4"/>
      <c r="X38" s="4"/>
      <c r="Z38" s="34"/>
      <c r="AA38" s="98" t="s">
        <v>58</v>
      </c>
      <c r="AB38" s="55" t="s">
        <v>59</v>
      </c>
      <c r="AC38" s="55" t="e">
        <f t="shared" ref="AC38:AE38" si="9">_xlfn.NORM.INV(1-AC36, $AC$31,$AC$24)</f>
        <v>#NUM!</v>
      </c>
      <c r="AD38" s="55" t="e">
        <f t="shared" si="9"/>
        <v>#NUM!</v>
      </c>
      <c r="AE38" s="55" t="e">
        <f t="shared" si="9"/>
        <v>#NUM!</v>
      </c>
    </row>
    <row r="39" spans="9:31" ht="15.75" customHeight="1">
      <c r="I39" s="4"/>
      <c r="J39" s="4"/>
      <c r="K39" s="4"/>
      <c r="L39" s="4"/>
      <c r="M39" s="4"/>
      <c r="N39" s="4"/>
      <c r="P39" s="4"/>
      <c r="Q39" s="4"/>
      <c r="R39" s="4"/>
      <c r="W39" s="4"/>
      <c r="X39" s="4"/>
      <c r="Z39" s="34"/>
      <c r="AA39" s="82"/>
      <c r="AB39" s="55"/>
      <c r="AC39" s="56" t="e">
        <f t="shared" ref="AC39:AE39" si="10">AC38</f>
        <v>#NUM!</v>
      </c>
      <c r="AD39" s="56" t="e">
        <f t="shared" si="10"/>
        <v>#NUM!</v>
      </c>
      <c r="AE39" s="56" t="e">
        <f t="shared" si="10"/>
        <v>#NUM!</v>
      </c>
    </row>
    <row r="40" spans="9:31" ht="15.75" customHeight="1">
      <c r="I40" s="4"/>
      <c r="J40" s="4"/>
      <c r="K40" s="4"/>
      <c r="L40" s="4"/>
      <c r="M40" s="4"/>
      <c r="N40" s="4"/>
      <c r="P40" s="4"/>
      <c r="Q40" s="4"/>
      <c r="R40" s="4"/>
      <c r="W40" s="4"/>
      <c r="X40" s="4"/>
      <c r="Z40" s="34"/>
      <c r="AA40" s="99" t="s">
        <v>60</v>
      </c>
      <c r="AB40" s="81" t="s">
        <v>61</v>
      </c>
      <c r="AC40" s="34">
        <f t="shared" ref="AC40:AE40" si="11">$AC$31-AC37*$AC$24</f>
        <v>0</v>
      </c>
      <c r="AD40" s="34">
        <f t="shared" si="11"/>
        <v>0</v>
      </c>
      <c r="AE40" s="34">
        <f t="shared" si="11"/>
        <v>0</v>
      </c>
    </row>
    <row r="41" spans="9:31" ht="15.75" customHeight="1">
      <c r="I41" s="4"/>
      <c r="J41" s="4"/>
      <c r="K41" s="4"/>
      <c r="L41" s="4"/>
      <c r="M41" s="4"/>
      <c r="N41" s="4"/>
      <c r="P41" s="4"/>
      <c r="Q41" s="4"/>
      <c r="R41" s="4"/>
      <c r="W41" s="4"/>
      <c r="X41" s="4"/>
      <c r="Z41" s="4"/>
      <c r="AA41" s="96"/>
      <c r="AB41" s="82"/>
      <c r="AC41" s="41">
        <f t="shared" ref="AC41:AE41" si="12">$AC$19*AC40</f>
        <v>0</v>
      </c>
      <c r="AD41" s="41">
        <f t="shared" si="12"/>
        <v>0</v>
      </c>
      <c r="AE41" s="41">
        <f t="shared" si="12"/>
        <v>0</v>
      </c>
    </row>
    <row r="42" spans="9:31" ht="15.75" customHeight="1">
      <c r="I42" s="4"/>
      <c r="J42" s="4"/>
      <c r="K42" s="4"/>
      <c r="L42" s="4"/>
      <c r="M42" s="4"/>
      <c r="N42" s="4"/>
      <c r="P42" s="4"/>
      <c r="Q42" s="4"/>
      <c r="R42" s="4"/>
      <c r="W42" s="4"/>
      <c r="X42" s="4"/>
      <c r="Z42" s="4"/>
      <c r="AA42" s="96"/>
      <c r="AB42" s="83" t="s">
        <v>62</v>
      </c>
      <c r="AC42" s="34">
        <f t="shared" ref="AC42:AE42" si="13">$AD$31-AC37*$AD$24</f>
        <v>0</v>
      </c>
      <c r="AD42" s="34">
        <f t="shared" si="13"/>
        <v>0</v>
      </c>
      <c r="AE42" s="34">
        <f t="shared" si="13"/>
        <v>0</v>
      </c>
    </row>
    <row r="43" spans="9:31" ht="15.75" customHeight="1">
      <c r="I43" s="4"/>
      <c r="J43" s="4"/>
      <c r="K43" s="4"/>
      <c r="L43" s="4"/>
      <c r="M43" s="4"/>
      <c r="N43" s="4"/>
      <c r="P43" s="4"/>
      <c r="Q43" s="4"/>
      <c r="R43" s="4"/>
      <c r="W43" s="4"/>
      <c r="X43" s="4"/>
      <c r="Z43" s="4"/>
      <c r="AA43" s="96"/>
      <c r="AB43" s="82"/>
      <c r="AC43" s="41">
        <f t="shared" ref="AC43:AE43" si="14">$AC$19*AC42</f>
        <v>0</v>
      </c>
      <c r="AD43" s="41">
        <f t="shared" si="14"/>
        <v>0</v>
      </c>
      <c r="AE43" s="41">
        <f t="shared" si="14"/>
        <v>0</v>
      </c>
    </row>
    <row r="44" spans="9:31" ht="15.75" customHeight="1">
      <c r="I44" s="4"/>
      <c r="J44" s="4"/>
      <c r="K44" s="4"/>
      <c r="L44" s="4"/>
      <c r="M44" s="4"/>
      <c r="N44" s="4"/>
      <c r="P44" s="4"/>
      <c r="Q44" s="4"/>
      <c r="R44" s="4"/>
      <c r="W44" s="4"/>
      <c r="X44" s="4"/>
      <c r="Z44" s="4"/>
      <c r="AA44" s="4"/>
      <c r="AB44" s="34"/>
    </row>
    <row r="45" spans="9:31" ht="15.75" customHeight="1">
      <c r="I45" s="4"/>
      <c r="J45" s="4"/>
      <c r="K45" s="4"/>
      <c r="L45" s="4"/>
      <c r="M45" s="4"/>
      <c r="N45" s="4"/>
      <c r="P45" s="4"/>
      <c r="Q45" s="4"/>
      <c r="R45" s="4"/>
      <c r="W45" s="4"/>
      <c r="X45" s="4"/>
      <c r="Z45" s="4"/>
      <c r="AA45" s="4"/>
      <c r="AB45" s="60" t="s">
        <v>63</v>
      </c>
    </row>
    <row r="46" spans="9:31" ht="15.75" customHeight="1">
      <c r="I46" s="4"/>
      <c r="J46" s="4"/>
      <c r="K46" s="4"/>
      <c r="L46" s="4"/>
      <c r="M46" s="4"/>
      <c r="N46" s="4"/>
      <c r="P46" s="4"/>
      <c r="Q46" s="4"/>
      <c r="R46" s="4"/>
      <c r="W46" s="4"/>
      <c r="X46" s="4"/>
      <c r="Z46" s="4"/>
      <c r="AA46" s="4"/>
      <c r="AB46" s="54" t="s">
        <v>64</v>
      </c>
    </row>
    <row r="47" spans="9:31" ht="15.75" customHeight="1">
      <c r="I47" s="4"/>
      <c r="J47" s="4"/>
      <c r="K47" s="4"/>
      <c r="L47" s="4"/>
      <c r="M47" s="4"/>
      <c r="N47" s="4"/>
      <c r="P47" s="4"/>
      <c r="Q47" s="4"/>
      <c r="R47" s="4"/>
      <c r="W47" s="4"/>
      <c r="X47" s="4"/>
      <c r="Z47" s="4"/>
      <c r="AA47" s="4"/>
      <c r="AB47" s="54" t="s">
        <v>65</v>
      </c>
    </row>
    <row r="48" spans="9:31" ht="15.75" customHeight="1">
      <c r="I48" s="4"/>
      <c r="J48" s="4"/>
      <c r="K48" s="4"/>
      <c r="L48" s="4"/>
      <c r="M48" s="4"/>
      <c r="N48" s="4"/>
      <c r="P48" s="4"/>
      <c r="Q48" s="4"/>
      <c r="R48" s="4"/>
      <c r="W48" s="4"/>
      <c r="X48" s="4"/>
      <c r="Z48" s="4"/>
      <c r="AA48" s="4"/>
      <c r="AB48" s="4"/>
    </row>
    <row r="49" spans="9:31" ht="15.75" customHeight="1">
      <c r="I49" s="4"/>
      <c r="J49" s="4"/>
      <c r="K49" s="4"/>
      <c r="L49" s="4"/>
      <c r="M49" s="4"/>
      <c r="N49" s="4"/>
      <c r="P49" s="4"/>
      <c r="Q49" s="4"/>
      <c r="R49" s="4"/>
      <c r="W49" s="4"/>
      <c r="X49" s="4"/>
      <c r="Z49" s="4"/>
      <c r="AA49" s="4"/>
      <c r="AB49" s="4"/>
    </row>
    <row r="50" spans="9:31" ht="15.75" customHeight="1">
      <c r="I50" s="4"/>
      <c r="J50" s="4"/>
      <c r="K50" s="4"/>
      <c r="L50" s="4"/>
      <c r="M50" s="4"/>
      <c r="N50" s="4"/>
      <c r="P50" s="4"/>
      <c r="Q50" s="4"/>
      <c r="R50" s="4"/>
      <c r="W50" s="4"/>
      <c r="X50" s="4"/>
      <c r="Z50" s="4"/>
      <c r="AA50" s="4"/>
      <c r="AB50" s="4"/>
      <c r="AC50" s="5" t="s">
        <v>61</v>
      </c>
      <c r="AD50" s="5" t="s">
        <v>62</v>
      </c>
    </row>
    <row r="51" spans="9:31" ht="15.75" customHeight="1">
      <c r="I51" s="4"/>
      <c r="J51" s="4"/>
      <c r="K51" s="4"/>
      <c r="L51" s="4"/>
      <c r="M51" s="4"/>
      <c r="N51" s="4"/>
      <c r="P51" s="4"/>
      <c r="Q51" s="4"/>
      <c r="R51" s="4"/>
      <c r="W51" s="4"/>
      <c r="X51" s="4"/>
      <c r="Z51" s="4"/>
      <c r="AA51" s="84" t="s">
        <v>66</v>
      </c>
      <c r="AB51" s="15" t="s">
        <v>67</v>
      </c>
      <c r="AC51" s="18">
        <f>-0.04</f>
        <v>-0.04</v>
      </c>
      <c r="AD51" s="21">
        <f>EXP(LN(AC51+1)/$B$1)-1</f>
        <v>-1.6197892174474315E-4</v>
      </c>
      <c r="AE51" s="4"/>
    </row>
    <row r="52" spans="9:31" ht="15.75" customHeight="1">
      <c r="I52" s="4"/>
      <c r="J52" s="4"/>
      <c r="K52" s="4"/>
      <c r="L52" s="4"/>
      <c r="M52" s="4"/>
      <c r="N52" s="4"/>
      <c r="P52" s="4"/>
      <c r="Q52" s="4"/>
      <c r="R52" s="4"/>
      <c r="W52" s="4"/>
      <c r="X52" s="4"/>
      <c r="Z52" s="4"/>
      <c r="AA52" s="85"/>
      <c r="AB52" s="15" t="s">
        <v>68</v>
      </c>
      <c r="AC52" s="15">
        <v>1.5</v>
      </c>
      <c r="AD52" s="4"/>
      <c r="AE52" s="4"/>
    </row>
    <row r="53" spans="9:31" ht="15.75" customHeight="1">
      <c r="I53" s="4"/>
      <c r="J53" s="4"/>
      <c r="K53" s="4"/>
      <c r="L53" s="4"/>
      <c r="M53" s="4"/>
      <c r="N53" s="4"/>
      <c r="P53" s="4"/>
      <c r="Q53" s="4"/>
      <c r="R53" s="4"/>
      <c r="W53" s="4"/>
      <c r="X53" s="4"/>
      <c r="Z53" s="4"/>
      <c r="AA53" s="85"/>
      <c r="AB53" s="11" t="s">
        <v>69</v>
      </c>
      <c r="AC53" s="18">
        <f t="shared" ref="AC53:AD53" si="15">$AC$52*AC$31 - ($AC$52-1)*AC51</f>
        <v>0.02</v>
      </c>
      <c r="AD53" s="18">
        <f t="shared" si="15"/>
        <v>8.0989460872371577E-5</v>
      </c>
      <c r="AE53" s="4"/>
    </row>
    <row r="54" spans="9:31" ht="15.75" customHeight="1">
      <c r="I54" s="4"/>
      <c r="J54" s="4"/>
      <c r="K54" s="4"/>
      <c r="L54" s="4"/>
      <c r="M54" s="4"/>
      <c r="N54" s="4"/>
      <c r="P54" s="4"/>
      <c r="Q54" s="4"/>
      <c r="R54" s="4"/>
      <c r="W54" s="4"/>
      <c r="X54" s="4"/>
      <c r="Z54" s="4"/>
      <c r="AA54" s="85"/>
      <c r="AB54" s="11" t="s">
        <v>70</v>
      </c>
      <c r="AC54" s="18">
        <f t="shared" ref="AC54:AD54" si="16">AC53-$V$24</f>
        <v>1.6300000000000002E-2</v>
      </c>
      <c r="AD54" s="18">
        <f t="shared" si="16"/>
        <v>-3.6190105391276286E-3</v>
      </c>
      <c r="AE54" s="4"/>
    </row>
    <row r="55" spans="9:31" ht="15.75" customHeight="1">
      <c r="I55" s="4"/>
      <c r="J55" s="4"/>
      <c r="K55" s="4"/>
      <c r="L55" s="4"/>
      <c r="M55" s="4"/>
      <c r="N55" s="4"/>
      <c r="P55" s="4"/>
      <c r="Q55" s="4"/>
      <c r="R55" s="4"/>
      <c r="W55" s="4"/>
      <c r="X55" s="4"/>
      <c r="Z55" s="4"/>
      <c r="AA55" s="85"/>
      <c r="AB55" s="11" t="s">
        <v>44</v>
      </c>
      <c r="AC55" s="18">
        <f t="shared" ref="AC55:AD55" si="17">AC$24*$AC$52</f>
        <v>0</v>
      </c>
      <c r="AD55" s="18">
        <f t="shared" si="17"/>
        <v>0</v>
      </c>
      <c r="AE55" s="4"/>
    </row>
    <row r="56" spans="9:31" ht="15.75" customHeight="1">
      <c r="I56" s="4"/>
      <c r="J56" s="4"/>
      <c r="K56" s="4"/>
      <c r="L56" s="4"/>
      <c r="M56" s="4"/>
      <c r="N56" s="4"/>
      <c r="P56" s="4"/>
      <c r="Q56" s="4"/>
      <c r="R56" s="4"/>
      <c r="W56" s="4"/>
      <c r="X56" s="4"/>
      <c r="Z56" s="4"/>
      <c r="AA56" s="85"/>
      <c r="AB56" s="11" t="s">
        <v>71</v>
      </c>
      <c r="AC56" s="18">
        <f t="shared" ref="AC56:AD56" si="18">O$19*$AC$52</f>
        <v>0</v>
      </c>
      <c r="AD56" s="18">
        <f t="shared" si="18"/>
        <v>0</v>
      </c>
      <c r="AE56" s="4"/>
    </row>
    <row r="57" spans="9:31" ht="15.75" customHeight="1">
      <c r="I57" s="4"/>
      <c r="J57" s="4"/>
      <c r="K57" s="4"/>
      <c r="L57" s="4"/>
      <c r="M57" s="4"/>
      <c r="N57" s="4"/>
      <c r="P57" s="4"/>
      <c r="Q57" s="4"/>
      <c r="R57" s="4"/>
      <c r="W57" s="4"/>
      <c r="X57" s="4"/>
      <c r="Z57" s="4"/>
      <c r="AA57" s="85"/>
      <c r="AB57" s="3" t="s">
        <v>72</v>
      </c>
      <c r="AC57" s="61" t="e">
        <f t="shared" ref="AC57:AD57" si="19">(AC53-AC51)/AC55</f>
        <v>#DIV/0!</v>
      </c>
      <c r="AD57" s="61" t="e">
        <f t="shared" si="19"/>
        <v>#DIV/0!</v>
      </c>
      <c r="AE57" s="4"/>
    </row>
    <row r="58" spans="9:31" ht="15.75" customHeight="1">
      <c r="I58" s="4"/>
      <c r="J58" s="4"/>
      <c r="K58" s="4"/>
      <c r="L58" s="4"/>
      <c r="M58" s="4"/>
      <c r="N58" s="4"/>
      <c r="P58" s="4"/>
      <c r="Q58" s="4"/>
      <c r="R58" s="4"/>
      <c r="W58" s="4"/>
      <c r="X58" s="4"/>
      <c r="Z58" s="4"/>
      <c r="AA58" s="86"/>
      <c r="AB58" s="3" t="s">
        <v>73</v>
      </c>
      <c r="AC58" s="61" t="e">
        <f t="shared" ref="AC58:AD58" si="20">AC54/AC56</f>
        <v>#DIV/0!</v>
      </c>
      <c r="AD58" s="61" t="e">
        <f t="shared" si="20"/>
        <v>#DIV/0!</v>
      </c>
      <c r="AE58" s="4"/>
    </row>
    <row r="59" spans="9:31" ht="15.75" customHeight="1">
      <c r="I59" s="4"/>
      <c r="J59" s="4"/>
      <c r="K59" s="4"/>
      <c r="L59" s="4"/>
      <c r="M59" s="4"/>
      <c r="N59" s="4"/>
      <c r="P59" s="4"/>
      <c r="Q59" s="4"/>
      <c r="R59" s="4"/>
      <c r="W59" s="4"/>
      <c r="X59" s="4"/>
      <c r="Z59" s="4"/>
      <c r="AA59" s="4"/>
      <c r="AB59" s="4"/>
    </row>
    <row r="60" spans="9:31" ht="15.75" customHeight="1">
      <c r="I60" s="4"/>
      <c r="J60" s="4"/>
      <c r="K60" s="4"/>
      <c r="L60" s="4"/>
      <c r="M60" s="4"/>
      <c r="N60" s="4"/>
      <c r="P60" s="4"/>
      <c r="Q60" s="4"/>
      <c r="R60" s="4"/>
      <c r="W60" s="4"/>
      <c r="X60" s="4"/>
      <c r="Z60" s="4"/>
      <c r="AA60" s="4"/>
      <c r="AB60" s="4"/>
    </row>
    <row r="61" spans="9:31" ht="15.75" customHeight="1">
      <c r="I61" s="4"/>
      <c r="J61" s="4"/>
      <c r="K61" s="4"/>
      <c r="L61" s="4"/>
      <c r="M61" s="4"/>
      <c r="N61" s="4"/>
      <c r="P61" s="4"/>
      <c r="Q61" s="4"/>
      <c r="R61" s="4"/>
      <c r="W61" s="4"/>
      <c r="X61" s="4"/>
      <c r="Z61" s="4"/>
      <c r="AA61" s="4"/>
      <c r="AB61" s="4"/>
    </row>
    <row r="62" spans="9:31" ht="15.75" customHeight="1">
      <c r="I62" s="4"/>
      <c r="J62" s="4"/>
      <c r="K62" s="4"/>
      <c r="L62" s="4"/>
      <c r="M62" s="4"/>
      <c r="N62" s="4"/>
      <c r="P62" s="4"/>
      <c r="Q62" s="4"/>
      <c r="R62" s="4"/>
      <c r="W62" s="4"/>
      <c r="X62" s="4"/>
      <c r="Z62" s="4"/>
      <c r="AA62" s="4"/>
      <c r="AB62" s="4"/>
    </row>
    <row r="63" spans="9:31" ht="15.75" customHeight="1">
      <c r="I63" s="4"/>
      <c r="J63" s="4"/>
      <c r="K63" s="4"/>
      <c r="L63" s="4"/>
      <c r="M63" s="4"/>
      <c r="N63" s="4"/>
      <c r="P63" s="4"/>
      <c r="Q63" s="4"/>
      <c r="R63" s="4"/>
      <c r="W63" s="4"/>
      <c r="X63" s="4"/>
      <c r="Z63" s="4"/>
      <c r="AA63" s="4"/>
      <c r="AB63" s="4"/>
    </row>
    <row r="64" spans="9:31" ht="15.75" customHeight="1">
      <c r="I64" s="4"/>
      <c r="J64" s="4"/>
      <c r="K64" s="4"/>
      <c r="L64" s="4"/>
      <c r="M64" s="4"/>
      <c r="N64" s="4"/>
      <c r="P64" s="4"/>
      <c r="Q64" s="4"/>
      <c r="R64" s="4"/>
      <c r="W64" s="4"/>
      <c r="X64" s="4"/>
      <c r="Z64" s="4"/>
      <c r="AA64" s="4"/>
      <c r="AB64" s="4"/>
    </row>
    <row r="65" spans="9:28" ht="15.75" customHeight="1">
      <c r="I65" s="4"/>
      <c r="J65" s="4"/>
      <c r="K65" s="4"/>
      <c r="L65" s="4"/>
      <c r="M65" s="4"/>
      <c r="N65" s="4"/>
      <c r="P65" s="4"/>
      <c r="Q65" s="4"/>
      <c r="R65" s="4"/>
      <c r="W65" s="4"/>
      <c r="X65" s="4"/>
      <c r="Z65" s="4"/>
      <c r="AA65" s="4"/>
      <c r="AB65" s="4"/>
    </row>
    <row r="66" spans="9:28" ht="15.75" customHeight="1">
      <c r="I66" s="4"/>
      <c r="J66" s="4"/>
      <c r="K66" s="4"/>
      <c r="L66" s="4"/>
      <c r="M66" s="4"/>
      <c r="N66" s="4"/>
      <c r="P66" s="4"/>
      <c r="Q66" s="4"/>
      <c r="R66" s="4"/>
      <c r="W66" s="4"/>
      <c r="X66" s="4"/>
      <c r="Z66" s="4"/>
      <c r="AA66" s="4"/>
      <c r="AB66" s="4"/>
    </row>
    <row r="67" spans="9:28" ht="15.75" customHeight="1">
      <c r="I67" s="4"/>
      <c r="J67" s="4"/>
      <c r="K67" s="4"/>
      <c r="L67" s="4"/>
      <c r="M67" s="4"/>
      <c r="N67" s="4"/>
      <c r="P67" s="4"/>
      <c r="Q67" s="4"/>
      <c r="R67" s="4"/>
      <c r="W67" s="4"/>
      <c r="X67" s="4"/>
      <c r="Z67" s="4"/>
      <c r="AA67" s="4"/>
      <c r="AB67" s="4"/>
    </row>
    <row r="68" spans="9:28" ht="15.75" customHeight="1">
      <c r="I68" s="4"/>
      <c r="J68" s="4"/>
      <c r="K68" s="4"/>
      <c r="L68" s="4"/>
      <c r="M68" s="4"/>
      <c r="N68" s="4"/>
      <c r="P68" s="4"/>
      <c r="Q68" s="4"/>
      <c r="R68" s="4"/>
      <c r="W68" s="4"/>
      <c r="X68" s="4"/>
      <c r="Z68" s="4"/>
      <c r="AA68" s="4"/>
      <c r="AB68" s="4"/>
    </row>
    <row r="69" spans="9:28" ht="15.75" customHeight="1">
      <c r="I69" s="4"/>
      <c r="J69" s="4"/>
      <c r="K69" s="4"/>
      <c r="L69" s="4"/>
      <c r="M69" s="4"/>
      <c r="N69" s="4"/>
      <c r="P69" s="4"/>
      <c r="Q69" s="4"/>
      <c r="R69" s="4"/>
      <c r="W69" s="4"/>
      <c r="X69" s="4"/>
      <c r="Z69" s="4"/>
      <c r="AA69" s="4"/>
      <c r="AB69" s="4"/>
    </row>
    <row r="70" spans="9:28" ht="15.75" customHeight="1">
      <c r="I70" s="4"/>
      <c r="J70" s="4"/>
      <c r="K70" s="4"/>
      <c r="L70" s="4"/>
      <c r="M70" s="4"/>
      <c r="N70" s="4"/>
      <c r="P70" s="4"/>
      <c r="Q70" s="4"/>
      <c r="R70" s="4"/>
      <c r="W70" s="4"/>
      <c r="X70" s="4"/>
      <c r="Z70" s="4"/>
      <c r="AA70" s="4"/>
      <c r="AB70" s="4"/>
    </row>
    <row r="71" spans="9:28" ht="15.75" customHeight="1">
      <c r="I71" s="4"/>
      <c r="J71" s="4"/>
      <c r="K71" s="4"/>
      <c r="L71" s="4"/>
      <c r="M71" s="4"/>
      <c r="N71" s="4"/>
      <c r="P71" s="4"/>
      <c r="Q71" s="4"/>
      <c r="R71" s="4"/>
      <c r="W71" s="4"/>
      <c r="X71" s="4"/>
      <c r="Z71" s="4"/>
      <c r="AA71" s="4"/>
      <c r="AB71" s="4"/>
    </row>
    <row r="72" spans="9:28" ht="15.75" customHeight="1">
      <c r="I72" s="4"/>
      <c r="J72" s="4"/>
      <c r="K72" s="4"/>
      <c r="L72" s="4"/>
      <c r="M72" s="4"/>
      <c r="N72" s="4"/>
      <c r="P72" s="4"/>
      <c r="Q72" s="4"/>
      <c r="R72" s="4"/>
      <c r="W72" s="4"/>
      <c r="X72" s="4"/>
      <c r="Z72" s="4"/>
      <c r="AA72" s="4"/>
      <c r="AB72" s="4"/>
    </row>
    <row r="73" spans="9:28" ht="15.75" customHeight="1">
      <c r="I73" s="4"/>
      <c r="J73" s="4"/>
      <c r="K73" s="4"/>
      <c r="L73" s="4"/>
      <c r="M73" s="4"/>
      <c r="N73" s="4"/>
      <c r="P73" s="4"/>
      <c r="Q73" s="4"/>
      <c r="R73" s="4"/>
      <c r="W73" s="4"/>
      <c r="X73" s="4"/>
      <c r="Z73" s="4"/>
      <c r="AA73" s="4"/>
      <c r="AB73" s="4"/>
    </row>
    <row r="74" spans="9:28" ht="15.75" customHeight="1">
      <c r="I74" s="4"/>
      <c r="J74" s="4"/>
      <c r="K74" s="4"/>
      <c r="L74" s="4"/>
      <c r="M74" s="4"/>
      <c r="N74" s="4"/>
      <c r="P74" s="4"/>
      <c r="Q74" s="4"/>
      <c r="R74" s="4"/>
      <c r="W74" s="4"/>
      <c r="X74" s="4"/>
      <c r="Z74" s="4"/>
      <c r="AA74" s="4"/>
      <c r="AB74" s="4"/>
    </row>
    <row r="75" spans="9:28" ht="15.75" customHeight="1">
      <c r="I75" s="4"/>
      <c r="J75" s="4"/>
      <c r="K75" s="4"/>
      <c r="L75" s="4"/>
      <c r="M75" s="4"/>
      <c r="N75" s="4"/>
      <c r="P75" s="4"/>
      <c r="Q75" s="4"/>
      <c r="R75" s="4"/>
      <c r="W75" s="4"/>
      <c r="X75" s="4"/>
      <c r="Z75" s="4"/>
      <c r="AA75" s="4"/>
      <c r="AB75" s="4"/>
    </row>
    <row r="76" spans="9:28" ht="15.75" customHeight="1">
      <c r="I76" s="4"/>
      <c r="J76" s="4"/>
      <c r="K76" s="4"/>
      <c r="L76" s="4"/>
      <c r="M76" s="4"/>
      <c r="N76" s="4"/>
      <c r="P76" s="4"/>
      <c r="Q76" s="4"/>
      <c r="R76" s="4"/>
      <c r="W76" s="4"/>
      <c r="X76" s="4"/>
      <c r="Z76" s="4"/>
      <c r="AA76" s="4"/>
      <c r="AB76" s="4"/>
    </row>
    <row r="77" spans="9:28" ht="15.75" customHeight="1">
      <c r="I77" s="4"/>
      <c r="J77" s="4"/>
      <c r="K77" s="4"/>
      <c r="L77" s="4"/>
      <c r="M77" s="4"/>
      <c r="N77" s="4"/>
      <c r="P77" s="4"/>
      <c r="Q77" s="4"/>
      <c r="R77" s="4"/>
      <c r="W77" s="4"/>
      <c r="X77" s="4"/>
      <c r="Z77" s="4"/>
      <c r="AA77" s="4"/>
      <c r="AB77" s="4"/>
    </row>
    <row r="78" spans="9:28" ht="15.75" customHeight="1">
      <c r="I78" s="4"/>
      <c r="J78" s="4"/>
      <c r="K78" s="4"/>
      <c r="L78" s="4"/>
      <c r="M78" s="4"/>
      <c r="N78" s="4"/>
      <c r="P78" s="4"/>
      <c r="Q78" s="4"/>
      <c r="R78" s="4"/>
      <c r="W78" s="4"/>
      <c r="X78" s="4"/>
      <c r="Z78" s="4"/>
      <c r="AA78" s="4"/>
      <c r="AB78" s="4"/>
    </row>
    <row r="79" spans="9:28" ht="15.75" customHeight="1">
      <c r="I79" s="4"/>
      <c r="J79" s="4"/>
      <c r="K79" s="4"/>
      <c r="L79" s="4"/>
      <c r="M79" s="4"/>
      <c r="N79" s="4"/>
      <c r="P79" s="4"/>
      <c r="Q79" s="4"/>
      <c r="R79" s="4"/>
      <c r="W79" s="4"/>
      <c r="X79" s="4"/>
      <c r="Z79" s="4"/>
      <c r="AA79" s="4"/>
      <c r="AB79" s="4"/>
    </row>
    <row r="80" spans="9:28" ht="15.75" customHeight="1">
      <c r="I80" s="4"/>
      <c r="J80" s="4"/>
      <c r="K80" s="4"/>
      <c r="L80" s="4"/>
      <c r="M80" s="4"/>
      <c r="N80" s="4"/>
      <c r="P80" s="4"/>
      <c r="Q80" s="4"/>
      <c r="R80" s="4"/>
      <c r="W80" s="4"/>
      <c r="X80" s="4"/>
      <c r="Z80" s="4"/>
      <c r="AA80" s="4"/>
      <c r="AB80" s="4"/>
    </row>
    <row r="81" spans="9:28" ht="15.75" customHeight="1">
      <c r="I81" s="4"/>
      <c r="J81" s="4"/>
      <c r="K81" s="4"/>
      <c r="L81" s="4"/>
      <c r="M81" s="4"/>
      <c r="N81" s="4"/>
      <c r="P81" s="4"/>
      <c r="Q81" s="4"/>
      <c r="R81" s="4"/>
      <c r="W81" s="4"/>
      <c r="X81" s="4"/>
      <c r="Z81" s="4"/>
      <c r="AA81" s="4"/>
      <c r="AB81" s="4"/>
    </row>
    <row r="82" spans="9:28" ht="15.75" customHeight="1">
      <c r="I82" s="4"/>
      <c r="J82" s="4"/>
      <c r="K82" s="4"/>
      <c r="L82" s="4"/>
      <c r="M82" s="4"/>
      <c r="N82" s="4"/>
      <c r="P82" s="4"/>
      <c r="Q82" s="4"/>
      <c r="R82" s="4"/>
      <c r="W82" s="4"/>
      <c r="X82" s="4"/>
      <c r="Z82" s="4"/>
      <c r="AA82" s="4"/>
      <c r="AB82" s="4"/>
    </row>
    <row r="83" spans="9:28" ht="15.75" customHeight="1">
      <c r="I83" s="4"/>
      <c r="J83" s="4"/>
      <c r="K83" s="4"/>
      <c r="L83" s="4"/>
      <c r="M83" s="4"/>
      <c r="N83" s="4"/>
      <c r="P83" s="4"/>
      <c r="Q83" s="4"/>
      <c r="R83" s="4"/>
      <c r="W83" s="4"/>
      <c r="X83" s="4"/>
      <c r="Z83" s="4"/>
      <c r="AA83" s="4"/>
      <c r="AB83" s="4"/>
    </row>
    <row r="84" spans="9:28" ht="15.75" customHeight="1">
      <c r="I84" s="4"/>
      <c r="J84" s="4"/>
      <c r="K84" s="4"/>
      <c r="L84" s="4"/>
      <c r="M84" s="4"/>
      <c r="N84" s="4"/>
      <c r="P84" s="4"/>
      <c r="Q84" s="4"/>
      <c r="R84" s="4"/>
      <c r="W84" s="4"/>
      <c r="X84" s="4"/>
      <c r="Z84" s="4"/>
      <c r="AA84" s="4"/>
      <c r="AB84" s="4"/>
    </row>
    <row r="85" spans="9:28" ht="15.75" customHeight="1">
      <c r="I85" s="4"/>
      <c r="J85" s="4"/>
      <c r="K85" s="4"/>
      <c r="L85" s="4"/>
      <c r="M85" s="4"/>
      <c r="N85" s="4"/>
      <c r="P85" s="4"/>
      <c r="Q85" s="4"/>
      <c r="R85" s="4"/>
      <c r="W85" s="4"/>
      <c r="X85" s="4"/>
      <c r="Z85" s="4"/>
      <c r="AA85" s="4"/>
      <c r="AB85" s="4"/>
    </row>
    <row r="86" spans="9:28" ht="15.75" customHeight="1">
      <c r="I86" s="4"/>
      <c r="J86" s="4"/>
      <c r="K86" s="4"/>
      <c r="L86" s="4"/>
      <c r="M86" s="4"/>
      <c r="N86" s="4"/>
      <c r="P86" s="4"/>
      <c r="Q86" s="4"/>
      <c r="R86" s="4"/>
      <c r="W86" s="4"/>
      <c r="X86" s="4"/>
      <c r="Z86" s="4"/>
      <c r="AA86" s="4"/>
      <c r="AB86" s="4"/>
    </row>
    <row r="87" spans="9:28" ht="15.75" customHeight="1">
      <c r="I87" s="4"/>
      <c r="J87" s="4"/>
      <c r="K87" s="4"/>
      <c r="L87" s="4"/>
      <c r="M87" s="4"/>
      <c r="N87" s="4"/>
      <c r="P87" s="4"/>
      <c r="Q87" s="4"/>
      <c r="R87" s="4"/>
      <c r="W87" s="4"/>
      <c r="X87" s="4"/>
      <c r="Z87" s="4"/>
      <c r="AA87" s="4"/>
      <c r="AB87" s="4"/>
    </row>
    <row r="88" spans="9:28" ht="15.75" customHeight="1">
      <c r="I88" s="4"/>
      <c r="J88" s="4"/>
      <c r="K88" s="4"/>
      <c r="L88" s="4"/>
      <c r="M88" s="4"/>
      <c r="N88" s="4"/>
      <c r="P88" s="4"/>
      <c r="Q88" s="4"/>
      <c r="R88" s="4"/>
      <c r="W88" s="4"/>
      <c r="X88" s="4"/>
      <c r="Z88" s="4"/>
      <c r="AA88" s="4"/>
      <c r="AB88" s="4"/>
    </row>
    <row r="89" spans="9:28" ht="15.75" customHeight="1">
      <c r="I89" s="4"/>
      <c r="J89" s="4"/>
      <c r="K89" s="4"/>
      <c r="L89" s="4"/>
      <c r="M89" s="4"/>
      <c r="N89" s="4"/>
      <c r="P89" s="4"/>
      <c r="Q89" s="4"/>
      <c r="R89" s="4"/>
      <c r="W89" s="4"/>
      <c r="X89" s="4"/>
      <c r="Z89" s="4"/>
      <c r="AA89" s="4"/>
      <c r="AB89" s="4"/>
    </row>
    <row r="90" spans="9:28" ht="15.75" customHeight="1">
      <c r="I90" s="4"/>
      <c r="J90" s="4"/>
      <c r="K90" s="4"/>
      <c r="L90" s="4"/>
      <c r="M90" s="4"/>
      <c r="N90" s="4"/>
      <c r="P90" s="4"/>
      <c r="Q90" s="4"/>
      <c r="R90" s="4"/>
      <c r="W90" s="4"/>
      <c r="X90" s="4"/>
      <c r="Z90" s="4"/>
      <c r="AA90" s="4"/>
      <c r="AB90" s="4"/>
    </row>
    <row r="91" spans="9:28" ht="15.75" customHeight="1">
      <c r="I91" s="4"/>
      <c r="J91" s="4"/>
      <c r="K91" s="4"/>
      <c r="L91" s="4"/>
      <c r="M91" s="4"/>
      <c r="N91" s="4"/>
      <c r="P91" s="4"/>
      <c r="Q91" s="4"/>
      <c r="R91" s="4"/>
      <c r="W91" s="4"/>
      <c r="X91" s="4"/>
      <c r="Z91" s="4"/>
      <c r="AA91" s="4"/>
      <c r="AB91" s="4"/>
    </row>
    <row r="92" spans="9:28" ht="15.75" customHeight="1">
      <c r="I92" s="4"/>
      <c r="J92" s="4"/>
      <c r="K92" s="4"/>
      <c r="L92" s="4"/>
      <c r="M92" s="4"/>
      <c r="N92" s="4"/>
      <c r="P92" s="4"/>
      <c r="Q92" s="4"/>
      <c r="R92" s="4"/>
      <c r="W92" s="4"/>
      <c r="X92" s="4"/>
      <c r="Z92" s="4"/>
      <c r="AA92" s="4"/>
      <c r="AB92" s="4"/>
    </row>
    <row r="93" spans="9:28" ht="15.75" customHeight="1">
      <c r="I93" s="4"/>
      <c r="J93" s="4"/>
      <c r="K93" s="4"/>
      <c r="L93" s="4"/>
      <c r="M93" s="4"/>
      <c r="N93" s="4"/>
      <c r="P93" s="4"/>
      <c r="Q93" s="4"/>
      <c r="R93" s="4"/>
      <c r="W93" s="4"/>
      <c r="X93" s="4"/>
      <c r="Z93" s="4"/>
      <c r="AA93" s="4"/>
      <c r="AB93" s="4"/>
    </row>
    <row r="94" spans="9:28" ht="15.75" customHeight="1">
      <c r="I94" s="4"/>
      <c r="J94" s="4"/>
      <c r="K94" s="4"/>
      <c r="L94" s="4"/>
      <c r="M94" s="4"/>
      <c r="N94" s="4"/>
      <c r="P94" s="4"/>
      <c r="Q94" s="4"/>
      <c r="R94" s="4"/>
      <c r="W94" s="4"/>
      <c r="X94" s="4"/>
      <c r="Z94" s="4"/>
      <c r="AA94" s="4"/>
      <c r="AB94" s="4"/>
    </row>
    <row r="95" spans="9:28" ht="15.75" customHeight="1">
      <c r="I95" s="4"/>
      <c r="J95" s="4"/>
      <c r="K95" s="4"/>
      <c r="L95" s="4"/>
      <c r="M95" s="4"/>
      <c r="N95" s="4"/>
      <c r="P95" s="4"/>
      <c r="Q95" s="4"/>
      <c r="R95" s="4"/>
      <c r="W95" s="4"/>
      <c r="X95" s="4"/>
      <c r="Z95" s="4"/>
      <c r="AA95" s="4"/>
      <c r="AB95" s="4"/>
    </row>
    <row r="96" spans="9:28" ht="15.75" customHeight="1">
      <c r="I96" s="4"/>
      <c r="J96" s="4"/>
      <c r="K96" s="4"/>
      <c r="L96" s="4"/>
      <c r="M96" s="4"/>
      <c r="N96" s="4"/>
      <c r="P96" s="4"/>
      <c r="Q96" s="4"/>
      <c r="R96" s="4"/>
      <c r="W96" s="4"/>
      <c r="X96" s="4"/>
      <c r="Z96" s="4"/>
      <c r="AA96" s="4"/>
      <c r="AB96" s="4"/>
    </row>
    <row r="97" spans="9:28" ht="15.75" customHeight="1">
      <c r="I97" s="4"/>
      <c r="J97" s="4"/>
      <c r="K97" s="4"/>
      <c r="L97" s="4"/>
      <c r="M97" s="4"/>
      <c r="N97" s="4"/>
      <c r="P97" s="4"/>
      <c r="Q97" s="4"/>
      <c r="R97" s="4"/>
      <c r="W97" s="4"/>
      <c r="X97" s="4"/>
      <c r="Z97" s="4"/>
      <c r="AA97" s="4"/>
      <c r="AB97" s="4"/>
    </row>
    <row r="98" spans="9:28" ht="15.75" customHeight="1">
      <c r="I98" s="4"/>
      <c r="J98" s="4"/>
      <c r="K98" s="4"/>
      <c r="L98" s="4"/>
      <c r="M98" s="4"/>
      <c r="N98" s="4"/>
      <c r="P98" s="4"/>
      <c r="Q98" s="4"/>
      <c r="R98" s="4"/>
      <c r="W98" s="4"/>
      <c r="X98" s="4"/>
      <c r="Z98" s="4"/>
      <c r="AA98" s="4"/>
      <c r="AB98" s="4"/>
    </row>
    <row r="99" spans="9:28" ht="15.75" customHeight="1">
      <c r="I99" s="4"/>
      <c r="J99" s="4"/>
      <c r="K99" s="4"/>
      <c r="L99" s="4"/>
      <c r="M99" s="4"/>
      <c r="N99" s="4"/>
      <c r="P99" s="4"/>
      <c r="Q99" s="4"/>
      <c r="R99" s="4"/>
      <c r="W99" s="4"/>
      <c r="X99" s="4"/>
      <c r="Z99" s="4"/>
      <c r="AA99" s="4"/>
      <c r="AB99" s="4"/>
    </row>
    <row r="100" spans="9:28" ht="15.75" customHeight="1">
      <c r="I100" s="4"/>
      <c r="J100" s="4"/>
      <c r="K100" s="4"/>
      <c r="L100" s="4"/>
      <c r="M100" s="4"/>
      <c r="N100" s="4"/>
      <c r="P100" s="4"/>
      <c r="Q100" s="4"/>
      <c r="R100" s="4"/>
      <c r="W100" s="4"/>
      <c r="X100" s="4"/>
      <c r="Z100" s="4"/>
      <c r="AA100" s="4"/>
      <c r="AB100" s="4"/>
    </row>
    <row r="101" spans="9:28" ht="15.75" customHeight="1"/>
    <row r="102" spans="9:28" ht="15.75" customHeight="1"/>
    <row r="103" spans="9:28" ht="15.75" customHeight="1"/>
    <row r="104" spans="9:28" ht="15.75" customHeight="1"/>
    <row r="105" spans="9:28" ht="15.75" customHeight="1"/>
    <row r="106" spans="9:28" ht="15.75" customHeight="1"/>
    <row r="107" spans="9:28" ht="15.75" customHeight="1"/>
    <row r="108" spans="9:28" ht="15.75" customHeight="1"/>
    <row r="109" spans="9:28" ht="15.75" customHeight="1"/>
    <row r="110" spans="9:28" ht="15.75" customHeight="1"/>
    <row r="111" spans="9:28" ht="15.75" customHeight="1"/>
    <row r="112" spans="9:28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B40:AB41"/>
    <mergeCell ref="AB42:AB43"/>
    <mergeCell ref="AA51:AA58"/>
    <mergeCell ref="A2:N2"/>
    <mergeCell ref="O2:T2"/>
    <mergeCell ref="U2:AC2"/>
    <mergeCell ref="AA22:AA27"/>
    <mergeCell ref="AA30:AA34"/>
    <mergeCell ref="AA38:AA39"/>
    <mergeCell ref="AA40:AA43"/>
  </mergeCells>
  <conditionalFormatting sqref="R4:T15 O4:P15 B4:M15">
    <cfRule type="colorScale" priority="2">
      <colorScale>
        <cfvo type="min"/>
        <cfvo type="max"/>
        <color rgb="FFFCFCFF"/>
        <color rgb="FF63BE7B"/>
      </colorScale>
    </cfRule>
  </conditionalFormatting>
  <conditionalFormatting sqref="N4:N15">
    <cfRule type="colorScale" priority="3">
      <colorScale>
        <cfvo type="min"/>
        <cfvo type="max"/>
        <color rgb="FFFCFCFF"/>
        <color rgb="FF63BE7B"/>
      </colorScale>
    </cfRule>
  </conditionalFormatting>
  <conditionalFormatting sqref="B4:M15">
    <cfRule type="colorScale" priority="1">
      <colorScale>
        <cfvo type="min"/>
        <cfvo type="max"/>
        <color rgb="FFFCFCFF"/>
        <color rgb="FF63BE7B"/>
      </colorScale>
    </cfRule>
  </conditionalFormatting>
  <conditionalFormatting sqref="R4:T15 O4: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R4:R15 P4:P15">
    <cfRule type="colorScale" priority="6">
      <colorScale>
        <cfvo type="min"/>
        <cfvo type="max"/>
        <color rgb="FFFCFCFF"/>
        <color rgb="FFF8696B"/>
      </colorScale>
    </cfRule>
  </conditionalFormatting>
  <conditionalFormatting sqref="P4:P15">
    <cfRule type="colorScale" priority="7">
      <colorScale>
        <cfvo type="min"/>
        <cfvo type="max"/>
        <color rgb="FFFCFCFF"/>
        <color rgb="FF63BE7B"/>
      </colorScale>
    </cfRule>
  </conditionalFormatting>
  <hyperlinks>
    <hyperlink ref="AB45" r:id="rId1" xr:uid="{00000000-0004-0000-0000-000000000000}"/>
    <hyperlink ref="AB46" r:id="rId2" xr:uid="{00000000-0004-0000-0000-000001000000}"/>
    <hyperlink ref="AB47" r:id="rId3" xr:uid="{00000000-0004-0000-0000-000002000000}"/>
  </hyperlinks>
  <pageMargins left="0.7" right="0.7" top="0.75" bottom="0.75" header="0" footer="0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4.453125" defaultRowHeight="15" customHeight="1"/>
  <cols>
    <col min="1" max="1" width="8.7265625" customWidth="1"/>
    <col min="2" max="2" width="11.26953125" customWidth="1"/>
    <col min="3" max="15" width="8.7265625" customWidth="1"/>
    <col min="16" max="16" width="13.81640625" customWidth="1"/>
  </cols>
  <sheetData>
    <row r="1" spans="1:16" ht="14.5">
      <c r="A1" s="62" t="s">
        <v>74</v>
      </c>
      <c r="B1" s="63">
        <v>40179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4.5">
      <c r="A2" s="4" t="s">
        <v>75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/>
      <c r="P2" s="4"/>
    </row>
    <row r="3" spans="1:16" ht="14.5">
      <c r="A3" s="4"/>
      <c r="B3" s="4" t="s">
        <v>9</v>
      </c>
      <c r="C3" s="15">
        <v>1</v>
      </c>
      <c r="D3" s="15">
        <v>-2.7688303569639E-2</v>
      </c>
      <c r="E3" s="15">
        <v>9.3253587434908702E-3</v>
      </c>
      <c r="F3" s="15">
        <v>0.106217084471371</v>
      </c>
      <c r="G3" s="15">
        <v>-4.5096598881649401E-3</v>
      </c>
      <c r="H3" s="15">
        <v>1.3532913006965601E-2</v>
      </c>
      <c r="I3" s="15">
        <v>-1.47220571650908E-3</v>
      </c>
      <c r="J3" s="15">
        <v>-9.7541629337136795E-3</v>
      </c>
      <c r="K3" s="15">
        <v>0.12627012797416101</v>
      </c>
      <c r="L3" s="15">
        <v>5.7053058277800203E-2</v>
      </c>
      <c r="M3" s="15">
        <v>2.0512521484083699E-2</v>
      </c>
      <c r="N3" s="15">
        <v>-8.2543042362767504E-3</v>
      </c>
      <c r="O3" s="4"/>
      <c r="P3" s="4"/>
    </row>
    <row r="4" spans="1:16" ht="14.5">
      <c r="A4" s="4"/>
      <c r="B4" s="4" t="s">
        <v>10</v>
      </c>
      <c r="C4" s="15">
        <v>-2.7688303569639E-2</v>
      </c>
      <c r="D4" s="15">
        <v>1</v>
      </c>
      <c r="E4" s="15">
        <v>0.28922858715663202</v>
      </c>
      <c r="F4" s="15">
        <v>0.36202674045233002</v>
      </c>
      <c r="G4" s="15">
        <v>0.14308467565404501</v>
      </c>
      <c r="H4" s="15">
        <v>0.52406835227612802</v>
      </c>
      <c r="I4" s="15">
        <v>0.21229226858844499</v>
      </c>
      <c r="J4" s="15">
        <v>0.116542017222107</v>
      </c>
      <c r="K4" s="15">
        <v>0.113555157502693</v>
      </c>
      <c r="L4" s="15">
        <v>0.16840206267131999</v>
      </c>
      <c r="M4" s="15">
        <v>0.271474152847346</v>
      </c>
      <c r="N4" s="15">
        <v>0.16009209622691001</v>
      </c>
      <c r="O4" s="4"/>
      <c r="P4" s="4"/>
    </row>
    <row r="5" spans="1:16" ht="14.5">
      <c r="A5" s="4"/>
      <c r="B5" s="4" t="s">
        <v>11</v>
      </c>
      <c r="C5" s="15">
        <v>9.3253587434908702E-3</v>
      </c>
      <c r="D5" s="15">
        <v>0.28922858715663202</v>
      </c>
      <c r="E5" s="15">
        <v>1</v>
      </c>
      <c r="F5" s="15">
        <v>0.25830065722321999</v>
      </c>
      <c r="G5" s="15">
        <v>0.17361915641053199</v>
      </c>
      <c r="H5" s="15">
        <v>0.67485707578079401</v>
      </c>
      <c r="I5" s="15">
        <v>0.18417275427329299</v>
      </c>
      <c r="J5" s="15">
        <v>0.128015131016291</v>
      </c>
      <c r="K5" s="15">
        <v>0.21791374137028899</v>
      </c>
      <c r="L5" s="15">
        <v>0.18873980324925199</v>
      </c>
      <c r="M5" s="15">
        <v>0.26146882734388199</v>
      </c>
      <c r="N5" s="15">
        <v>0.19602730091860601</v>
      </c>
      <c r="O5" s="4"/>
      <c r="P5" s="4"/>
    </row>
    <row r="6" spans="1:16" ht="14.5">
      <c r="A6" s="4"/>
      <c r="B6" s="4" t="s">
        <v>12</v>
      </c>
      <c r="C6" s="15">
        <v>0.106217084471371</v>
      </c>
      <c r="D6" s="15">
        <v>0.36202674045233002</v>
      </c>
      <c r="E6" s="15">
        <v>0.25830065722321999</v>
      </c>
      <c r="F6" s="15">
        <v>1</v>
      </c>
      <c r="G6" s="15">
        <v>0.166267159258912</v>
      </c>
      <c r="H6" s="15">
        <v>0.47320384752557898</v>
      </c>
      <c r="I6" s="15">
        <v>0.26335050769072199</v>
      </c>
      <c r="J6" s="15">
        <v>0.22454875943807501</v>
      </c>
      <c r="K6" s="15">
        <v>0.24253145727967501</v>
      </c>
      <c r="L6" s="15">
        <v>0.20487452518167601</v>
      </c>
      <c r="M6" s="15">
        <v>0.29367808223111003</v>
      </c>
      <c r="N6" s="15">
        <v>0.21824337835325999</v>
      </c>
      <c r="O6" s="4"/>
      <c r="P6" s="4"/>
    </row>
    <row r="7" spans="1:16" ht="14.5">
      <c r="A7" s="4"/>
      <c r="B7" s="4" t="s">
        <v>13</v>
      </c>
      <c r="C7" s="15">
        <v>-4.5096598881649401E-3</v>
      </c>
      <c r="D7" s="15">
        <v>0.14308467565404501</v>
      </c>
      <c r="E7" s="15">
        <v>0.17361915641053199</v>
      </c>
      <c r="F7" s="15">
        <v>0.166267159258912</v>
      </c>
      <c r="G7" s="15">
        <v>1</v>
      </c>
      <c r="H7" s="15">
        <v>0.18919809110424601</v>
      </c>
      <c r="I7" s="15">
        <v>0.28513542507763801</v>
      </c>
      <c r="J7" s="15">
        <v>0.35788974599715101</v>
      </c>
      <c r="K7" s="15">
        <v>0.33872914086350298</v>
      </c>
      <c r="L7" s="15">
        <v>0.31434505133696</v>
      </c>
      <c r="M7" s="15">
        <v>0.46354654269886603</v>
      </c>
      <c r="N7" s="15">
        <v>0.48120801508920502</v>
      </c>
      <c r="O7" s="4"/>
      <c r="P7" s="4"/>
    </row>
    <row r="8" spans="1:16" ht="14.5">
      <c r="A8" s="4"/>
      <c r="B8" s="4" t="s">
        <v>14</v>
      </c>
      <c r="C8" s="15">
        <v>1.3532913006965601E-2</v>
      </c>
      <c r="D8" s="15">
        <v>0.52406835227612802</v>
      </c>
      <c r="E8" s="15">
        <v>0.67485707578079401</v>
      </c>
      <c r="F8" s="15">
        <v>0.47320384752557898</v>
      </c>
      <c r="G8" s="15">
        <v>0.18919809110424601</v>
      </c>
      <c r="H8" s="15">
        <v>1</v>
      </c>
      <c r="I8" s="15">
        <v>0.24175909074177401</v>
      </c>
      <c r="J8" s="15">
        <v>0.102472904364867</v>
      </c>
      <c r="K8" s="15">
        <v>0.134427292144598</v>
      </c>
      <c r="L8" s="15">
        <v>0.20002151332534601</v>
      </c>
      <c r="M8" s="15">
        <v>0.31605986905461397</v>
      </c>
      <c r="N8" s="15">
        <v>0.18399241066616701</v>
      </c>
      <c r="O8" s="4"/>
      <c r="P8" s="4"/>
    </row>
    <row r="9" spans="1:16" ht="14.5">
      <c r="A9" s="4"/>
      <c r="B9" s="4" t="s">
        <v>15</v>
      </c>
      <c r="C9" s="15">
        <v>-1.47220571650908E-3</v>
      </c>
      <c r="D9" s="15">
        <v>0.21229226858844499</v>
      </c>
      <c r="E9" s="15">
        <v>0.18417275427329299</v>
      </c>
      <c r="F9" s="15">
        <v>0.26335050769072199</v>
      </c>
      <c r="G9" s="15">
        <v>0.28513542507763801</v>
      </c>
      <c r="H9" s="15">
        <v>0.24175909074177401</v>
      </c>
      <c r="I9" s="15">
        <v>1</v>
      </c>
      <c r="J9" s="15">
        <v>0.35489029933930899</v>
      </c>
      <c r="K9" s="15">
        <v>0.31548830654643101</v>
      </c>
      <c r="L9" s="15">
        <v>0.50831334547978402</v>
      </c>
      <c r="M9" s="15">
        <v>0.48109262126818397</v>
      </c>
      <c r="N9" s="15">
        <v>0.49640785346847199</v>
      </c>
      <c r="O9" s="4"/>
      <c r="P9" s="4"/>
    </row>
    <row r="10" spans="1:16" ht="14.5">
      <c r="A10" s="4"/>
      <c r="B10" s="4" t="s">
        <v>16</v>
      </c>
      <c r="C10" s="15">
        <v>-9.7541629337136795E-3</v>
      </c>
      <c r="D10" s="15">
        <v>0.116542017222107</v>
      </c>
      <c r="E10" s="15">
        <v>0.128015131016291</v>
      </c>
      <c r="F10" s="15">
        <v>0.22454875943807501</v>
      </c>
      <c r="G10" s="15">
        <v>0.35788974599715101</v>
      </c>
      <c r="H10" s="15">
        <v>0.102472904364867</v>
      </c>
      <c r="I10" s="15">
        <v>0.35489029933930899</v>
      </c>
      <c r="J10" s="15">
        <v>1</v>
      </c>
      <c r="K10" s="15">
        <v>0.63752414732194895</v>
      </c>
      <c r="L10" s="15">
        <v>0.47661518917871798</v>
      </c>
      <c r="M10" s="15">
        <v>0.60573119067156</v>
      </c>
      <c r="N10" s="15">
        <v>0.81700971606061001</v>
      </c>
      <c r="O10" s="4"/>
      <c r="P10" s="4"/>
    </row>
    <row r="11" spans="1:16" ht="14.5">
      <c r="A11" s="4"/>
      <c r="B11" s="4" t="s">
        <v>17</v>
      </c>
      <c r="C11" s="15">
        <v>0.12627012797416101</v>
      </c>
      <c r="D11" s="15">
        <v>0.113555157502693</v>
      </c>
      <c r="E11" s="15">
        <v>0.21791374137028899</v>
      </c>
      <c r="F11" s="15">
        <v>0.24253145727967501</v>
      </c>
      <c r="G11" s="15">
        <v>0.33872914086350298</v>
      </c>
      <c r="H11" s="15">
        <v>0.134427292144598</v>
      </c>
      <c r="I11" s="15">
        <v>0.31548830654643101</v>
      </c>
      <c r="J11" s="15">
        <v>0.63752414732194895</v>
      </c>
      <c r="K11" s="15">
        <v>1</v>
      </c>
      <c r="L11" s="15">
        <v>0.49408999501225698</v>
      </c>
      <c r="M11" s="15">
        <v>0.57417549887744102</v>
      </c>
      <c r="N11" s="15">
        <v>0.745230266767964</v>
      </c>
      <c r="O11" s="4"/>
      <c r="P11" s="4"/>
    </row>
    <row r="12" spans="1:16" ht="14.5">
      <c r="A12" s="4"/>
      <c r="B12" s="4" t="s">
        <v>18</v>
      </c>
      <c r="C12" s="15">
        <v>5.7053058277800203E-2</v>
      </c>
      <c r="D12" s="15">
        <v>0.16840206267131999</v>
      </c>
      <c r="E12" s="15">
        <v>0.18873980324925199</v>
      </c>
      <c r="F12" s="15">
        <v>0.20487452518167601</v>
      </c>
      <c r="G12" s="15">
        <v>0.31434505133696</v>
      </c>
      <c r="H12" s="15">
        <v>0.20002151332534601</v>
      </c>
      <c r="I12" s="15">
        <v>0.50831334547978402</v>
      </c>
      <c r="J12" s="15">
        <v>0.47661518917871798</v>
      </c>
      <c r="K12" s="15">
        <v>0.49408999501225698</v>
      </c>
      <c r="L12" s="15">
        <v>1</v>
      </c>
      <c r="M12" s="15">
        <v>0.66137608890817601</v>
      </c>
      <c r="N12" s="15">
        <v>0.72575348203970302</v>
      </c>
      <c r="O12" s="4"/>
      <c r="P12" s="4"/>
    </row>
    <row r="13" spans="1:16" ht="14.5">
      <c r="A13" s="4"/>
      <c r="B13" s="4" t="s">
        <v>19</v>
      </c>
      <c r="C13" s="15">
        <v>2.0512521484083699E-2</v>
      </c>
      <c r="D13" s="15">
        <v>0.271474152847346</v>
      </c>
      <c r="E13" s="15">
        <v>0.26146882734388199</v>
      </c>
      <c r="F13" s="15">
        <v>0.29367808223111003</v>
      </c>
      <c r="G13" s="15">
        <v>0.46354654269886603</v>
      </c>
      <c r="H13" s="15">
        <v>0.31605986905461397</v>
      </c>
      <c r="I13" s="15">
        <v>0.48109262126818397</v>
      </c>
      <c r="J13" s="15">
        <v>0.60573119067156</v>
      </c>
      <c r="K13" s="15">
        <v>0.57417549887744102</v>
      </c>
      <c r="L13" s="15">
        <v>0.66137608890817601</v>
      </c>
      <c r="M13" s="15">
        <v>1</v>
      </c>
      <c r="N13" s="15">
        <v>0.754532528778454</v>
      </c>
      <c r="O13" s="4"/>
      <c r="P13" s="4"/>
    </row>
    <row r="14" spans="1:16" ht="14.5">
      <c r="A14" s="4"/>
      <c r="B14" s="4" t="s">
        <v>20</v>
      </c>
      <c r="C14" s="15">
        <v>-8.2543042362767504E-3</v>
      </c>
      <c r="D14" s="15">
        <v>0.16009209622691001</v>
      </c>
      <c r="E14" s="15">
        <v>0.19602730091860601</v>
      </c>
      <c r="F14" s="15">
        <v>0.21824337835325999</v>
      </c>
      <c r="G14" s="15">
        <v>0.48120801508920502</v>
      </c>
      <c r="H14" s="15">
        <v>0.18399241066616701</v>
      </c>
      <c r="I14" s="15">
        <v>0.49640785346847199</v>
      </c>
      <c r="J14" s="15">
        <v>0.81700971606061001</v>
      </c>
      <c r="K14" s="15">
        <v>0.745230266767964</v>
      </c>
      <c r="L14" s="15">
        <v>0.72575348203970302</v>
      </c>
      <c r="M14" s="15">
        <v>0.754532528778454</v>
      </c>
      <c r="N14" s="15">
        <v>1</v>
      </c>
      <c r="O14" s="4"/>
      <c r="P14" s="4"/>
    </row>
    <row r="15" spans="1:16" ht="14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5" t="s">
        <v>76</v>
      </c>
    </row>
    <row r="16" spans="1:16" ht="14.5">
      <c r="A16" s="4"/>
      <c r="C16" s="4">
        <f t="shared" ref="C16:N16" si="0">SUM(C3:C14) -1</f>
        <v>0.28123242761356892</v>
      </c>
      <c r="D16" s="4">
        <f t="shared" si="0"/>
        <v>2.3330778070283174</v>
      </c>
      <c r="E16" s="4">
        <f t="shared" si="0"/>
        <v>2.5816683934862823</v>
      </c>
      <c r="F16" s="4">
        <f t="shared" si="0"/>
        <v>2.8132421991059307</v>
      </c>
      <c r="G16" s="4">
        <f t="shared" si="0"/>
        <v>2.9085133436028925</v>
      </c>
      <c r="H16" s="4">
        <f t="shared" si="0"/>
        <v>3.0535933599910789</v>
      </c>
      <c r="I16" s="4">
        <f t="shared" si="0"/>
        <v>3.3414302667575431</v>
      </c>
      <c r="J16" s="4">
        <f t="shared" si="0"/>
        <v>3.8114849376769229</v>
      </c>
      <c r="K16" s="4">
        <f t="shared" si="0"/>
        <v>3.9399351316609597</v>
      </c>
      <c r="L16" s="4">
        <f t="shared" si="0"/>
        <v>3.9995841146609923</v>
      </c>
      <c r="M16" s="4">
        <f t="shared" si="0"/>
        <v>4.7036479241637172</v>
      </c>
      <c r="N16" s="4">
        <f t="shared" si="0"/>
        <v>4.7702427441330748</v>
      </c>
      <c r="O16" s="4"/>
      <c r="P16" s="55">
        <f>SUM(C16:N16)/(POWER(COUNTA(B3:B14),2) - COUNTA(B3:B14))</f>
        <v>0.29195191401425213</v>
      </c>
    </row>
    <row r="17" spans="1:15" ht="14.5">
      <c r="A17" s="4"/>
      <c r="O17" s="4"/>
    </row>
    <row r="18" spans="1:15" ht="14.5">
      <c r="A18" s="4"/>
      <c r="O18" s="4"/>
    </row>
    <row r="19" spans="1:15" ht="14.5">
      <c r="A19" s="4"/>
      <c r="O19" s="4"/>
    </row>
    <row r="20" spans="1:15" ht="14.5">
      <c r="A20" s="4"/>
      <c r="O20" s="4"/>
    </row>
    <row r="21" spans="1:15" ht="15.75" customHeight="1">
      <c r="A21" s="4"/>
      <c r="O21" s="4"/>
    </row>
    <row r="22" spans="1:15" ht="15.75" customHeight="1">
      <c r="A22" s="4"/>
      <c r="O22" s="4"/>
    </row>
    <row r="23" spans="1:15" ht="15.75" customHeight="1">
      <c r="A23" s="4"/>
      <c r="O23" s="4"/>
    </row>
    <row r="24" spans="1:15" ht="15.75" customHeight="1">
      <c r="A24" s="4"/>
      <c r="O24" s="4"/>
    </row>
    <row r="25" spans="1:15" ht="15.75" customHeight="1">
      <c r="A25" s="4"/>
      <c r="O25" s="4"/>
    </row>
    <row r="26" spans="1:15" ht="15.75" customHeight="1">
      <c r="A26" s="4"/>
      <c r="O26" s="4"/>
    </row>
    <row r="27" spans="1:15" ht="15.75" customHeight="1">
      <c r="A27" s="4"/>
      <c r="O27" s="4"/>
    </row>
    <row r="28" spans="1:15" ht="15.75" customHeight="1">
      <c r="A28" s="4"/>
      <c r="O28" s="4"/>
    </row>
    <row r="29" spans="1:15" ht="15.75" customHeight="1">
      <c r="A29" s="4"/>
      <c r="O29" s="4"/>
    </row>
    <row r="30" spans="1:15" ht="15.75" customHeight="1">
      <c r="A30" s="4"/>
      <c r="O30" s="4"/>
    </row>
    <row r="31" spans="1:15" ht="15.75" customHeight="1">
      <c r="A31" s="4"/>
      <c r="O31" s="4"/>
    </row>
    <row r="32" spans="1:15" ht="15.75" customHeight="1">
      <c r="A32" s="4"/>
      <c r="O32" s="4"/>
    </row>
    <row r="33" spans="1:15" ht="15.75" customHeight="1">
      <c r="A33" s="4"/>
      <c r="O33" s="4"/>
    </row>
    <row r="34" spans="1:15" ht="15.75" customHeight="1">
      <c r="A34" s="4"/>
      <c r="O34" s="4"/>
    </row>
    <row r="35" spans="1:15" ht="15.75" customHeight="1">
      <c r="A35" s="4"/>
      <c r="O35" s="4"/>
    </row>
    <row r="36" spans="1:15" ht="15.75" customHeight="1">
      <c r="A36" s="4"/>
      <c r="O36" s="4"/>
    </row>
    <row r="37" spans="1:15" ht="15.75" customHeight="1">
      <c r="A37" s="4"/>
      <c r="O37" s="4"/>
    </row>
    <row r="38" spans="1:15" ht="15.75" customHeight="1">
      <c r="A38" s="4"/>
      <c r="O38" s="4"/>
    </row>
    <row r="39" spans="1:15" ht="15.75" customHeight="1">
      <c r="A39" s="4"/>
      <c r="O39" s="4"/>
    </row>
    <row r="40" spans="1:15" ht="15.75" customHeight="1">
      <c r="A40" s="4"/>
      <c r="O40" s="4"/>
    </row>
    <row r="41" spans="1:15" ht="15.75" customHeight="1">
      <c r="A41" s="4"/>
      <c r="O41" s="4"/>
    </row>
    <row r="42" spans="1:15" ht="15.75" customHeight="1">
      <c r="A42" s="4"/>
      <c r="O42" s="4"/>
    </row>
    <row r="43" spans="1:15" ht="15.75" customHeight="1">
      <c r="A43" s="4"/>
      <c r="O43" s="4"/>
    </row>
    <row r="44" spans="1:15" ht="15.75" customHeight="1">
      <c r="A44" s="4"/>
      <c r="O44" s="4"/>
    </row>
    <row r="45" spans="1:15" ht="15.75" customHeight="1">
      <c r="A45" s="4"/>
      <c r="O45" s="4"/>
    </row>
    <row r="46" spans="1:15" ht="15.75" customHeight="1">
      <c r="A46" s="4"/>
      <c r="O46" s="4"/>
    </row>
    <row r="47" spans="1:15" ht="15.75" customHeight="1">
      <c r="A47" s="4"/>
      <c r="O47" s="4"/>
    </row>
    <row r="48" spans="1:15" ht="15.75" customHeight="1">
      <c r="A48" s="4"/>
      <c r="O48" s="4"/>
    </row>
    <row r="49" spans="1:15" ht="15.75" customHeight="1">
      <c r="A49" s="4"/>
      <c r="O49" s="4"/>
    </row>
    <row r="50" spans="1:15" ht="15.75" customHeight="1">
      <c r="A50" s="4"/>
      <c r="O50" s="4"/>
    </row>
    <row r="51" spans="1:15" ht="15.75" customHeight="1">
      <c r="A51" s="4"/>
      <c r="O51" s="4"/>
    </row>
    <row r="52" spans="1:15" ht="15.75" customHeight="1">
      <c r="A52" s="4"/>
      <c r="O52" s="4"/>
    </row>
    <row r="53" spans="1:15" ht="15.75" customHeight="1">
      <c r="A53" s="4"/>
      <c r="O53" s="4"/>
    </row>
    <row r="54" spans="1:15" ht="15.75" customHeight="1">
      <c r="A54" s="4"/>
      <c r="O54" s="4"/>
    </row>
    <row r="55" spans="1:15" ht="15.75" customHeight="1">
      <c r="A55" s="4"/>
      <c r="O55" s="4"/>
    </row>
    <row r="56" spans="1:15" ht="15.75" customHeight="1">
      <c r="A56" s="4"/>
      <c r="O56" s="4"/>
    </row>
    <row r="57" spans="1:15" ht="15.75" customHeight="1">
      <c r="A57" s="4"/>
      <c r="O57" s="4"/>
    </row>
    <row r="58" spans="1:15" ht="15.75" customHeight="1">
      <c r="A58" s="4"/>
      <c r="O58" s="4"/>
    </row>
    <row r="59" spans="1:15" ht="15.75" customHeight="1">
      <c r="A59" s="4"/>
      <c r="O59" s="4"/>
    </row>
    <row r="60" spans="1:15" ht="15.75" customHeight="1">
      <c r="A60" s="4"/>
      <c r="O60" s="4"/>
    </row>
    <row r="61" spans="1:15" ht="15.75" customHeight="1">
      <c r="A61" s="4"/>
      <c r="O61" s="4"/>
    </row>
    <row r="62" spans="1:15" ht="15.75" customHeight="1">
      <c r="A62" s="4"/>
      <c r="O62" s="4"/>
    </row>
    <row r="63" spans="1:15" ht="15.75" customHeight="1">
      <c r="A63" s="4"/>
      <c r="O63" s="4"/>
    </row>
    <row r="64" spans="1:15" ht="15.75" customHeight="1">
      <c r="A64" s="4"/>
      <c r="O64" s="4"/>
    </row>
    <row r="65" spans="1:15" ht="15.75" customHeight="1">
      <c r="A65" s="4"/>
      <c r="O65" s="4"/>
    </row>
    <row r="66" spans="1:15" ht="15.75" customHeight="1">
      <c r="A66" s="4"/>
      <c r="O66" s="4"/>
    </row>
    <row r="67" spans="1:15" ht="15.75" customHeight="1">
      <c r="A67" s="4"/>
      <c r="O67" s="4"/>
    </row>
    <row r="68" spans="1:15" ht="15.75" customHeight="1">
      <c r="A68" s="4"/>
      <c r="O68" s="4"/>
    </row>
    <row r="69" spans="1:15" ht="15.75" customHeight="1">
      <c r="A69" s="4"/>
      <c r="O69" s="4"/>
    </row>
    <row r="70" spans="1:15" ht="15.75" customHeight="1">
      <c r="A70" s="4"/>
      <c r="O70" s="4"/>
    </row>
    <row r="71" spans="1:15" ht="15.75" customHeight="1">
      <c r="A71" s="4"/>
      <c r="O71" s="4"/>
    </row>
    <row r="72" spans="1:15" ht="15.75" customHeight="1">
      <c r="A72" s="4"/>
      <c r="O72" s="4"/>
    </row>
    <row r="73" spans="1:15" ht="15.75" customHeight="1">
      <c r="A73" s="4"/>
      <c r="O73" s="4"/>
    </row>
    <row r="74" spans="1:15" ht="15.75" customHeight="1">
      <c r="A74" s="4"/>
      <c r="O74" s="4"/>
    </row>
    <row r="75" spans="1:15" ht="15.75" customHeight="1">
      <c r="A75" s="4"/>
      <c r="O75" s="4"/>
    </row>
    <row r="76" spans="1:15" ht="15.75" customHeight="1">
      <c r="A76" s="4"/>
      <c r="O76" s="4"/>
    </row>
    <row r="77" spans="1:15" ht="15.75" customHeight="1">
      <c r="A77" s="4"/>
      <c r="O77" s="4"/>
    </row>
    <row r="78" spans="1:15" ht="15.75" customHeight="1">
      <c r="A78" s="4"/>
      <c r="O78" s="4"/>
    </row>
    <row r="79" spans="1:15" ht="15.75" customHeight="1">
      <c r="A79" s="4"/>
      <c r="O79" s="4"/>
    </row>
    <row r="80" spans="1:15" ht="15.75" customHeight="1">
      <c r="A80" s="4"/>
      <c r="O80" s="4"/>
    </row>
    <row r="81" spans="1:15" ht="15.75" customHeight="1">
      <c r="A81" s="4"/>
      <c r="O81" s="4"/>
    </row>
    <row r="82" spans="1:15" ht="15.75" customHeight="1">
      <c r="A82" s="4"/>
      <c r="O82" s="4"/>
    </row>
    <row r="83" spans="1:15" ht="15.75" customHeight="1">
      <c r="A83" s="4"/>
      <c r="O83" s="4"/>
    </row>
    <row r="84" spans="1:15" ht="15.75" customHeight="1">
      <c r="A84" s="4"/>
      <c r="O84" s="4"/>
    </row>
    <row r="85" spans="1:15" ht="15.75" customHeight="1">
      <c r="A85" s="4"/>
      <c r="O85" s="4"/>
    </row>
    <row r="86" spans="1:15" ht="15.75" customHeight="1">
      <c r="A86" s="4"/>
      <c r="O86" s="4"/>
    </row>
    <row r="87" spans="1:15" ht="15.75" customHeight="1">
      <c r="A87" s="4"/>
      <c r="O87" s="4"/>
    </row>
    <row r="88" spans="1:15" ht="15.75" customHeight="1">
      <c r="A88" s="4"/>
      <c r="O88" s="4"/>
    </row>
    <row r="89" spans="1:15" ht="15.75" customHeight="1">
      <c r="A89" s="4"/>
      <c r="O89" s="4"/>
    </row>
    <row r="90" spans="1:15" ht="15.75" customHeight="1">
      <c r="A90" s="4"/>
      <c r="O90" s="4"/>
    </row>
    <row r="91" spans="1:15" ht="15.75" customHeight="1">
      <c r="A91" s="4"/>
      <c r="O91" s="4"/>
    </row>
    <row r="92" spans="1:15" ht="15.75" customHeight="1">
      <c r="A92" s="4"/>
      <c r="O92" s="4"/>
    </row>
    <row r="93" spans="1:15" ht="15.75" customHeight="1">
      <c r="A93" s="4"/>
      <c r="O93" s="4"/>
    </row>
    <row r="94" spans="1:15" ht="15.75" customHeight="1">
      <c r="A94" s="4"/>
      <c r="O94" s="4"/>
    </row>
    <row r="95" spans="1:15" ht="15.75" customHeight="1">
      <c r="A95" s="4"/>
      <c r="O95" s="4"/>
    </row>
    <row r="96" spans="1:15" ht="15.75" customHeight="1">
      <c r="A96" s="4"/>
      <c r="O96" s="4"/>
    </row>
    <row r="97" spans="1:15" ht="15.75" customHeight="1">
      <c r="A97" s="4"/>
      <c r="O97" s="4"/>
    </row>
    <row r="98" spans="1:15" ht="15.75" customHeight="1">
      <c r="A98" s="4"/>
      <c r="O98" s="4"/>
    </row>
    <row r="99" spans="1:15" ht="15.75" customHeight="1">
      <c r="A99" s="4"/>
      <c r="O99" s="4"/>
    </row>
    <row r="100" spans="1:15" ht="15.75" customHeight="1">
      <c r="A100" s="4"/>
      <c r="O100" s="4"/>
    </row>
    <row r="101" spans="1:15" ht="15.75" customHeight="1"/>
    <row r="102" spans="1:15" ht="15.75" customHeight="1"/>
    <row r="103" spans="1:15" ht="15.75" customHeight="1"/>
    <row r="104" spans="1:15" ht="15.75" customHeight="1"/>
    <row r="105" spans="1:15" ht="15.75" customHeight="1"/>
    <row r="106" spans="1:15" ht="15.75" customHeight="1"/>
    <row r="107" spans="1:15" ht="15.75" customHeight="1"/>
    <row r="108" spans="1:15" ht="15.75" customHeight="1"/>
    <row r="109" spans="1:15" ht="15.75" customHeight="1"/>
    <row r="110" spans="1:15" ht="15.75" customHeight="1"/>
    <row r="111" spans="1:15" ht="15.75" customHeight="1"/>
    <row r="112" spans="1:1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topLeftCell="I1" workbookViewId="0">
      <selection activeCell="R2" sqref="R2"/>
    </sheetView>
  </sheetViews>
  <sheetFormatPr defaultColWidth="14.453125" defaultRowHeight="15" customHeight="1"/>
  <cols>
    <col min="1" max="1" width="8.7265625" customWidth="1"/>
    <col min="2" max="2" width="24.1796875" customWidth="1"/>
    <col min="3" max="3" width="26.7265625" customWidth="1"/>
    <col min="4" max="5" width="20.54296875" customWidth="1"/>
    <col min="6" max="6" width="23.7265625" customWidth="1"/>
    <col min="7" max="7" width="16" customWidth="1"/>
    <col min="8" max="9" width="8.7265625" customWidth="1"/>
    <col min="10" max="10" width="21.54296875" customWidth="1"/>
    <col min="11" max="12" width="15.26953125" customWidth="1"/>
    <col min="13" max="13" width="11" customWidth="1"/>
    <col min="15" max="15" width="20.6328125" bestFit="1" customWidth="1"/>
    <col min="16" max="16" width="20.6328125" style="67" customWidth="1"/>
    <col min="17" max="17" width="20" bestFit="1" customWidth="1"/>
  </cols>
  <sheetData>
    <row r="1" spans="1:19" ht="14.5">
      <c r="A1" s="62" t="s">
        <v>74</v>
      </c>
      <c r="B1" s="63">
        <v>40179</v>
      </c>
      <c r="C1" s="4"/>
      <c r="D1" s="4" t="s">
        <v>77</v>
      </c>
      <c r="E1" s="4">
        <v>6</v>
      </c>
      <c r="F1" s="4"/>
      <c r="G1" s="4"/>
      <c r="H1" s="4"/>
      <c r="I1" s="62" t="s">
        <v>74</v>
      </c>
      <c r="J1" s="63">
        <v>40179</v>
      </c>
      <c r="K1" s="4"/>
      <c r="L1" s="4" t="s">
        <v>77</v>
      </c>
      <c r="M1" s="4">
        <v>10</v>
      </c>
    </row>
    <row r="2" spans="1:19" ht="14.5">
      <c r="B2" s="4" t="s">
        <v>78</v>
      </c>
      <c r="C2" s="11" t="s">
        <v>79</v>
      </c>
      <c r="D2" s="11" t="s">
        <v>80</v>
      </c>
      <c r="E2" s="11" t="s">
        <v>81</v>
      </c>
      <c r="F2" s="15" t="s">
        <v>82</v>
      </c>
      <c r="G2" s="4"/>
      <c r="J2" s="4" t="s">
        <v>83</v>
      </c>
      <c r="K2" s="11" t="s">
        <v>84</v>
      </c>
      <c r="L2" s="11" t="s">
        <v>85</v>
      </c>
      <c r="M2" s="77" t="s">
        <v>93</v>
      </c>
      <c r="N2" s="77" t="s">
        <v>94</v>
      </c>
      <c r="O2" t="s">
        <v>92</v>
      </c>
      <c r="P2" s="75" t="s">
        <v>96</v>
      </c>
      <c r="Q2" s="78" t="s">
        <v>95</v>
      </c>
      <c r="R2" s="78" t="s">
        <v>97</v>
      </c>
      <c r="S2" s="76"/>
    </row>
    <row r="3" spans="1:19" ht="14.5">
      <c r="A3" s="4" t="s">
        <v>18</v>
      </c>
      <c r="B3" s="64">
        <v>-1.7073144935628201E-3</v>
      </c>
      <c r="C3" s="17">
        <f>B3*MyPortfolio!$B$1</f>
        <v>-0.43024325237783068</v>
      </c>
      <c r="D3" s="18">
        <f t="shared" ref="D3:D14" si="0">EXP(C3+0.5*POWER(VLOOKUP($A3,$I$3:$K$14,3,FALSE),2))-1</f>
        <v>-0.31788400854950039</v>
      </c>
      <c r="E3" s="18">
        <f t="shared" ref="E3:E14" si="1">EXP(C3-POWER(VLOOKUP($A3,$I$3:$K$14,3,FALSE),2))-1</f>
        <v>-0.40881048038550694</v>
      </c>
      <c r="F3" s="21">
        <f t="shared" ref="F3:F14" si="2">EXP(C3)-1</f>
        <v>-0.34964912391646508</v>
      </c>
      <c r="G3" s="34"/>
      <c r="I3" s="4" t="s">
        <v>13</v>
      </c>
      <c r="J3" s="4">
        <v>1.0774020686448401E-4</v>
      </c>
      <c r="K3" s="11">
        <f>SQRT(J3*MyPortfolio!$B$1)</f>
        <v>0.16477418526531992</v>
      </c>
      <c r="L3" s="18">
        <f t="shared" ref="L3:L14" si="3">SQRT(EXP(2*VLOOKUP($I3,$A$3:$C$14,3,FALSE)+POWER(K3,2))*(EXP(POWER(K3,2))-1))</f>
        <v>0.29669048678545312</v>
      </c>
      <c r="M3" s="80">
        <f t="shared" ref="M3:M14" si="4">EXP(K3)-1</f>
        <v>0.17912682443492245</v>
      </c>
      <c r="N3" s="80">
        <f>EXP(-K3)-1</f>
        <v>-0.1519148074006087</v>
      </c>
      <c r="O3" s="74">
        <f>(F3+1)*(M3+1) - 1</f>
        <v>-0.23315383671515166</v>
      </c>
      <c r="P3" s="74">
        <f>(F3+1)*(N3+1) - 1</f>
        <v>-0.4484470519995124</v>
      </c>
      <c r="Q3" s="79">
        <f>$O3-$F3</f>
        <v>0.11649528720131341</v>
      </c>
      <c r="R3" s="79">
        <f>$P3-$F3</f>
        <v>-9.8797928083047326E-2</v>
      </c>
    </row>
    <row r="4" spans="1:19" ht="14.5">
      <c r="A4" s="4" t="s">
        <v>19</v>
      </c>
      <c r="B4" s="4">
        <v>-6.5155849849780705E-4</v>
      </c>
      <c r="C4" s="17">
        <f>B4*MyPortfolio!$B$1</f>
        <v>-0.16419274162144737</v>
      </c>
      <c r="D4" s="18">
        <f t="shared" si="0"/>
        <v>-0.1203235697342715</v>
      </c>
      <c r="E4" s="18">
        <f t="shared" si="1"/>
        <v>-0.21035828432282178</v>
      </c>
      <c r="F4" s="21">
        <f t="shared" si="2"/>
        <v>-0.15142155026919391</v>
      </c>
      <c r="G4" s="34"/>
      <c r="I4" s="4" t="s">
        <v>10</v>
      </c>
      <c r="J4" s="4">
        <v>2.48362864626651E-4</v>
      </c>
      <c r="K4" s="11">
        <f>SQRT(J4*MyPortfolio!$B$1)</f>
        <v>0.25017482264591706</v>
      </c>
      <c r="L4" s="18">
        <f t="shared" si="3"/>
        <v>0.25607617535286747</v>
      </c>
      <c r="M4" s="80">
        <f t="shared" si="4"/>
        <v>0.28424991303146219</v>
      </c>
      <c r="N4" s="80">
        <f t="shared" ref="N4:N14" si="5">EXP(-K4)-1</f>
        <v>-0.22133535704159979</v>
      </c>
      <c r="O4" s="74">
        <f t="shared" ref="O4:O14" si="6">(F4+1)*(M4+1) - 1</f>
        <v>8.9786800267160682E-2</v>
      </c>
      <c r="P4" s="74">
        <f t="shared" ref="P4:P14" si="7">(F4+1)*(N4+1) - 1</f>
        <v>-0.33924196441816912</v>
      </c>
      <c r="Q4" s="79">
        <f t="shared" ref="Q4:Q14" si="8">$O4-$F4</f>
        <v>0.24120835053635459</v>
      </c>
      <c r="R4" s="79">
        <f t="shared" ref="R4:R14" si="9">$P4-$F4</f>
        <v>-0.18782041414897521</v>
      </c>
    </row>
    <row r="5" spans="1:19" ht="14.5">
      <c r="A5" s="4" t="s">
        <v>13</v>
      </c>
      <c r="B5" s="4">
        <v>2.25291763749278E-3</v>
      </c>
      <c r="C5" s="17">
        <f>B5*MyPortfolio!$B$1</f>
        <v>0.56773524464818059</v>
      </c>
      <c r="D5" s="18">
        <f t="shared" si="0"/>
        <v>0.7883805876232175</v>
      </c>
      <c r="E5" s="18">
        <f t="shared" si="1"/>
        <v>0.71701052627760364</v>
      </c>
      <c r="F5" s="21">
        <f t="shared" si="2"/>
        <v>0.76426689056819308</v>
      </c>
      <c r="G5" s="34"/>
      <c r="I5" s="4" t="s">
        <v>16</v>
      </c>
      <c r="J5" s="4">
        <v>1.6207083944590799E-4</v>
      </c>
      <c r="K5" s="11">
        <f>SQRT(J5*MyPortfolio!$B$1)</f>
        <v>0.20209367021351465</v>
      </c>
      <c r="L5" s="18">
        <f t="shared" si="3"/>
        <v>0.38187361248949164</v>
      </c>
      <c r="M5" s="80">
        <f t="shared" si="4"/>
        <v>0.22396265158484296</v>
      </c>
      <c r="N5" s="80">
        <f t="shared" si="5"/>
        <v>-0.18298160592959745</v>
      </c>
      <c r="O5" s="74">
        <f t="shared" si="6"/>
        <v>1.1593967814831916</v>
      </c>
      <c r="P5" s="74">
        <f t="shared" si="7"/>
        <v>0.44143850164360776</v>
      </c>
      <c r="Q5" s="79">
        <f t="shared" si="8"/>
        <v>0.39512989091499851</v>
      </c>
      <c r="R5" s="79">
        <f t="shared" si="9"/>
        <v>-0.32282838892458532</v>
      </c>
    </row>
    <row r="6" spans="1:19" ht="14.5">
      <c r="A6" s="4" t="s">
        <v>9</v>
      </c>
      <c r="B6" s="4">
        <v>-6.1995054629184702E-4</v>
      </c>
      <c r="C6" s="17">
        <f>B6*MyPortfolio!$B$1</f>
        <v>-0.15622753766554545</v>
      </c>
      <c r="D6" s="18">
        <f t="shared" si="0"/>
        <v>1.3823006900565931</v>
      </c>
      <c r="E6" s="18">
        <f t="shared" si="1"/>
        <v>-0.8897291875584038</v>
      </c>
      <c r="F6" s="21">
        <f t="shared" si="2"/>
        <v>-0.14463545942397471</v>
      </c>
      <c r="G6" s="34"/>
      <c r="I6" s="4" t="s">
        <v>19</v>
      </c>
      <c r="J6" s="4">
        <v>2.8564769536592498E-4</v>
      </c>
      <c r="K6" s="11">
        <f>SQRT(J6*MyPortfolio!$B$1)</f>
        <v>0.26829688636324706</v>
      </c>
      <c r="L6" s="18">
        <f t="shared" si="3"/>
        <v>0.24032610457491041</v>
      </c>
      <c r="M6" s="80">
        <f t="shared" si="4"/>
        <v>0.30773533117431606</v>
      </c>
      <c r="N6" s="80">
        <f t="shared" si="5"/>
        <v>-0.23531927587975832</v>
      </c>
      <c r="O6" s="74">
        <f t="shared" si="6"/>
        <v>0.11859043074495523</v>
      </c>
      <c r="P6" s="74">
        <f t="shared" si="7"/>
        <v>-0.34591922372554718</v>
      </c>
      <c r="Q6" s="79">
        <f t="shared" si="8"/>
        <v>0.26322589016892994</v>
      </c>
      <c r="R6" s="79">
        <f t="shared" si="9"/>
        <v>-0.20128376430157247</v>
      </c>
    </row>
    <row r="7" spans="1:19" ht="14.5">
      <c r="A7" s="4" t="s">
        <v>14</v>
      </c>
      <c r="B7" s="4">
        <v>3.4969623561309802E-4</v>
      </c>
      <c r="C7" s="17">
        <f>B7*MyPortfolio!$B$1</f>
        <v>8.81234513745007E-2</v>
      </c>
      <c r="D7" s="18">
        <f t="shared" si="0"/>
        <v>0.11220321491832785</v>
      </c>
      <c r="E7" s="18">
        <f t="shared" si="1"/>
        <v>5.3043456363864205E-2</v>
      </c>
      <c r="F7" s="21">
        <f t="shared" si="2"/>
        <v>9.2122937784224312E-2</v>
      </c>
      <c r="G7" s="34"/>
      <c r="I7" s="4" t="s">
        <v>17</v>
      </c>
      <c r="J7" s="4">
        <v>1.4779642758330999E-4</v>
      </c>
      <c r="K7" s="11">
        <f>SQRT(J7*MyPortfolio!$B$1)</f>
        <v>0.19298885913698263</v>
      </c>
      <c r="L7" s="18">
        <f t="shared" si="3"/>
        <v>0.30370647685336638</v>
      </c>
      <c r="M7" s="80">
        <f t="shared" si="4"/>
        <v>0.21286928103333125</v>
      </c>
      <c r="N7" s="80">
        <f t="shared" si="5"/>
        <v>-0.17550884036899062</v>
      </c>
      <c r="O7" s="74">
        <f t="shared" si="6"/>
        <v>0.32460236235036177</v>
      </c>
      <c r="P7" s="74">
        <f t="shared" si="7"/>
        <v>-9.9554292566660152E-2</v>
      </c>
      <c r="Q7" s="79">
        <f t="shared" si="8"/>
        <v>0.23247942456613746</v>
      </c>
      <c r="R7" s="79">
        <f t="shared" si="9"/>
        <v>-0.19167723035088446</v>
      </c>
    </row>
    <row r="8" spans="1:19" ht="14.5">
      <c r="A8" s="4" t="s">
        <v>20</v>
      </c>
      <c r="B8" s="4">
        <v>1.26225403528745E-3</v>
      </c>
      <c r="C8" s="17">
        <f>B8*MyPortfolio!$B$1</f>
        <v>0.31808801689243743</v>
      </c>
      <c r="D8" s="18">
        <f t="shared" si="0"/>
        <v>0.39506536450764385</v>
      </c>
      <c r="E8" s="18">
        <f t="shared" si="1"/>
        <v>0.33426624264249849</v>
      </c>
      <c r="F8" s="21">
        <f t="shared" si="2"/>
        <v>0.37449723487889863</v>
      </c>
      <c r="G8" s="34"/>
      <c r="I8" s="4" t="s">
        <v>12</v>
      </c>
      <c r="J8" s="4">
        <v>6.3977845110191897E-4</v>
      </c>
      <c r="K8" s="11">
        <f>SQRT(J8*MyPortfolio!$B$1)</f>
        <v>0.40152729630460193</v>
      </c>
      <c r="L8" s="18">
        <f t="shared" si="3"/>
        <v>0.36311059935418361</v>
      </c>
      <c r="M8" s="80">
        <f t="shared" si="4"/>
        <v>0.4941048968157391</v>
      </c>
      <c r="N8" s="80">
        <f t="shared" si="5"/>
        <v>-0.33070294988577009</v>
      </c>
      <c r="O8" s="74">
        <f t="shared" si="6"/>
        <v>1.0536430492922557</v>
      </c>
      <c r="P8" s="74">
        <f t="shared" si="7"/>
        <v>-8.0053055305387311E-2</v>
      </c>
      <c r="Q8" s="79">
        <f t="shared" si="8"/>
        <v>0.67914581441335709</v>
      </c>
      <c r="R8" s="79">
        <f t="shared" si="9"/>
        <v>-0.45455029018428594</v>
      </c>
    </row>
    <row r="9" spans="1:19" ht="14.5">
      <c r="A9" s="4" t="s">
        <v>10</v>
      </c>
      <c r="B9" s="4">
        <v>-9.4076153564245601E-5</v>
      </c>
      <c r="C9" s="17">
        <f>B9*MyPortfolio!$B$1</f>
        <v>-2.3707190698189891E-2</v>
      </c>
      <c r="D9" s="18">
        <f t="shared" si="0"/>
        <v>7.6153808779306775E-3</v>
      </c>
      <c r="E9" s="18">
        <f t="shared" si="1"/>
        <v>-8.2676082115840321E-2</v>
      </c>
      <c r="F9" s="21">
        <f t="shared" si="2"/>
        <v>-2.3428382848919904E-2</v>
      </c>
      <c r="G9" s="34"/>
      <c r="I9" s="4" t="s">
        <v>11</v>
      </c>
      <c r="J9" s="4">
        <v>2.16775031621354E-4</v>
      </c>
      <c r="K9" s="11">
        <f>SQRT(J9*MyPortfolio!$B$1)</f>
        <v>0.23372485526486311</v>
      </c>
      <c r="L9" s="18">
        <f t="shared" si="3"/>
        <v>0.32099091216993714</v>
      </c>
      <c r="M9" s="80">
        <f t="shared" si="4"/>
        <v>0.26329685490614185</v>
      </c>
      <c r="N9" s="80">
        <f t="shared" si="5"/>
        <v>-0.20842041510956177</v>
      </c>
      <c r="O9" s="74">
        <f t="shared" si="6"/>
        <v>0.23369985253756442</v>
      </c>
      <c r="P9" s="74">
        <f t="shared" si="7"/>
        <v>-0.22696584467976411</v>
      </c>
      <c r="Q9" s="79">
        <f t="shared" si="8"/>
        <v>0.25712823538648433</v>
      </c>
      <c r="R9" s="79">
        <f t="shared" si="9"/>
        <v>-0.2035374618308442</v>
      </c>
    </row>
    <row r="10" spans="1:19" ht="14.5">
      <c r="A10" s="4" t="s">
        <v>11</v>
      </c>
      <c r="B10" s="4">
        <v>1.0961729021322099E-3</v>
      </c>
      <c r="C10" s="17">
        <f>B10*MyPortfolio!$B$1</f>
        <v>0.27623557133731691</v>
      </c>
      <c r="D10" s="18">
        <f t="shared" si="0"/>
        <v>0.35465827278994277</v>
      </c>
      <c r="E10" s="18">
        <f t="shared" si="1"/>
        <v>0.24808236250769378</v>
      </c>
      <c r="F10" s="21">
        <f t="shared" si="2"/>
        <v>0.31815834778011309</v>
      </c>
      <c r="G10" s="34"/>
      <c r="I10" s="4" t="s">
        <v>9</v>
      </c>
      <c r="J10" s="4">
        <v>8.1293193247020893E-3</v>
      </c>
      <c r="K10" s="11">
        <f>SQRT(J10*MyPortfolio!$B$1)</f>
        <v>1.4312890937280722</v>
      </c>
      <c r="L10" s="18">
        <f t="shared" si="3"/>
        <v>6.1925816742943347</v>
      </c>
      <c r="M10" s="80">
        <f t="shared" si="4"/>
        <v>3.1840894003385483</v>
      </c>
      <c r="N10" s="80">
        <f t="shared" si="5"/>
        <v>-0.76099937063508083</v>
      </c>
      <c r="O10" s="74">
        <f t="shared" si="6"/>
        <v>4.5152923709145449</v>
      </c>
      <c r="P10" s="74">
        <f t="shared" si="7"/>
        <v>-0.68495932527793091</v>
      </c>
      <c r="Q10" s="79">
        <f t="shared" si="8"/>
        <v>4.1971340231344314</v>
      </c>
      <c r="R10" s="79">
        <f t="shared" si="9"/>
        <v>-1.003117673058044</v>
      </c>
    </row>
    <row r="11" spans="1:19" ht="14.5">
      <c r="A11" s="4" t="s">
        <v>12</v>
      </c>
      <c r="B11" s="4">
        <v>-8.8106183851979802E-4</v>
      </c>
      <c r="C11" s="17">
        <f>B11*MyPortfolio!$B$1</f>
        <v>-0.2220275833069891</v>
      </c>
      <c r="D11" s="18">
        <f t="shared" si="0"/>
        <v>-0.13187146932377347</v>
      </c>
      <c r="E11" s="18">
        <f t="shared" si="1"/>
        <v>-0.31835872754170358</v>
      </c>
      <c r="F11" s="21">
        <f t="shared" si="2"/>
        <v>-0.19910672725502665</v>
      </c>
      <c r="G11" s="34"/>
      <c r="I11" s="4" t="s">
        <v>18</v>
      </c>
      <c r="J11" s="4">
        <v>3.7847374776653098E-4</v>
      </c>
      <c r="K11" s="11">
        <f>SQRT(J11*MyPortfolio!$B$1)</f>
        <v>0.30882905374521646</v>
      </c>
      <c r="L11" s="18">
        <f t="shared" si="3"/>
        <v>0.21578136175226451</v>
      </c>
      <c r="M11" s="80">
        <f t="shared" si="4"/>
        <v>0.36182955094278579</v>
      </c>
      <c r="N11" s="80">
        <f t="shared" si="5"/>
        <v>-0.2656937137928117</v>
      </c>
      <c r="O11" s="74">
        <f t="shared" si="6"/>
        <v>9.0680125975385106E-2</v>
      </c>
      <c r="P11" s="74">
        <f t="shared" si="7"/>
        <v>-0.41189903524231786</v>
      </c>
      <c r="Q11" s="79">
        <f t="shared" si="8"/>
        <v>0.28978685323041176</v>
      </c>
      <c r="R11" s="79">
        <f t="shared" si="9"/>
        <v>-0.21279230798729121</v>
      </c>
    </row>
    <row r="12" spans="1:19" ht="14.5">
      <c r="A12" s="4" t="s">
        <v>16</v>
      </c>
      <c r="B12" s="64">
        <v>2.4035406876987899E-3</v>
      </c>
      <c r="C12" s="17">
        <f>B12*MyPortfolio!$B$1</f>
        <v>0.60569225330009502</v>
      </c>
      <c r="D12" s="18">
        <f t="shared" si="0"/>
        <v>0.87032680769477366</v>
      </c>
      <c r="E12" s="18">
        <f t="shared" si="1"/>
        <v>0.75918459211658296</v>
      </c>
      <c r="F12" s="21">
        <f t="shared" si="2"/>
        <v>0.83252033815337367</v>
      </c>
      <c r="G12" s="34"/>
      <c r="I12" s="4" t="s">
        <v>14</v>
      </c>
      <c r="J12" s="4">
        <v>1.44599007828265E-4</v>
      </c>
      <c r="K12" s="11">
        <f>SQRT(J12*MyPortfolio!$B$1)</f>
        <v>0.19088988965558856</v>
      </c>
      <c r="L12" s="18">
        <f t="shared" si="3"/>
        <v>0.21425718528763649</v>
      </c>
      <c r="M12" s="80">
        <f t="shared" si="4"/>
        <v>0.21032617531184483</v>
      </c>
      <c r="N12" s="80">
        <f t="shared" si="5"/>
        <v>-0.17377644109667678</v>
      </c>
      <c r="O12" s="74">
        <f t="shared" si="6"/>
        <v>1.2179473320583414</v>
      </c>
      <c r="P12" s="74">
        <f t="shared" si="7"/>
        <v>0.51407147555180166</v>
      </c>
      <c r="Q12" s="79">
        <f t="shared" si="8"/>
        <v>0.38542699390496771</v>
      </c>
      <c r="R12" s="79">
        <f t="shared" si="9"/>
        <v>-0.31844886260157201</v>
      </c>
    </row>
    <row r="13" spans="1:19" ht="14.5">
      <c r="A13" s="4" t="s">
        <v>17</v>
      </c>
      <c r="B13" s="4">
        <v>1.6883603648553301E-3</v>
      </c>
      <c r="C13" s="17">
        <f>B13*MyPortfolio!$B$1</f>
        <v>0.42546681194354319</v>
      </c>
      <c r="D13" s="18">
        <f t="shared" si="0"/>
        <v>0.55906948889657082</v>
      </c>
      <c r="E13" s="18">
        <f t="shared" si="1"/>
        <v>0.474357220637869</v>
      </c>
      <c r="F13" s="21">
        <f t="shared" si="2"/>
        <v>0.53030461742505985</v>
      </c>
      <c r="G13" s="34"/>
      <c r="I13" s="4" t="s">
        <v>20</v>
      </c>
      <c r="J13" s="4">
        <v>1.1788296477024899E-4</v>
      </c>
      <c r="K13" s="11">
        <f>SQRT(J13*MyPortfolio!$B$1)</f>
        <v>0.17235575743822062</v>
      </c>
      <c r="L13" s="18">
        <f t="shared" si="3"/>
        <v>0.24224436270533495</v>
      </c>
      <c r="M13" s="80">
        <f t="shared" si="4"/>
        <v>0.18810043360444051</v>
      </c>
      <c r="N13" s="80">
        <f t="shared" si="5"/>
        <v>-0.15832031390964507</v>
      </c>
      <c r="O13" s="74">
        <f t="shared" si="6"/>
        <v>0.81815557950959117</v>
      </c>
      <c r="P13" s="74">
        <f t="shared" si="7"/>
        <v>0.28802631001694512</v>
      </c>
      <c r="Q13" s="79">
        <f t="shared" si="8"/>
        <v>0.28785096208453131</v>
      </c>
      <c r="R13" s="79">
        <f t="shared" si="9"/>
        <v>-0.24227830740811473</v>
      </c>
    </row>
    <row r="14" spans="1:19" ht="14.5">
      <c r="A14" s="4" t="s">
        <v>15</v>
      </c>
      <c r="B14" s="4">
        <v>-1.4002913202535499E-3</v>
      </c>
      <c r="C14" s="17">
        <f>B14*MyPortfolio!$B$1</f>
        <v>-0.35287341270389461</v>
      </c>
      <c r="D14" s="18">
        <f t="shared" si="0"/>
        <v>-0.23739216577996858</v>
      </c>
      <c r="E14" s="18">
        <f t="shared" si="1"/>
        <v>-0.40345316308330803</v>
      </c>
      <c r="F14" s="21">
        <f t="shared" si="2"/>
        <v>-0.2973338636461369</v>
      </c>
      <c r="G14" s="34"/>
      <c r="I14" s="4" t="s">
        <v>15</v>
      </c>
      <c r="J14" s="4">
        <v>6.4969884231822405E-4</v>
      </c>
      <c r="K14" s="11">
        <f>SQRT(J14*MyPortfolio!$B$1)</f>
        <v>0.40462835820564091</v>
      </c>
      <c r="L14" s="18">
        <f t="shared" si="3"/>
        <v>0.32164453436548446</v>
      </c>
      <c r="M14" s="80">
        <f t="shared" si="4"/>
        <v>0.49874540011258217</v>
      </c>
      <c r="N14" s="80">
        <f t="shared" si="5"/>
        <v>-0.33277526661640977</v>
      </c>
      <c r="O14" s="74">
        <f t="shared" si="6"/>
        <v>5.3117639675232864E-2</v>
      </c>
      <c r="P14" s="74">
        <f t="shared" si="7"/>
        <v>-0.53116377451361618</v>
      </c>
      <c r="Q14" s="79">
        <f t="shared" si="8"/>
        <v>0.35045150332136976</v>
      </c>
      <c r="R14" s="79">
        <f t="shared" si="9"/>
        <v>-0.23382991086747928</v>
      </c>
    </row>
    <row r="15" spans="1:19" ht="14.5">
      <c r="D15" s="4"/>
      <c r="E15" s="4"/>
      <c r="G15" s="4"/>
      <c r="L15" s="4"/>
    </row>
    <row r="16" spans="1:19" ht="14.5">
      <c r="A16" s="4"/>
      <c r="B16" s="4"/>
      <c r="D16" s="4"/>
      <c r="E16" s="4"/>
      <c r="G16" s="4"/>
      <c r="J16" s="55" t="s">
        <v>86</v>
      </c>
      <c r="L16" s="4"/>
    </row>
    <row r="17" spans="4:12" ht="14.5">
      <c r="D17" s="4"/>
      <c r="E17" s="4"/>
      <c r="G17" s="4"/>
      <c r="J17" s="56">
        <f>AVERAGE(R3:R14)</f>
        <v>-0.30591354497889134</v>
      </c>
      <c r="L17" s="4"/>
    </row>
    <row r="18" spans="4:12" ht="14.5">
      <c r="D18" s="4"/>
      <c r="E18" s="4"/>
      <c r="G18" s="4"/>
      <c r="J18" s="62" t="s">
        <v>87</v>
      </c>
      <c r="L18" s="4"/>
    </row>
    <row r="19" spans="4:12" ht="14.5">
      <c r="D19" s="4"/>
      <c r="E19" s="4"/>
      <c r="G19" s="4"/>
      <c r="J19" s="65">
        <f>J17*SQRT(correlation!$P$16)</f>
        <v>-0.16529296503174168</v>
      </c>
      <c r="L19" s="4"/>
    </row>
    <row r="20" spans="4:12" ht="14.5">
      <c r="D20" s="4"/>
      <c r="E20" s="4"/>
      <c r="G20" s="4"/>
      <c r="L20" s="4"/>
    </row>
    <row r="21" spans="4:12" ht="15.75" customHeight="1">
      <c r="D21" s="4"/>
      <c r="E21" s="4"/>
      <c r="G21" s="4"/>
      <c r="I21" s="5" t="s">
        <v>88</v>
      </c>
      <c r="L21" s="4"/>
    </row>
    <row r="22" spans="4:12" ht="15.75" customHeight="1">
      <c r="D22" s="4"/>
      <c r="E22" s="4"/>
      <c r="G22" s="4"/>
      <c r="L22" s="4"/>
    </row>
    <row r="23" spans="4:12" ht="15.75" customHeight="1">
      <c r="D23" s="4"/>
      <c r="E23" s="4"/>
      <c r="G23" s="4"/>
      <c r="L23" s="4"/>
    </row>
    <row r="24" spans="4:12" ht="15.75" customHeight="1">
      <c r="D24" s="4"/>
      <c r="E24" s="4"/>
      <c r="G24" s="4"/>
      <c r="L24" s="4"/>
    </row>
    <row r="25" spans="4:12" ht="15.75" customHeight="1">
      <c r="D25" s="4"/>
      <c r="E25" s="4"/>
      <c r="G25" s="4"/>
      <c r="L25" s="4"/>
    </row>
    <row r="26" spans="4:12" ht="15.75" customHeight="1">
      <c r="D26" s="4"/>
      <c r="E26" s="4"/>
      <c r="G26" s="4"/>
      <c r="L26" s="4"/>
    </row>
    <row r="27" spans="4:12" ht="15.75" customHeight="1">
      <c r="D27" s="4"/>
      <c r="E27" s="4"/>
      <c r="G27" s="4"/>
      <c r="L27" s="4"/>
    </row>
    <row r="28" spans="4:12" ht="15.75" customHeight="1">
      <c r="D28" s="4"/>
      <c r="E28" s="4"/>
      <c r="G28" s="4"/>
      <c r="L28" s="4"/>
    </row>
    <row r="29" spans="4:12" ht="15.75" customHeight="1">
      <c r="D29" s="4"/>
      <c r="E29" s="4"/>
      <c r="G29" s="4"/>
      <c r="L29" s="4"/>
    </row>
    <row r="30" spans="4:12" ht="15.75" customHeight="1">
      <c r="D30" s="4"/>
      <c r="E30" s="4"/>
      <c r="G30" s="4"/>
      <c r="L30" s="4"/>
    </row>
    <row r="31" spans="4:12" ht="15.75" customHeight="1">
      <c r="D31" s="4"/>
      <c r="E31" s="4"/>
      <c r="G31" s="4"/>
      <c r="L31" s="4"/>
    </row>
    <row r="32" spans="4:12" ht="15.75" customHeight="1">
      <c r="D32" s="4"/>
      <c r="E32" s="4"/>
      <c r="G32" s="4"/>
      <c r="L32" s="4"/>
    </row>
    <row r="33" spans="4:12" ht="15.75" customHeight="1">
      <c r="D33" s="4"/>
      <c r="E33" s="4"/>
      <c r="G33" s="4"/>
      <c r="L33" s="4"/>
    </row>
    <row r="34" spans="4:12" ht="15.75" customHeight="1">
      <c r="D34" s="4"/>
      <c r="E34" s="4"/>
      <c r="G34" s="4"/>
      <c r="L34" s="4"/>
    </row>
    <row r="35" spans="4:12" ht="15.75" customHeight="1">
      <c r="D35" s="4"/>
      <c r="E35" s="4"/>
      <c r="G35" s="4"/>
      <c r="L35" s="4"/>
    </row>
    <row r="36" spans="4:12" ht="15.75" customHeight="1">
      <c r="D36" s="4"/>
      <c r="E36" s="4"/>
      <c r="G36" s="4"/>
      <c r="L36" s="4"/>
    </row>
    <row r="37" spans="4:12" ht="15.75" customHeight="1">
      <c r="D37" s="4"/>
      <c r="E37" s="4"/>
      <c r="G37" s="4"/>
      <c r="L37" s="4"/>
    </row>
    <row r="38" spans="4:12" ht="15.75" customHeight="1">
      <c r="D38" s="4"/>
      <c r="E38" s="4"/>
      <c r="G38" s="4"/>
      <c r="L38" s="4"/>
    </row>
    <row r="39" spans="4:12" ht="15.75" customHeight="1">
      <c r="D39" s="4"/>
      <c r="E39" s="4"/>
      <c r="G39" s="4"/>
      <c r="L39" s="4"/>
    </row>
    <row r="40" spans="4:12" ht="15.75" customHeight="1">
      <c r="D40" s="4"/>
      <c r="E40" s="4"/>
      <c r="G40" s="4"/>
      <c r="L40" s="4"/>
    </row>
    <row r="41" spans="4:12" ht="15.75" customHeight="1">
      <c r="D41" s="4"/>
      <c r="E41" s="4"/>
      <c r="G41" s="4"/>
      <c r="L41" s="4"/>
    </row>
    <row r="42" spans="4:12" ht="15.75" customHeight="1">
      <c r="D42" s="4"/>
      <c r="E42" s="4"/>
      <c r="G42" s="4"/>
      <c r="L42" s="4"/>
    </row>
    <row r="43" spans="4:12" ht="15.75" customHeight="1">
      <c r="D43" s="4"/>
      <c r="E43" s="4"/>
      <c r="G43" s="4"/>
      <c r="L43" s="4"/>
    </row>
    <row r="44" spans="4:12" ht="15.75" customHeight="1">
      <c r="D44" s="4"/>
      <c r="E44" s="4"/>
      <c r="G44" s="4"/>
      <c r="L44" s="4"/>
    </row>
    <row r="45" spans="4:12" ht="15.75" customHeight="1">
      <c r="D45" s="4"/>
      <c r="E45" s="4"/>
      <c r="G45" s="4"/>
      <c r="L45" s="4"/>
    </row>
    <row r="46" spans="4:12" ht="15.75" customHeight="1">
      <c r="D46" s="4"/>
      <c r="E46" s="4"/>
      <c r="G46" s="4"/>
      <c r="L46" s="4"/>
    </row>
    <row r="47" spans="4:12" ht="15.75" customHeight="1">
      <c r="D47" s="4"/>
      <c r="E47" s="4"/>
      <c r="G47" s="4"/>
      <c r="L47" s="4"/>
    </row>
    <row r="48" spans="4:12" ht="15.75" customHeight="1">
      <c r="D48" s="4"/>
      <c r="E48" s="4"/>
      <c r="G48" s="4"/>
      <c r="L48" s="4"/>
    </row>
    <row r="49" spans="4:12" ht="15.75" customHeight="1">
      <c r="D49" s="4"/>
      <c r="E49" s="4"/>
      <c r="G49" s="4"/>
      <c r="L49" s="4"/>
    </row>
    <row r="50" spans="4:12" ht="15.75" customHeight="1">
      <c r="D50" s="4"/>
      <c r="E50" s="4"/>
      <c r="G50" s="4"/>
      <c r="L50" s="4"/>
    </row>
    <row r="51" spans="4:12" ht="15.75" customHeight="1">
      <c r="D51" s="4"/>
      <c r="E51" s="4"/>
      <c r="G51" s="4"/>
      <c r="L51" s="4"/>
    </row>
    <row r="52" spans="4:12" ht="15.75" customHeight="1">
      <c r="D52" s="4"/>
      <c r="E52" s="4"/>
      <c r="G52" s="4"/>
      <c r="L52" s="4"/>
    </row>
    <row r="53" spans="4:12" ht="15.75" customHeight="1">
      <c r="D53" s="4"/>
      <c r="E53" s="4"/>
      <c r="G53" s="4"/>
      <c r="L53" s="4"/>
    </row>
    <row r="54" spans="4:12" ht="15.75" customHeight="1">
      <c r="D54" s="4"/>
      <c r="E54" s="4"/>
      <c r="G54" s="4"/>
      <c r="L54" s="4"/>
    </row>
    <row r="55" spans="4:12" ht="15.75" customHeight="1">
      <c r="D55" s="4"/>
      <c r="E55" s="4"/>
      <c r="G55" s="4"/>
      <c r="L55" s="4"/>
    </row>
    <row r="56" spans="4:12" ht="15.75" customHeight="1">
      <c r="D56" s="4"/>
      <c r="E56" s="4"/>
      <c r="G56" s="4"/>
      <c r="L56" s="4"/>
    </row>
    <row r="57" spans="4:12" ht="15.75" customHeight="1">
      <c r="D57" s="4"/>
      <c r="E57" s="4"/>
      <c r="G57" s="4"/>
      <c r="L57" s="4"/>
    </row>
    <row r="58" spans="4:12" ht="15.75" customHeight="1">
      <c r="D58" s="4"/>
      <c r="E58" s="4"/>
      <c r="G58" s="4"/>
      <c r="L58" s="4"/>
    </row>
    <row r="59" spans="4:12" ht="15.75" customHeight="1">
      <c r="D59" s="4"/>
      <c r="E59" s="4"/>
      <c r="G59" s="4"/>
      <c r="L59" s="4"/>
    </row>
    <row r="60" spans="4:12" ht="15.75" customHeight="1">
      <c r="D60" s="4"/>
      <c r="E60" s="4"/>
      <c r="G60" s="4"/>
      <c r="L60" s="4"/>
    </row>
    <row r="61" spans="4:12" ht="15.75" customHeight="1">
      <c r="D61" s="4"/>
      <c r="E61" s="4"/>
      <c r="G61" s="4"/>
      <c r="L61" s="4"/>
    </row>
    <row r="62" spans="4:12" ht="15.75" customHeight="1">
      <c r="D62" s="4"/>
      <c r="E62" s="4"/>
      <c r="G62" s="4"/>
      <c r="L62" s="4"/>
    </row>
    <row r="63" spans="4:12" ht="15.75" customHeight="1">
      <c r="D63" s="4"/>
      <c r="E63" s="4"/>
      <c r="G63" s="4"/>
      <c r="L63" s="4"/>
    </row>
    <row r="64" spans="4:12" ht="15.75" customHeight="1">
      <c r="D64" s="4"/>
      <c r="E64" s="4"/>
      <c r="G64" s="4"/>
      <c r="L64" s="4"/>
    </row>
    <row r="65" spans="4:12" ht="15.75" customHeight="1">
      <c r="D65" s="4"/>
      <c r="E65" s="4"/>
      <c r="G65" s="4"/>
      <c r="L65" s="4"/>
    </row>
    <row r="66" spans="4:12" ht="15.75" customHeight="1">
      <c r="D66" s="4"/>
      <c r="E66" s="4"/>
      <c r="G66" s="4"/>
      <c r="L66" s="4"/>
    </row>
    <row r="67" spans="4:12" ht="15.75" customHeight="1">
      <c r="D67" s="4"/>
      <c r="E67" s="4"/>
      <c r="G67" s="4"/>
      <c r="L67" s="4"/>
    </row>
    <row r="68" spans="4:12" ht="15.75" customHeight="1">
      <c r="D68" s="4"/>
      <c r="E68" s="4"/>
      <c r="G68" s="4"/>
      <c r="L68" s="4"/>
    </row>
    <row r="69" spans="4:12" ht="15.75" customHeight="1">
      <c r="D69" s="4"/>
      <c r="E69" s="4"/>
      <c r="G69" s="4"/>
      <c r="L69" s="4"/>
    </row>
    <row r="70" spans="4:12" ht="15.75" customHeight="1">
      <c r="D70" s="4"/>
      <c r="E70" s="4"/>
      <c r="G70" s="4"/>
      <c r="L70" s="4"/>
    </row>
    <row r="71" spans="4:12" ht="15.75" customHeight="1">
      <c r="D71" s="4"/>
      <c r="E71" s="4"/>
      <c r="G71" s="4"/>
      <c r="L71" s="4"/>
    </row>
    <row r="72" spans="4:12" ht="15.75" customHeight="1">
      <c r="D72" s="4"/>
      <c r="E72" s="4"/>
      <c r="G72" s="4"/>
      <c r="L72" s="4"/>
    </row>
    <row r="73" spans="4:12" ht="15.75" customHeight="1">
      <c r="D73" s="4"/>
      <c r="E73" s="4"/>
      <c r="G73" s="4"/>
      <c r="L73" s="4"/>
    </row>
    <row r="74" spans="4:12" ht="15.75" customHeight="1">
      <c r="D74" s="4"/>
      <c r="E74" s="4"/>
      <c r="G74" s="4"/>
      <c r="L74" s="4"/>
    </row>
    <row r="75" spans="4:12" ht="15.75" customHeight="1">
      <c r="D75" s="4"/>
      <c r="E75" s="4"/>
      <c r="G75" s="4"/>
      <c r="L75" s="4"/>
    </row>
    <row r="76" spans="4:12" ht="15.75" customHeight="1">
      <c r="D76" s="4"/>
      <c r="E76" s="4"/>
      <c r="G76" s="4"/>
      <c r="L76" s="4"/>
    </row>
    <row r="77" spans="4:12" ht="15.75" customHeight="1">
      <c r="D77" s="4"/>
      <c r="E77" s="4"/>
      <c r="G77" s="4"/>
      <c r="L77" s="4"/>
    </row>
    <row r="78" spans="4:12" ht="15.75" customHeight="1">
      <c r="D78" s="4"/>
      <c r="E78" s="4"/>
      <c r="G78" s="4"/>
      <c r="L78" s="4"/>
    </row>
    <row r="79" spans="4:12" ht="15.75" customHeight="1">
      <c r="D79" s="4"/>
      <c r="E79" s="4"/>
      <c r="G79" s="4"/>
      <c r="L79" s="4"/>
    </row>
    <row r="80" spans="4:12" ht="15.75" customHeight="1">
      <c r="D80" s="4"/>
      <c r="E80" s="4"/>
      <c r="G80" s="4"/>
      <c r="L80" s="4"/>
    </row>
    <row r="81" spans="4:12" ht="15.75" customHeight="1">
      <c r="D81" s="4"/>
      <c r="E81" s="4"/>
      <c r="G81" s="4"/>
      <c r="L81" s="4"/>
    </row>
    <row r="82" spans="4:12" ht="15.75" customHeight="1">
      <c r="D82" s="4"/>
      <c r="E82" s="4"/>
      <c r="G82" s="4"/>
      <c r="L82" s="4"/>
    </row>
    <row r="83" spans="4:12" ht="15.75" customHeight="1">
      <c r="D83" s="4"/>
      <c r="E83" s="4"/>
      <c r="G83" s="4"/>
      <c r="L83" s="4"/>
    </row>
    <row r="84" spans="4:12" ht="15.75" customHeight="1">
      <c r="D84" s="4"/>
      <c r="E84" s="4"/>
      <c r="G84" s="4"/>
      <c r="L84" s="4"/>
    </row>
    <row r="85" spans="4:12" ht="15.75" customHeight="1">
      <c r="D85" s="4"/>
      <c r="E85" s="4"/>
      <c r="G85" s="4"/>
      <c r="L85" s="4"/>
    </row>
    <row r="86" spans="4:12" ht="15.75" customHeight="1">
      <c r="D86" s="4"/>
      <c r="E86" s="4"/>
      <c r="G86" s="4"/>
      <c r="L86" s="4"/>
    </row>
    <row r="87" spans="4:12" ht="15.75" customHeight="1">
      <c r="D87" s="4"/>
      <c r="E87" s="4"/>
      <c r="G87" s="4"/>
      <c r="L87" s="4"/>
    </row>
    <row r="88" spans="4:12" ht="15.75" customHeight="1">
      <c r="D88" s="4"/>
      <c r="E88" s="4"/>
      <c r="G88" s="4"/>
      <c r="L88" s="4"/>
    </row>
    <row r="89" spans="4:12" ht="15.75" customHeight="1">
      <c r="D89" s="4"/>
      <c r="E89" s="4"/>
      <c r="G89" s="4"/>
      <c r="L89" s="4"/>
    </row>
    <row r="90" spans="4:12" ht="15.75" customHeight="1">
      <c r="D90" s="4"/>
      <c r="E90" s="4"/>
      <c r="G90" s="4"/>
      <c r="L90" s="4"/>
    </row>
    <row r="91" spans="4:12" ht="15.75" customHeight="1">
      <c r="D91" s="4"/>
      <c r="E91" s="4"/>
      <c r="G91" s="4"/>
      <c r="L91" s="4"/>
    </row>
    <row r="92" spans="4:12" ht="15.75" customHeight="1">
      <c r="D92" s="4"/>
      <c r="E92" s="4"/>
      <c r="G92" s="4"/>
      <c r="L92" s="4"/>
    </row>
    <row r="93" spans="4:12" ht="15.75" customHeight="1">
      <c r="D93" s="4"/>
      <c r="E93" s="4"/>
      <c r="G93" s="4"/>
      <c r="L93" s="4"/>
    </row>
    <row r="94" spans="4:12" ht="15.75" customHeight="1">
      <c r="D94" s="4"/>
      <c r="E94" s="4"/>
      <c r="G94" s="4"/>
      <c r="L94" s="4"/>
    </row>
    <row r="95" spans="4:12" ht="15.75" customHeight="1">
      <c r="D95" s="4"/>
      <c r="E95" s="4"/>
      <c r="G95" s="4"/>
      <c r="L95" s="4"/>
    </row>
    <row r="96" spans="4:12" ht="15.75" customHeight="1">
      <c r="D96" s="4"/>
      <c r="E96" s="4"/>
      <c r="G96" s="4"/>
      <c r="L96" s="4"/>
    </row>
    <row r="97" spans="4:12" ht="15.75" customHeight="1">
      <c r="D97" s="4"/>
      <c r="E97" s="4"/>
      <c r="G97" s="4"/>
      <c r="L97" s="4"/>
    </row>
    <row r="98" spans="4:12" ht="15.75" customHeight="1">
      <c r="D98" s="4"/>
      <c r="E98" s="4"/>
      <c r="G98" s="4"/>
      <c r="L98" s="4"/>
    </row>
    <row r="99" spans="4:12" ht="15.75" customHeight="1">
      <c r="D99" s="4"/>
      <c r="E99" s="4"/>
      <c r="G99" s="4"/>
      <c r="L99" s="4"/>
    </row>
    <row r="100" spans="4:12" ht="15.75" customHeight="1">
      <c r="D100" s="4"/>
      <c r="E100" s="4"/>
      <c r="G100" s="4"/>
      <c r="L100" s="4"/>
    </row>
    <row r="101" spans="4:12" ht="15.75" customHeight="1"/>
    <row r="102" spans="4:12" ht="15.75" customHeight="1"/>
    <row r="103" spans="4:12" ht="15.75" customHeight="1"/>
    <row r="104" spans="4:12" ht="15.75" customHeight="1"/>
    <row r="105" spans="4:12" ht="15.75" customHeight="1"/>
    <row r="106" spans="4:12" ht="15.75" customHeight="1"/>
    <row r="107" spans="4:12" ht="15.75" customHeight="1"/>
    <row r="108" spans="4:12" ht="15.75" customHeight="1"/>
    <row r="109" spans="4:12" ht="15.75" customHeight="1"/>
    <row r="110" spans="4:12" ht="15.75" customHeight="1"/>
    <row r="111" spans="4:12" ht="15.75" customHeight="1"/>
    <row r="112" spans="4: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4.453125" defaultRowHeight="15" customHeight="1"/>
  <cols>
    <col min="1" max="11" width="8.7265625" customWidth="1"/>
  </cols>
  <sheetData>
    <row r="1" spans="1:11" ht="14.5">
      <c r="A1" s="62" t="s">
        <v>74</v>
      </c>
      <c r="B1" s="63">
        <v>40179</v>
      </c>
      <c r="C1" s="4"/>
      <c r="D1" s="4"/>
      <c r="E1" s="4"/>
      <c r="F1" s="4"/>
      <c r="G1" s="4"/>
      <c r="H1" s="4"/>
      <c r="I1" s="4"/>
      <c r="J1" s="4"/>
      <c r="K1" s="4"/>
    </row>
    <row r="2" spans="1:11" ht="14.5">
      <c r="A2" s="4"/>
      <c r="B2" s="4" t="s">
        <v>20</v>
      </c>
      <c r="C2" s="4" t="s">
        <v>10</v>
      </c>
      <c r="D2" s="4" t="s">
        <v>14</v>
      </c>
    </row>
    <row r="3" spans="1:11" ht="14.5">
      <c r="A3" s="4" t="s">
        <v>9</v>
      </c>
      <c r="B3" s="15">
        <v>8.8363619154022896E-2</v>
      </c>
      <c r="C3" s="15">
        <v>-0.151491364153789</v>
      </c>
      <c r="D3" s="15">
        <v>0.13358183339340399</v>
      </c>
    </row>
    <row r="4" spans="1:11" ht="14.5">
      <c r="A4" s="4" t="s">
        <v>20</v>
      </c>
      <c r="B4" s="15">
        <v>1</v>
      </c>
      <c r="C4" s="15">
        <v>9.81486299491766E-2</v>
      </c>
      <c r="D4" s="15">
        <v>0.17409503885588601</v>
      </c>
    </row>
    <row r="5" spans="1:11" ht="14.5">
      <c r="A5" s="4" t="s">
        <v>10</v>
      </c>
      <c r="B5" s="15">
        <v>0.15743642273504599</v>
      </c>
      <c r="C5" s="15">
        <v>1</v>
      </c>
      <c r="D5" s="15">
        <v>0.48734204708203599</v>
      </c>
    </row>
    <row r="6" spans="1:11" ht="14.5">
      <c r="A6" s="4" t="s">
        <v>14</v>
      </c>
      <c r="B6" s="15">
        <v>0.211951644728336</v>
      </c>
      <c r="C6" s="15">
        <v>0.36988209384246601</v>
      </c>
      <c r="D6" s="15">
        <v>1</v>
      </c>
    </row>
    <row r="7" spans="1:11" ht="14.5">
      <c r="A7" s="4" t="s">
        <v>19</v>
      </c>
      <c r="B7" s="15">
        <v>1.1032598491710599</v>
      </c>
      <c r="C7" s="15">
        <v>0.25907056004447199</v>
      </c>
      <c r="D7" s="15">
        <v>0.42765626494898001</v>
      </c>
    </row>
    <row r="8" spans="1:11" ht="14.5">
      <c r="A8" s="4" t="s">
        <v>13</v>
      </c>
      <c r="B8" s="15">
        <v>0.45307655490166998</v>
      </c>
      <c r="C8" s="15">
        <v>8.1742052260978207E-2</v>
      </c>
      <c r="D8" s="15">
        <v>0.15913902386590301</v>
      </c>
    </row>
    <row r="9" spans="1:11" ht="14.5">
      <c r="A9" s="4" t="s">
        <v>16</v>
      </c>
      <c r="B9" s="15">
        <v>0.95985998793451</v>
      </c>
      <c r="C9" s="15">
        <v>7.4880454613250602E-2</v>
      </c>
      <c r="D9" s="15">
        <v>0.10848484650859901</v>
      </c>
    </row>
    <row r="10" spans="1:11" ht="14.5">
      <c r="A10" s="4" t="s">
        <v>17</v>
      </c>
      <c r="B10" s="15">
        <v>0.524043493240686</v>
      </c>
      <c r="C10" s="15">
        <v>6.9683598711698796E-2</v>
      </c>
      <c r="D10" s="15">
        <v>9.0560101553886593E-2</v>
      </c>
    </row>
    <row r="11" spans="1:11" ht="14.5">
      <c r="A11" s="4" t="s">
        <v>15</v>
      </c>
      <c r="B11" s="15">
        <v>1.1676715478264199</v>
      </c>
      <c r="C11" s="15">
        <v>0.30654108719175799</v>
      </c>
      <c r="D11" s="15">
        <v>0.51567664526228796</v>
      </c>
    </row>
    <row r="12" spans="1:11" ht="14.5">
      <c r="A12" s="4" t="s">
        <v>18</v>
      </c>
      <c r="B12" s="15">
        <v>0.77046775743178997</v>
      </c>
      <c r="C12" s="15">
        <v>0.15876100440722901</v>
      </c>
      <c r="D12" s="15">
        <v>0.18695250035945399</v>
      </c>
    </row>
    <row r="13" spans="1:11" ht="14.5">
      <c r="A13" s="4" t="s">
        <v>11</v>
      </c>
      <c r="B13" s="15">
        <v>0.27083084484242498</v>
      </c>
      <c r="C13" s="15">
        <v>0.24531328073466099</v>
      </c>
      <c r="D13" s="15">
        <v>0.82233353607652304</v>
      </c>
    </row>
    <row r="14" spans="1:11" ht="14.5">
      <c r="A14" s="4" t="s">
        <v>12</v>
      </c>
      <c r="B14" s="15">
        <v>0.107490055967637</v>
      </c>
      <c r="C14" s="15">
        <v>7.8730227643679707E-2</v>
      </c>
      <c r="D14" s="15">
        <v>0.15387059728765001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1.81640625" customWidth="1"/>
    <col min="3" max="6" width="8.7265625" customWidth="1"/>
  </cols>
  <sheetData>
    <row r="1" spans="1:2" ht="14.5">
      <c r="A1" s="62" t="s">
        <v>74</v>
      </c>
      <c r="B1" s="63">
        <v>44197</v>
      </c>
    </row>
    <row r="2" spans="1:2" ht="14.5">
      <c r="A2" s="4" t="s">
        <v>16</v>
      </c>
      <c r="B2" s="15">
        <v>0.37639471300157801</v>
      </c>
    </row>
    <row r="3" spans="1:2" ht="14.5">
      <c r="A3" s="4" t="s">
        <v>19</v>
      </c>
      <c r="B3" s="15">
        <v>0</v>
      </c>
    </row>
    <row r="4" spans="1:2" ht="14.5">
      <c r="A4" s="4" t="s">
        <v>18</v>
      </c>
      <c r="B4" s="15">
        <v>0</v>
      </c>
    </row>
    <row r="5" spans="1:2" ht="14.5">
      <c r="A5" s="4" t="s">
        <v>15</v>
      </c>
      <c r="B5" s="15">
        <v>0</v>
      </c>
    </row>
    <row r="6" spans="1:2" ht="14.5">
      <c r="A6" s="4" t="s">
        <v>13</v>
      </c>
      <c r="B6" s="15">
        <v>0.35648312666953402</v>
      </c>
    </row>
    <row r="7" spans="1:2" ht="14.5">
      <c r="A7" s="4" t="s">
        <v>17</v>
      </c>
      <c r="B7" s="15">
        <v>0.17925537350522699</v>
      </c>
    </row>
    <row r="8" spans="1:2" ht="14.5">
      <c r="A8" s="4" t="s">
        <v>12</v>
      </c>
      <c r="B8" s="15">
        <v>0</v>
      </c>
    </row>
    <row r="9" spans="1:2" ht="14.5">
      <c r="A9" s="4" t="s">
        <v>11</v>
      </c>
      <c r="B9" s="15">
        <v>8.78667868240567E-2</v>
      </c>
    </row>
    <row r="10" spans="1:2" ht="14.5">
      <c r="A10" s="4" t="s">
        <v>9</v>
      </c>
      <c r="B10" s="15">
        <v>0</v>
      </c>
    </row>
    <row r="11" spans="1:2" ht="14.5">
      <c r="A11" s="4" t="s">
        <v>20</v>
      </c>
      <c r="B11" s="66">
        <v>1.22312709548329E-14</v>
      </c>
    </row>
    <row r="12" spans="1:2" ht="14.5">
      <c r="A12" s="4" t="s">
        <v>14</v>
      </c>
      <c r="B12" s="66">
        <v>7.8797781017173003E-16</v>
      </c>
    </row>
    <row r="13" spans="1:2" ht="14.5">
      <c r="A13" s="4" t="s">
        <v>10</v>
      </c>
      <c r="B13" s="15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MyPortfolio</vt:lpstr>
      <vt:lpstr>correlation</vt:lpstr>
      <vt:lpstr>lognormal</vt:lpstr>
      <vt:lpstr>beta</vt:lpstr>
      <vt:lpstr>tangentPorfolio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Sheung KAM (Raymond) WONG</dc:creator>
  <cp:lastModifiedBy>raymond</cp:lastModifiedBy>
  <dcterms:created xsi:type="dcterms:W3CDTF">2015-06-05T18:17:20Z</dcterms:created>
  <dcterms:modified xsi:type="dcterms:W3CDTF">2021-07-30T17:12:14Z</dcterms:modified>
</cp:coreProperties>
</file>