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aymond\Desktop\MyPortfolio\"/>
    </mc:Choice>
  </mc:AlternateContent>
  <xr:revisionPtr revIDLastSave="0" documentId="13_ncr:1_{BB847766-E2ED-4243-923F-82E26210F9C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MyPortfolio" sheetId="2" r:id="rId1"/>
    <sheet name="correlation" sheetId="33" r:id="rId2"/>
    <sheet name="lognormal" sheetId="35" r:id="rId3"/>
    <sheet name="beta" sheetId="34" r:id="rId4"/>
    <sheet name="tangentPorfolio" sheetId="36" r:id="rId5"/>
    <sheet name="Prob" sheetId="1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5" i="2" l="1"/>
  <c r="Z6" i="2"/>
  <c r="Z7" i="2"/>
  <c r="Z8" i="2"/>
  <c r="Z9" i="2"/>
  <c r="Z10" i="2"/>
  <c r="Z11" i="2"/>
  <c r="Z12" i="2"/>
  <c r="Z13" i="2"/>
  <c r="Z14" i="2"/>
  <c r="Z15" i="2"/>
  <c r="Z4" i="2"/>
  <c r="D3" i="11" l="1"/>
  <c r="AD51" i="2"/>
  <c r="AC51" i="2"/>
  <c r="K4" i="35"/>
  <c r="K5" i="35"/>
  <c r="M5" i="35" s="1"/>
  <c r="K6" i="35"/>
  <c r="K7" i="35"/>
  <c r="E13" i="35" s="1"/>
  <c r="K8" i="35"/>
  <c r="K9" i="35"/>
  <c r="K10" i="35"/>
  <c r="K11" i="35"/>
  <c r="M11" i="35" s="1"/>
  <c r="K12" i="35"/>
  <c r="K13" i="35"/>
  <c r="K14" i="35"/>
  <c r="K3" i="35"/>
  <c r="D5" i="35" s="1"/>
  <c r="C4" i="35"/>
  <c r="E4" i="35" s="1"/>
  <c r="C5" i="35"/>
  <c r="C6" i="35"/>
  <c r="L10" i="35" s="1"/>
  <c r="C7" i="35"/>
  <c r="C8" i="35"/>
  <c r="E8" i="35" s="1"/>
  <c r="C9" i="35"/>
  <c r="C10" i="35"/>
  <c r="F10" i="35" s="1"/>
  <c r="C11" i="35"/>
  <c r="C12" i="35"/>
  <c r="F12" i="35" s="1"/>
  <c r="C13" i="35"/>
  <c r="C14" i="35"/>
  <c r="F14" i="35" s="1"/>
  <c r="C3" i="35"/>
  <c r="L11" i="35" s="1"/>
  <c r="L3" i="35"/>
  <c r="L7" i="35"/>
  <c r="L9" i="35"/>
  <c r="L14" i="35"/>
  <c r="M10" i="35"/>
  <c r="M7" i="35"/>
  <c r="AC37" i="2"/>
  <c r="AD37" i="2"/>
  <c r="AE37" i="2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E6" i="35"/>
  <c r="F7" i="35"/>
  <c r="F13" i="35"/>
  <c r="V23" i="2"/>
  <c r="AA3" i="2"/>
  <c r="AA5" i="2"/>
  <c r="AA6" i="2"/>
  <c r="AA7" i="2"/>
  <c r="AA8" i="2"/>
  <c r="AA9" i="2"/>
  <c r="AA10" i="2"/>
  <c r="AA11" i="2"/>
  <c r="AA12" i="2"/>
  <c r="AA13" i="2"/>
  <c r="AA14" i="2"/>
  <c r="AA15" i="2"/>
  <c r="AA4" i="2"/>
  <c r="F5" i="35"/>
  <c r="AB18" i="2"/>
  <c r="AC18" i="2" s="1"/>
  <c r="AB17" i="2"/>
  <c r="AB5" i="2"/>
  <c r="AC5" i="2" s="1"/>
  <c r="AB6" i="2"/>
  <c r="AC6" i="2" s="1"/>
  <c r="AB7" i="2"/>
  <c r="AC7" i="2" s="1"/>
  <c r="AB8" i="2"/>
  <c r="AC8" i="2" s="1"/>
  <c r="AB9" i="2"/>
  <c r="AC9" i="2" s="1"/>
  <c r="AB10" i="2"/>
  <c r="AC10" i="2" s="1"/>
  <c r="AB11" i="2"/>
  <c r="AC11" i="2" s="1"/>
  <c r="AB12" i="2"/>
  <c r="AC12" i="2" s="1"/>
  <c r="AB13" i="2"/>
  <c r="AC13" i="2" s="1"/>
  <c r="AB14" i="2"/>
  <c r="AC14" i="2" s="1"/>
  <c r="AB15" i="2"/>
  <c r="AC15" i="2" s="1"/>
  <c r="AB4" i="2"/>
  <c r="AC4" i="2" s="1"/>
  <c r="S4" i="2"/>
  <c r="T4" i="2"/>
  <c r="S5" i="2"/>
  <c r="T5" i="2"/>
  <c r="S6" i="2"/>
  <c r="T6" i="2"/>
  <c r="S7" i="2"/>
  <c r="T7" i="2"/>
  <c r="S8" i="2"/>
  <c r="T8" i="2"/>
  <c r="S9" i="2"/>
  <c r="T9" i="2"/>
  <c r="S10" i="2"/>
  <c r="T10" i="2"/>
  <c r="S11" i="2"/>
  <c r="T11" i="2"/>
  <c r="S12" i="2"/>
  <c r="T12" i="2"/>
  <c r="S13" i="2"/>
  <c r="T13" i="2"/>
  <c r="S14" i="2"/>
  <c r="T14" i="2"/>
  <c r="S15" i="2"/>
  <c r="T15" i="2"/>
  <c r="O5" i="2"/>
  <c r="O6" i="2"/>
  <c r="O7" i="2"/>
  <c r="O8" i="2"/>
  <c r="O9" i="2"/>
  <c r="O10" i="2"/>
  <c r="O11" i="2"/>
  <c r="O12" i="2"/>
  <c r="O13" i="2"/>
  <c r="O14" i="2"/>
  <c r="O15" i="2"/>
  <c r="O4" i="2"/>
  <c r="D16" i="33"/>
  <c r="E16" i="33"/>
  <c r="F16" i="33"/>
  <c r="G16" i="33"/>
  <c r="H16" i="33"/>
  <c r="I16" i="33"/>
  <c r="J16" i="33"/>
  <c r="K16" i="33"/>
  <c r="L16" i="33"/>
  <c r="M16" i="33"/>
  <c r="N16" i="33"/>
  <c r="C16" i="33"/>
  <c r="E5" i="35" l="1"/>
  <c r="L8" i="35"/>
  <c r="Q4" i="2"/>
  <c r="L6" i="35"/>
  <c r="F4" i="35"/>
  <c r="L5" i="35"/>
  <c r="E12" i="35"/>
  <c r="F11" i="35"/>
  <c r="D9" i="35"/>
  <c r="D7" i="35"/>
  <c r="Q12" i="2"/>
  <c r="R12" i="2" s="1"/>
  <c r="F3" i="35"/>
  <c r="L13" i="35"/>
  <c r="L4" i="35"/>
  <c r="L12" i="35"/>
  <c r="D8" i="35"/>
  <c r="D14" i="35"/>
  <c r="D6" i="35"/>
  <c r="E10" i="35"/>
  <c r="M3" i="35"/>
  <c r="D13" i="35"/>
  <c r="E9" i="35"/>
  <c r="D12" i="35"/>
  <c r="D4" i="35"/>
  <c r="D3" i="35"/>
  <c r="E11" i="35"/>
  <c r="D11" i="35"/>
  <c r="E3" i="35"/>
  <c r="E7" i="35"/>
  <c r="D10" i="35"/>
  <c r="E14" i="35"/>
  <c r="M4" i="35"/>
  <c r="R4" i="2"/>
  <c r="Q8" i="2"/>
  <c r="R8" i="2" s="1"/>
  <c r="Q14" i="2"/>
  <c r="R14" i="2" s="1"/>
  <c r="Q10" i="2"/>
  <c r="R10" i="2" s="1"/>
  <c r="Q15" i="2"/>
  <c r="R15" i="2" s="1"/>
  <c r="Q11" i="2"/>
  <c r="R11" i="2" s="1"/>
  <c r="Q13" i="2"/>
  <c r="R13" i="2" s="1"/>
  <c r="Q5" i="2"/>
  <c r="R5" i="2" s="1"/>
  <c r="Q9" i="2"/>
  <c r="R9" i="2" s="1"/>
  <c r="Q7" i="2"/>
  <c r="R7" i="2" s="1"/>
  <c r="Q6" i="2"/>
  <c r="R6" i="2" s="1"/>
  <c r="AA16" i="2"/>
  <c r="M12" i="35"/>
  <c r="F9" i="35"/>
  <c r="M9" i="35"/>
  <c r="F8" i="35"/>
  <c r="M8" i="35"/>
  <c r="F6" i="35"/>
  <c r="M14" i="35"/>
  <c r="M6" i="35"/>
  <c r="M13" i="35"/>
  <c r="AC17" i="2"/>
  <c r="AC19" i="2"/>
  <c r="P16" i="33"/>
  <c r="J17" i="35" l="1"/>
  <c r="J19" i="35" s="1"/>
  <c r="D4" i="11"/>
  <c r="AC20" i="2" l="1"/>
  <c r="Y4" i="2" l="1"/>
  <c r="Y9" i="2"/>
  <c r="Y10" i="2"/>
  <c r="Y14" i="2"/>
  <c r="Y6" i="2"/>
  <c r="Y8" i="2"/>
  <c r="Y7" i="2"/>
  <c r="Y11" i="2"/>
  <c r="Y12" i="2"/>
  <c r="Y13" i="2"/>
  <c r="Y5" i="2"/>
  <c r="Y15" i="2"/>
  <c r="D5" i="11"/>
  <c r="L20" i="2" l="1"/>
  <c r="K14" i="2"/>
  <c r="G14" i="2"/>
  <c r="C14" i="2"/>
  <c r="H14" i="2"/>
  <c r="L14" i="2"/>
  <c r="F14" i="2"/>
  <c r="B14" i="2"/>
  <c r="I14" i="2"/>
  <c r="D14" i="2"/>
  <c r="J14" i="2"/>
  <c r="M14" i="2"/>
  <c r="E14" i="2"/>
  <c r="J11" i="2"/>
  <c r="K11" i="2"/>
  <c r="M11" i="2"/>
  <c r="I20" i="2"/>
  <c r="B11" i="2"/>
  <c r="I11" i="2"/>
  <c r="C11" i="2"/>
  <c r="G11" i="2"/>
  <c r="E11" i="2"/>
  <c r="F11" i="2"/>
  <c r="D11" i="2"/>
  <c r="L11" i="2"/>
  <c r="H11" i="2"/>
  <c r="L15" i="2"/>
  <c r="G15" i="2"/>
  <c r="E15" i="2"/>
  <c r="H15" i="2"/>
  <c r="D15" i="2"/>
  <c r="M20" i="2"/>
  <c r="I15" i="2"/>
  <c r="M15" i="2"/>
  <c r="J15" i="2"/>
  <c r="B15" i="2"/>
  <c r="K15" i="2"/>
  <c r="C15" i="2"/>
  <c r="G20" i="2"/>
  <c r="L9" i="2"/>
  <c r="D9" i="2"/>
  <c r="I9" i="2"/>
  <c r="M9" i="2"/>
  <c r="J9" i="2"/>
  <c r="B9" i="2"/>
  <c r="E9" i="2"/>
  <c r="C9" i="2"/>
  <c r="K9" i="2"/>
  <c r="G9" i="2"/>
  <c r="H9" i="2"/>
  <c r="E20" i="2"/>
  <c r="D7" i="2"/>
  <c r="K7" i="2"/>
  <c r="M7" i="2"/>
  <c r="G7" i="2"/>
  <c r="E7" i="2"/>
  <c r="L7" i="2"/>
  <c r="J7" i="2"/>
  <c r="H7" i="2"/>
  <c r="C7" i="2"/>
  <c r="B7" i="2"/>
  <c r="I7" i="2"/>
  <c r="D20" i="2"/>
  <c r="C6" i="2"/>
  <c r="L6" i="2"/>
  <c r="G6" i="2"/>
  <c r="E6" i="2"/>
  <c r="D6" i="2"/>
  <c r="H6" i="2"/>
  <c r="I6" i="2"/>
  <c r="M6" i="2"/>
  <c r="B6" i="2"/>
  <c r="K6" i="2"/>
  <c r="J6" i="2"/>
  <c r="K5" i="2"/>
  <c r="H5" i="2"/>
  <c r="C5" i="2"/>
  <c r="I5" i="2"/>
  <c r="B5" i="2"/>
  <c r="L5" i="2"/>
  <c r="G5" i="2"/>
  <c r="D5" i="2"/>
  <c r="J5" i="2"/>
  <c r="E5" i="2"/>
  <c r="C20" i="2"/>
  <c r="M5" i="2"/>
  <c r="H20" i="2"/>
  <c r="H10" i="2"/>
  <c r="L10" i="2"/>
  <c r="I10" i="2"/>
  <c r="D10" i="2"/>
  <c r="G10" i="2"/>
  <c r="J10" i="2"/>
  <c r="C10" i="2"/>
  <c r="B10" i="2"/>
  <c r="E10" i="2"/>
  <c r="K10" i="2"/>
  <c r="M10" i="2"/>
  <c r="I13" i="2"/>
  <c r="J13" i="2"/>
  <c r="B13" i="2"/>
  <c r="K13" i="2"/>
  <c r="E13" i="2"/>
  <c r="L13" i="2"/>
  <c r="M13" i="2"/>
  <c r="C13" i="2"/>
  <c r="D13" i="2"/>
  <c r="K20" i="2"/>
  <c r="H13" i="2"/>
  <c r="G13" i="2"/>
  <c r="I12" i="2"/>
  <c r="J12" i="2"/>
  <c r="J20" i="2"/>
  <c r="K12" i="2"/>
  <c r="B12" i="2"/>
  <c r="M12" i="2"/>
  <c r="E12" i="2"/>
  <c r="L12" i="2"/>
  <c r="H12" i="2"/>
  <c r="G12" i="2"/>
  <c r="D12" i="2"/>
  <c r="C12" i="2"/>
  <c r="B4" i="2"/>
  <c r="I4" i="2"/>
  <c r="K4" i="2"/>
  <c r="J4" i="2"/>
  <c r="H4" i="2"/>
  <c r="M4" i="2"/>
  <c r="C4" i="2"/>
  <c r="D4" i="2"/>
  <c r="F4" i="2"/>
  <c r="G4" i="2"/>
  <c r="B20" i="2"/>
  <c r="L4" i="2"/>
  <c r="E4" i="2"/>
  <c r="P9" i="2"/>
  <c r="P12" i="2"/>
  <c r="P11" i="2"/>
  <c r="P6" i="2"/>
  <c r="P14" i="2"/>
  <c r="P13" i="2"/>
  <c r="P4" i="2"/>
  <c r="P7" i="2"/>
  <c r="P15" i="2"/>
  <c r="P5" i="2"/>
  <c r="P10" i="2"/>
  <c r="F12" i="2"/>
  <c r="Y16" i="2"/>
  <c r="D6" i="11"/>
  <c r="F10" i="2" l="1"/>
  <c r="F9" i="2"/>
  <c r="F15" i="2"/>
  <c r="F20" i="2"/>
  <c r="AC31" i="2" s="1"/>
  <c r="B8" i="2"/>
  <c r="J8" i="2"/>
  <c r="D8" i="2"/>
  <c r="E8" i="2"/>
  <c r="G8" i="2"/>
  <c r="L8" i="2"/>
  <c r="F8" i="2"/>
  <c r="H8" i="2"/>
  <c r="M8" i="2"/>
  <c r="C8" i="2"/>
  <c r="I8" i="2"/>
  <c r="K8" i="2"/>
  <c r="F13" i="2"/>
  <c r="F7" i="2"/>
  <c r="F5" i="2"/>
  <c r="F6" i="2"/>
  <c r="P8" i="2"/>
  <c r="O17" i="2" s="1"/>
  <c r="Z16" i="2"/>
  <c r="D7" i="11"/>
  <c r="Q17" i="2" l="1"/>
  <c r="R17" i="2" s="1"/>
  <c r="O18" i="2"/>
  <c r="O19" i="2" s="1"/>
  <c r="AC53" i="2"/>
  <c r="AD31" i="2"/>
  <c r="D8" i="11"/>
  <c r="AC56" i="2" l="1"/>
  <c r="P19" i="2"/>
  <c r="AD56" i="2" s="1"/>
  <c r="AD53" i="2"/>
  <c r="AC54" i="2"/>
  <c r="D9" i="11"/>
  <c r="AD54" i="2" l="1"/>
  <c r="AD58" i="2" s="1"/>
  <c r="D10" i="11"/>
  <c r="D11" i="11" l="1"/>
  <c r="D12" i="11" l="1"/>
  <c r="D13" i="11" l="1"/>
  <c r="D14" i="11" l="1"/>
  <c r="D15" i="11" l="1"/>
  <c r="D16" i="11" l="1"/>
  <c r="D17" i="11" l="1"/>
  <c r="N10" i="2" l="1"/>
  <c r="N9" i="2"/>
  <c r="D18" i="11"/>
  <c r="N15" i="2" l="1"/>
  <c r="N12" i="2"/>
  <c r="N14" i="2"/>
  <c r="N5" i="2"/>
  <c r="N11" i="2"/>
  <c r="N13" i="2"/>
  <c r="N6" i="2"/>
  <c r="N8" i="2"/>
  <c r="N7" i="2"/>
  <c r="N4" i="2"/>
  <c r="D19" i="11"/>
  <c r="AC23" i="2" l="1"/>
  <c r="AC26" i="2" s="1"/>
  <c r="D20" i="11"/>
  <c r="AC27" i="2" l="1"/>
  <c r="AC24" i="2"/>
  <c r="D21" i="11"/>
  <c r="AD24" i="2" l="1"/>
  <c r="AC55" i="2"/>
  <c r="AC57" i="2" s="1"/>
  <c r="AC40" i="2"/>
  <c r="AE38" i="2"/>
  <c r="AE39" i="2" s="1"/>
  <c r="AD38" i="2"/>
  <c r="AD39" i="2" s="1"/>
  <c r="AC38" i="2"/>
  <c r="AC39" i="2" s="1"/>
  <c r="AD40" i="2"/>
  <c r="AE40" i="2"/>
  <c r="AC22" i="2"/>
  <c r="AC30" i="2"/>
  <c r="B6" i="11" s="1"/>
  <c r="AC34" i="2"/>
  <c r="D22" i="11"/>
  <c r="AD22" i="2" l="1"/>
  <c r="B13" i="11"/>
  <c r="E4" i="11"/>
  <c r="AD55" i="2"/>
  <c r="AD57" i="2" s="1"/>
  <c r="AC42" i="2"/>
  <c r="AC43" i="2" s="1"/>
  <c r="AD42" i="2"/>
  <c r="AD43" i="2" s="1"/>
  <c r="AE42" i="2"/>
  <c r="AE43" i="2" s="1"/>
  <c r="AD30" i="2"/>
  <c r="AE41" i="2"/>
  <c r="AD41" i="2"/>
  <c r="AC41" i="2"/>
  <c r="D23" i="11"/>
  <c r="E3" i="11" l="1"/>
  <c r="D24" i="11"/>
  <c r="AC58" i="2" l="1"/>
  <c r="D25" i="11"/>
  <c r="D26" i="11" l="1"/>
  <c r="D27" i="11" l="1"/>
  <c r="D28" i="11" l="1"/>
  <c r="D29" i="11" l="1"/>
  <c r="D30" i="11" l="1"/>
  <c r="D31" i="11" l="1"/>
  <c r="D32" i="11" l="1"/>
  <c r="D33" i="11" l="1"/>
  <c r="D34" i="11" l="1"/>
  <c r="D35" i="11" l="1"/>
  <c r="D36" i="11" l="1"/>
  <c r="D37" i="11" l="1"/>
  <c r="D38" i="11" l="1"/>
  <c r="D39" i="11" l="1"/>
  <c r="D40" i="11" l="1"/>
  <c r="D41" i="11" l="1"/>
  <c r="D42" i="11" l="1"/>
  <c r="D43" i="11" l="1"/>
  <c r="D44" i="11" l="1"/>
  <c r="D45" i="11" l="1"/>
  <c r="D46" i="11" l="1"/>
  <c r="D47" i="11" l="1"/>
  <c r="D48" i="11" l="1"/>
  <c r="D49" i="11" l="1"/>
  <c r="D50" i="11" l="1"/>
  <c r="E50" i="11" s="1"/>
  <c r="D51" i="11" l="1"/>
  <c r="E51" i="11" s="1"/>
  <c r="D52" i="11" l="1"/>
  <c r="E52" i="11" s="1"/>
  <c r="E49" i="11"/>
  <c r="D53" i="11" l="1"/>
  <c r="E53" i="11" s="1"/>
  <c r="E47" i="11"/>
  <c r="E48" i="11"/>
  <c r="D54" i="11" l="1"/>
  <c r="E54" i="11" s="1"/>
  <c r="E46" i="11"/>
  <c r="D55" i="11" l="1"/>
  <c r="E55" i="11" s="1"/>
  <c r="D56" i="11" l="1"/>
  <c r="E56" i="11" s="1"/>
  <c r="E44" i="11"/>
  <c r="E45" i="11"/>
  <c r="D57" i="11" l="1"/>
  <c r="E57" i="11" s="1"/>
  <c r="E43" i="11"/>
  <c r="D58" i="11" l="1"/>
  <c r="E58" i="11" s="1"/>
  <c r="E42" i="11"/>
  <c r="D59" i="11" l="1"/>
  <c r="E59" i="11" s="1"/>
  <c r="D60" i="11" l="1"/>
  <c r="E60" i="11" s="1"/>
  <c r="E41" i="11"/>
  <c r="D61" i="11" l="1"/>
  <c r="E61" i="11" s="1"/>
  <c r="E39" i="11"/>
  <c r="E40" i="11"/>
  <c r="D62" i="11" l="1"/>
  <c r="E62" i="11" s="1"/>
  <c r="E38" i="11"/>
  <c r="D63" i="11" l="1"/>
  <c r="E63" i="11" s="1"/>
  <c r="E37" i="11"/>
  <c r="D64" i="11" l="1"/>
  <c r="E64" i="11" s="1"/>
  <c r="E36" i="11"/>
  <c r="D65" i="11" l="1"/>
  <c r="E65" i="11" s="1"/>
  <c r="E35" i="11"/>
  <c r="D66" i="11" l="1"/>
  <c r="E66" i="11" s="1"/>
  <c r="E34" i="11"/>
  <c r="D67" i="11" l="1"/>
  <c r="E67" i="11" s="1"/>
  <c r="D68" i="11" l="1"/>
  <c r="E68" i="11" s="1"/>
  <c r="E33" i="11"/>
  <c r="D69" i="11" l="1"/>
  <c r="E69" i="11" s="1"/>
  <c r="E31" i="11"/>
  <c r="E32" i="11"/>
  <c r="D70" i="11" l="1"/>
  <c r="E70" i="11" s="1"/>
  <c r="E30" i="11"/>
  <c r="D71" i="11" l="1"/>
  <c r="E71" i="11" s="1"/>
  <c r="D72" i="11" l="1"/>
  <c r="E72" i="11" s="1"/>
  <c r="E28" i="11"/>
  <c r="E29" i="11"/>
  <c r="D73" i="11" l="1"/>
  <c r="E73" i="11" s="1"/>
  <c r="E27" i="11"/>
  <c r="D74" i="11" l="1"/>
  <c r="E74" i="11" s="1"/>
  <c r="E26" i="11"/>
  <c r="D75" i="11" l="1"/>
  <c r="E75" i="11" s="1"/>
  <c r="D76" i="11" l="1"/>
  <c r="E76" i="11" s="1"/>
  <c r="E25" i="11"/>
  <c r="D77" i="11" l="1"/>
  <c r="E77" i="11" s="1"/>
  <c r="E23" i="11"/>
  <c r="E24" i="11"/>
  <c r="D78" i="11" l="1"/>
  <c r="E78" i="11" s="1"/>
  <c r="E22" i="11"/>
  <c r="D79" i="11" l="1"/>
  <c r="E79" i="11" s="1"/>
  <c r="D80" i="11" l="1"/>
  <c r="E80" i="11" s="1"/>
  <c r="E20" i="11"/>
  <c r="E21" i="11"/>
  <c r="D81" i="11" l="1"/>
  <c r="E81" i="11" s="1"/>
  <c r="E19" i="11"/>
  <c r="D82" i="11" l="1"/>
  <c r="E82" i="11" s="1"/>
  <c r="E18" i="11"/>
  <c r="D83" i="11" l="1"/>
  <c r="E83" i="11" s="1"/>
  <c r="D84" i="11" l="1"/>
  <c r="E84" i="11" s="1"/>
  <c r="E17" i="11"/>
  <c r="D85" i="11" l="1"/>
  <c r="E85" i="11" s="1"/>
  <c r="E16" i="11"/>
  <c r="D86" i="11" l="1"/>
  <c r="E86" i="11" s="1"/>
  <c r="E15" i="11"/>
  <c r="D87" i="11" l="1"/>
  <c r="E87" i="11" s="1"/>
  <c r="E13" i="11"/>
  <c r="E14" i="11"/>
  <c r="D88" i="11" l="1"/>
  <c r="E88" i="11" s="1"/>
  <c r="E12" i="11"/>
  <c r="D89" i="11" l="1"/>
  <c r="E89" i="11" s="1"/>
  <c r="E11" i="11"/>
  <c r="D90" i="11" l="1"/>
  <c r="E90" i="11" s="1"/>
  <c r="E10" i="11"/>
  <c r="D91" i="11" l="1"/>
  <c r="E91" i="11" s="1"/>
  <c r="D92" i="11" l="1"/>
  <c r="E92" i="11" s="1"/>
  <c r="E9" i="11"/>
  <c r="D93" i="11" l="1"/>
  <c r="E93" i="11" s="1"/>
  <c r="E7" i="11"/>
  <c r="E8" i="11"/>
  <c r="D94" i="11" l="1"/>
  <c r="E94" i="11" s="1"/>
  <c r="E6" i="11"/>
  <c r="D95" i="11" l="1"/>
  <c r="E95" i="11" s="1"/>
  <c r="D96" i="11" l="1"/>
  <c r="E96" i="11" s="1"/>
  <c r="E5" i="11"/>
  <c r="D97" i="11" l="1"/>
  <c r="E97" i="11" s="1"/>
  <c r="D98" i="11" l="1"/>
  <c r="E98" i="11" s="1"/>
  <c r="D99" i="11" l="1"/>
  <c r="E99" i="11" s="1"/>
  <c r="D100" i="11" l="1"/>
  <c r="E100" i="11" s="1"/>
  <c r="D101" i="11" l="1"/>
  <c r="E101" i="11" s="1"/>
  <c r="D102" i="11" l="1"/>
  <c r="E102" i="11" s="1"/>
  <c r="D103" i="11" l="1"/>
  <c r="E103" i="11" s="1"/>
  <c r="D104" i="11" l="1"/>
  <c r="E104" i="11" s="1"/>
  <c r="D105" i="11" l="1"/>
  <c r="E105" i="11" s="1"/>
  <c r="D106" i="11" l="1"/>
  <c r="E106" i="11" s="1"/>
  <c r="D107" i="11" l="1"/>
  <c r="E107" i="11" s="1"/>
  <c r="D108" i="11" l="1"/>
  <c r="E108" i="11" s="1"/>
  <c r="D109" i="11" l="1"/>
  <c r="E109" i="11" s="1"/>
  <c r="D110" i="11" l="1"/>
  <c r="E110" i="11" s="1"/>
  <c r="D111" i="11" l="1"/>
  <c r="E111" i="11" s="1"/>
  <c r="D112" i="11" l="1"/>
  <c r="E112" i="11" s="1"/>
  <c r="D113" i="11" l="1"/>
  <c r="E113" i="11" s="1"/>
  <c r="D114" i="11" l="1"/>
  <c r="E114" i="11" s="1"/>
  <c r="D115" i="11" l="1"/>
  <c r="E115" i="11" s="1"/>
  <c r="D116" i="11" l="1"/>
  <c r="E116" i="11" s="1"/>
  <c r="D117" i="11" l="1"/>
  <c r="E117" i="11" s="1"/>
  <c r="D118" i="11" l="1"/>
  <c r="E118" i="11" s="1"/>
  <c r="D119" i="11" l="1"/>
  <c r="E119" i="11" s="1"/>
  <c r="D120" i="11" l="1"/>
  <c r="E120" i="11" s="1"/>
  <c r="D121" i="11" l="1"/>
  <c r="E121" i="11" s="1"/>
  <c r="D122" i="11" l="1"/>
  <c r="E122" i="11" s="1"/>
  <c r="D123" i="11" l="1"/>
  <c r="E123" i="11" s="1"/>
  <c r="D124" i="11" l="1"/>
  <c r="E124" i="11" s="1"/>
  <c r="D125" i="11" l="1"/>
  <c r="E125" i="11" s="1"/>
  <c r="D126" i="11" l="1"/>
  <c r="E126" i="11" s="1"/>
  <c r="D127" i="11" l="1"/>
  <c r="E127" i="11" s="1"/>
  <c r="D128" i="11" l="1"/>
  <c r="E128" i="11" s="1"/>
  <c r="D129" i="11" l="1"/>
  <c r="E129" i="11" s="1"/>
  <c r="D130" i="11" l="1"/>
  <c r="E130" i="11" s="1"/>
  <c r="D131" i="11" l="1"/>
  <c r="E131" i="11" s="1"/>
  <c r="D132" i="11" l="1"/>
  <c r="E132" i="11" s="1"/>
  <c r="D133" i="11" l="1"/>
  <c r="E133" i="11" s="1"/>
  <c r="D134" i="11" l="1"/>
  <c r="E134" i="11" s="1"/>
  <c r="D135" i="11" l="1"/>
  <c r="E135" i="11" s="1"/>
  <c r="D136" i="11" l="1"/>
  <c r="E136" i="11" s="1"/>
  <c r="D137" i="11" l="1"/>
  <c r="E137" i="11" s="1"/>
  <c r="D138" i="11" l="1"/>
  <c r="E138" i="11" s="1"/>
  <c r="D139" i="11" l="1"/>
  <c r="E139" i="11" s="1"/>
  <c r="D140" i="11" l="1"/>
  <c r="E140" i="11" s="1"/>
  <c r="D141" i="11" l="1"/>
  <c r="E141" i="11" s="1"/>
  <c r="D142" i="11" l="1"/>
  <c r="E142" i="11" s="1"/>
  <c r="D143" i="11" l="1"/>
  <c r="E143" i="11" s="1"/>
  <c r="D144" i="11" l="1"/>
  <c r="E144" i="11" s="1"/>
  <c r="D145" i="11" l="1"/>
  <c r="E145" i="11" s="1"/>
  <c r="D146" i="11" l="1"/>
  <c r="E146" i="11" s="1"/>
  <c r="D147" i="11" l="1"/>
  <c r="E147" i="11" s="1"/>
  <c r="D148" i="11" l="1"/>
  <c r="E148" i="11" s="1"/>
  <c r="D149" i="11" l="1"/>
  <c r="E149" i="11" s="1"/>
  <c r="D150" i="11" l="1"/>
  <c r="E150" i="11" s="1"/>
  <c r="D151" i="11" l="1"/>
  <c r="E151" i="11" s="1"/>
  <c r="D152" i="11" l="1"/>
  <c r="E152" i="11" s="1"/>
  <c r="D153" i="11" l="1"/>
  <c r="E153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AE9C8A-3D61-407F-88BD-C4723E5D26FE}" keepAlive="1" name="Query - delivery" description="Connection to the 'delivery' query in the workbook." type="5" refreshedVersion="6" background="1">
    <dbPr connection="Provider=Microsoft.Mashup.OleDb.1;Data Source=$Workbook$;Location=delivery;Extended Properties=&quot;&quot;" command="SELECT * FROM [delivery]"/>
  </connection>
  <connection id="2" xr16:uid="{98EACCB0-A5F7-4B1E-8BDD-9A70B35706DB}" keepAlive="1" name="Query - delivery (2)" description="Connection to the 'delivery (2)' query in the workbook." type="5" refreshedVersion="6" background="1" saveData="1">
    <dbPr connection="Provider=Microsoft.Mashup.OleDb.1;Data Source=$Workbook$;Location=&quot;delivery (2)&quot;;Extended Properties=&quot;&quot;" command="SELECT * FROM [delivery (2)]"/>
  </connection>
  <connection id="3" xr16:uid="{BEBD501F-1838-43B6-A59E-FFB142D8FD69}" keepAlive="1" name="Query - production" description="Connection to the 'production' query in the workbook." type="5" refreshedVersion="6" background="1">
    <dbPr connection="Provider=Microsoft.Mashup.OleDb.1;Data Source=$Workbook$;Location=production;Extended Properties=&quot;&quot;" command="SELECT * FROM [production]"/>
  </connection>
  <connection id="4" xr16:uid="{D482AFF5-BB6D-423F-BC41-B962A7B3F185}" keepAlive="1" name="Query - production (2)" description="Connection to the 'production (2)' query in the workbook." type="5" refreshedVersion="6" background="1" saveData="1">
    <dbPr connection="Provider=Microsoft.Mashup.OleDb.1;Data Source=$Workbook$;Location=&quot;production (2)&quot;;Extended Properties=&quot;&quot;" command="SELECT * FROM [production (2)]"/>
  </connection>
  <connection id="5" xr16:uid="{045BCC09-1E10-4B2F-8798-123A08A9DD5E}" keepAlive="1" name="Query - regional" description="Connection to the 'regional' query in the workbook." type="5" refreshedVersion="6" background="1" saveData="1">
    <dbPr connection="Provider=Microsoft.Mashup.OleDb.1;Data Source=$Workbook$;Location=regional;Extended Properties=&quot;&quot;" command="SELECT * FROM [regional]"/>
  </connection>
</connections>
</file>

<file path=xl/sharedStrings.xml><?xml version="1.0" encoding="utf-8"?>
<sst xmlns="http://schemas.openxmlformats.org/spreadsheetml/2006/main" count="209" uniqueCount="97">
  <si>
    <t>Ticker</t>
  </si>
  <si>
    <t>Name</t>
  </si>
  <si>
    <t>ARKK</t>
  </si>
  <si>
    <t>total</t>
    <phoneticPr fontId="2" type="noConversion"/>
  </si>
  <si>
    <t>sharpe ratio</t>
    <phoneticPr fontId="2" type="noConversion"/>
  </si>
  <si>
    <t>Quote Date</t>
    <phoneticPr fontId="2" type="noConversion"/>
  </si>
  <si>
    <t>avg correlation</t>
    <phoneticPr fontId="2" type="noConversion"/>
  </si>
  <si>
    <t>limit of deversification</t>
    <phoneticPr fontId="2" type="noConversion"/>
  </si>
  <si>
    <t>Date</t>
    <phoneticPr fontId="2" type="noConversion"/>
  </si>
  <si>
    <t>Market value(HKD)</t>
    <phoneticPr fontId="2" type="noConversion"/>
  </si>
  <si>
    <t>Initial stock price</t>
    <phoneticPr fontId="2" type="noConversion"/>
  </si>
  <si>
    <t>stock price</t>
    <phoneticPr fontId="2" type="noConversion"/>
  </si>
  <si>
    <t>Annual Mean</t>
    <phoneticPr fontId="2" type="noConversion"/>
  </si>
  <si>
    <t>Annual STD</t>
    <phoneticPr fontId="2" type="noConversion"/>
  </si>
  <si>
    <t>S1/S0</t>
    <phoneticPr fontId="2" type="noConversion"/>
  </si>
  <si>
    <t>Prob</t>
    <phoneticPr fontId="2" type="noConversion"/>
  </si>
  <si>
    <t>2840.hk</t>
  </si>
  <si>
    <t>159919.SZ</t>
  </si>
  <si>
    <t>DBC</t>
  </si>
  <si>
    <t>9988.HK</t>
  </si>
  <si>
    <t>0001.HK</t>
  </si>
  <si>
    <t>BRK-B</t>
  </si>
  <si>
    <t>BIDU</t>
  </si>
  <si>
    <t>2800.HK</t>
  </si>
  <si>
    <t>SPY</t>
  </si>
  <si>
    <t>LIT</t>
  </si>
  <si>
    <t>REET</t>
  </si>
  <si>
    <t>Beta</t>
  </si>
  <si>
    <t>Historical Log Daily Return</t>
  </si>
  <si>
    <t>HKD/USD</t>
  </si>
  <si>
    <t>HKD/CNY</t>
  </si>
  <si>
    <t>Exchange rate</t>
  </si>
  <si>
    <t>stock - HKD</t>
  </si>
  <si>
    <t>Cash - USD</t>
  </si>
  <si>
    <t>Cash - HKD</t>
  </si>
  <si>
    <t>Portfolio</t>
  </si>
  <si>
    <t>Subtotal Covariance</t>
  </si>
  <si>
    <t>Portfolio Risk(%)</t>
  </si>
  <si>
    <t>Portfolio Return(%)</t>
  </si>
  <si>
    <t>1 Year T-bill</t>
  </si>
  <si>
    <t>Portfolio Beta</t>
  </si>
  <si>
    <t xml:space="preserve">Weighted </t>
  </si>
  <si>
    <t>Subtotal</t>
  </si>
  <si>
    <t>Market value</t>
  </si>
  <si>
    <t>Alpha</t>
  </si>
  <si>
    <t>CAPM E[R]</t>
  </si>
  <si>
    <t>1 Year T-bill Log return</t>
  </si>
  <si>
    <t>Portfolio Alpha</t>
  </si>
  <si>
    <t>NORM.INV</t>
  </si>
  <si>
    <t>Confidence Level</t>
  </si>
  <si>
    <t>https://www.investopedia.com/ask/answers/033115/how-can-you-calculate-value-risk-var-excel.asp</t>
  </si>
  <si>
    <t>Z-Score</t>
  </si>
  <si>
    <t>Value At Risk</t>
  </si>
  <si>
    <t>Daily</t>
  </si>
  <si>
    <t>Remark</t>
  </si>
  <si>
    <t>https://financetrainingcourse.com/education/2012/07/value-at-risk-var-case-study-explanation/</t>
  </si>
  <si>
    <t>https://medium.com/fintechexplained/market-risk-explanation-of-var-calculations-e31734f26d93</t>
  </si>
  <si>
    <t>Input</t>
  </si>
  <si>
    <t>Price</t>
  </si>
  <si>
    <t>Position</t>
  </si>
  <si>
    <t>Position Index</t>
  </si>
  <si>
    <t>Qty</t>
  </si>
  <si>
    <t>Systematic Risk</t>
  </si>
  <si>
    <t>Systematic Var</t>
  </si>
  <si>
    <t>Non-Systematic Var</t>
  </si>
  <si>
    <t>Non-Systematic Risk</t>
  </si>
  <si>
    <t>Leverage ratio</t>
    <phoneticPr fontId="2" type="noConversion"/>
  </si>
  <si>
    <t>Risk</t>
    <phoneticPr fontId="2" type="noConversion"/>
  </si>
  <si>
    <t>Diversified Risk</t>
    <phoneticPr fontId="2" type="noConversion"/>
  </si>
  <si>
    <t>Sharpe Ratio</t>
    <phoneticPr fontId="2" type="noConversion"/>
  </si>
  <si>
    <t>Sharpe Ratio(Sys)</t>
    <phoneticPr fontId="2" type="noConversion"/>
  </si>
  <si>
    <t>Leverage/Deleverage</t>
  </si>
  <si>
    <t>Risk</t>
  </si>
  <si>
    <t>Risk Adjusted Return</t>
  </si>
  <si>
    <t>Monthly Return</t>
  </si>
  <si>
    <t>Monthly Excess Return</t>
  </si>
  <si>
    <t>Arithmetic Mean</t>
  </si>
  <si>
    <t>Historical Log Daily Var</t>
  </si>
  <si>
    <t>Mode</t>
  </si>
  <si>
    <t>Arithmetic</t>
  </si>
  <si>
    <t>Median/Geometric Mean</t>
  </si>
  <si>
    <t>Ln(Geometric Mean)</t>
  </si>
  <si>
    <t>Log Std</t>
  </si>
  <si>
    <t>Gemetric</t>
  </si>
  <si>
    <t>Avg Std</t>
  </si>
  <si>
    <t xml:space="preserve">Remark: arithmetic std = [1 + x1 - (1+m)]/1 = x1-m , so no need to minus 1 for HPR like gemetric   </t>
  </si>
  <si>
    <t>Input Index</t>
  </si>
  <si>
    <t>covariance(HPR) matrix</t>
  </si>
  <si>
    <t>Weighted (HPR) return</t>
  </si>
  <si>
    <t>Normal if lognormal</t>
  </si>
  <si>
    <t>Compounded</t>
  </si>
  <si>
    <t>Margin</t>
  </si>
  <si>
    <t>Days of Compounding</t>
  </si>
  <si>
    <t xml:space="preserve">Total Covariance </t>
  </si>
  <si>
    <t>Y(252)</t>
  </si>
  <si>
    <t>Q(63)</t>
  </si>
  <si>
    <t>M(21)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</si>
</sst>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HK$&quot;* #,##0.00_);_(&quot;HK$&quot;* \(#,##0.00\);_(&quot;HK$&quot;* &quot;-&quot;??_);_(@_)"/>
    <numFmt numFmtId="165" formatCode="0.00_ "/>
    <numFmt numFmtId="166" formatCode="_(&quot;US$&quot;* #,##0.00_);_(&quot;US$&quot;* \(#,##0.00\);_(&quot;US$&quot;* &quot;-&quot;??_);_(@_)"/>
    <numFmt numFmtId="167" formatCode="_(&quot;CNY$&quot;* #,##0.00_);_(&quot;CNY$&quot;* \(#,##0.00\);_(&quot;CNY$&quot;* &quot;-&quot;??_);_(@_)"/>
  </numFmts>
  <fonts count="1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name val="Calibri"/>
      <family val="3"/>
      <charset val="136"/>
      <scheme val="minor"/>
    </font>
    <font>
      <sz val="9"/>
      <color rgb="FF2A2A2A"/>
      <name val="Arial"/>
      <family val="2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8" fillId="6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6" fillId="0" borderId="0" xfId="3">
      <alignment vertical="center"/>
    </xf>
    <xf numFmtId="0" fontId="5" fillId="3" borderId="0" xfId="2" applyAlignment="1"/>
    <xf numFmtId="14" fontId="5" fillId="3" borderId="0" xfId="2" applyNumberFormat="1" applyAlignment="1"/>
    <xf numFmtId="0" fontId="0" fillId="0" borderId="3" xfId="0" applyBorder="1"/>
    <xf numFmtId="10" fontId="0" fillId="0" borderId="6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" xfId="0" applyBorder="1"/>
    <xf numFmtId="0" fontId="0" fillId="0" borderId="0" xfId="0" applyBorder="1"/>
    <xf numFmtId="0" fontId="0" fillId="0" borderId="10" xfId="0" applyBorder="1"/>
    <xf numFmtId="0" fontId="0" fillId="0" borderId="0" xfId="0" applyNumberFormat="1"/>
    <xf numFmtId="164" fontId="0" fillId="0" borderId="0" xfId="0" applyNumberFormat="1"/>
    <xf numFmtId="166" fontId="0" fillId="0" borderId="0" xfId="0" applyNumberFormat="1"/>
    <xf numFmtId="10" fontId="5" fillId="3" borderId="0" xfId="2" applyNumberFormat="1" applyAlignment="1"/>
    <xf numFmtId="0" fontId="0" fillId="6" borderId="13" xfId="6" applyFont="1" applyAlignment="1"/>
    <xf numFmtId="0" fontId="10" fillId="0" borderId="0" xfId="7" applyAlignment="1"/>
    <xf numFmtId="10" fontId="9" fillId="5" borderId="12" xfId="5" applyNumberFormat="1" applyAlignment="1"/>
    <xf numFmtId="0" fontId="11" fillId="7" borderId="2" xfId="8" applyAlignment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9" fillId="5" borderId="12" xfId="5" applyAlignment="1"/>
    <xf numFmtId="0" fontId="9" fillId="5" borderId="12" xfId="5" applyAlignment="1"/>
    <xf numFmtId="0" fontId="0" fillId="0" borderId="0" xfId="0"/>
    <xf numFmtId="11" fontId="0" fillId="0" borderId="0" xfId="0" applyNumberFormat="1"/>
    <xf numFmtId="0" fontId="10" fillId="0" borderId="0" xfId="7" applyNumberFormat="1" applyAlignment="1"/>
    <xf numFmtId="165" fontId="0" fillId="6" borderId="13" xfId="6" applyNumberFormat="1" applyFont="1" applyAlignment="1"/>
    <xf numFmtId="0" fontId="0" fillId="0" borderId="15" xfId="0" applyBorder="1"/>
    <xf numFmtId="0" fontId="0" fillId="0" borderId="11" xfId="0" applyBorder="1"/>
    <xf numFmtId="0" fontId="0" fillId="0" borderId="4" xfId="0" applyBorder="1"/>
    <xf numFmtId="164" fontId="0" fillId="0" borderId="0" xfId="0" applyNumberFormat="1" applyBorder="1"/>
    <xf numFmtId="167" fontId="0" fillId="0" borderId="0" xfId="0" applyNumberFormat="1" applyBorder="1"/>
    <xf numFmtId="166" fontId="0" fillId="0" borderId="0" xfId="0" applyNumberFormat="1" applyBorder="1"/>
    <xf numFmtId="166" fontId="0" fillId="0" borderId="1" xfId="0" applyNumberFormat="1" applyBorder="1"/>
    <xf numFmtId="10" fontId="0" fillId="0" borderId="8" xfId="0" applyNumberFormat="1" applyBorder="1"/>
    <xf numFmtId="164" fontId="9" fillId="5" borderId="12" xfId="5" applyNumberFormat="1" applyAlignment="1"/>
    <xf numFmtId="0" fontId="0" fillId="0" borderId="0" xfId="0" applyAlignment="1">
      <alignment vertical="center"/>
    </xf>
    <xf numFmtId="10" fontId="0" fillId="6" borderId="13" xfId="6" applyNumberFormat="1" applyFont="1" applyAlignment="1"/>
    <xf numFmtId="10" fontId="11" fillId="7" borderId="2" xfId="8" applyNumberFormat="1" applyAlignment="1"/>
    <xf numFmtId="0" fontId="0" fillId="0" borderId="23" xfId="0" applyBorder="1"/>
    <xf numFmtId="0" fontId="0" fillId="0" borderId="24" xfId="0" applyBorder="1"/>
    <xf numFmtId="0" fontId="0" fillId="0" borderId="25" xfId="0" applyBorder="1"/>
    <xf numFmtId="11" fontId="11" fillId="7" borderId="2" xfId="8" applyNumberFormat="1" applyAlignment="1"/>
    <xf numFmtId="0" fontId="5" fillId="3" borderId="12" xfId="2" applyBorder="1" applyAlignment="1">
      <alignment wrapText="1"/>
    </xf>
    <xf numFmtId="10" fontId="5" fillId="3" borderId="12" xfId="2" applyNumberFormat="1" applyBorder="1" applyAlignment="1">
      <alignment horizontal="center" vertical="center"/>
    </xf>
    <xf numFmtId="0" fontId="7" fillId="4" borderId="12" xfId="4" applyBorder="1" applyAlignment="1">
      <alignment horizontal="center" vertical="center" wrapText="1"/>
    </xf>
    <xf numFmtId="10" fontId="7" fillId="4" borderId="12" xfId="4" applyNumberFormat="1" applyBorder="1" applyAlignment="1"/>
    <xf numFmtId="0" fontId="4" fillId="2" borderId="12" xfId="1" applyBorder="1" applyAlignment="1"/>
    <xf numFmtId="165" fontId="4" fillId="2" borderId="12" xfId="1" applyNumberFormat="1" applyBorder="1" applyAlignment="1"/>
    <xf numFmtId="0" fontId="5" fillId="3" borderId="12" xfId="2" applyBorder="1" applyAlignment="1"/>
    <xf numFmtId="10" fontId="3" fillId="6" borderId="13" xfId="6" applyNumberFormat="1" applyFont="1" applyAlignment="1"/>
    <xf numFmtId="14" fontId="3" fillId="6" borderId="13" xfId="6" applyNumberFormat="1" applyFont="1" applyAlignment="1"/>
    <xf numFmtId="0" fontId="0" fillId="0" borderId="0" xfId="0" applyAlignment="1">
      <alignment horizontal="center" vertical="center" wrapText="1"/>
    </xf>
    <xf numFmtId="0" fontId="4" fillId="2" borderId="12" xfId="1" applyNumberFormat="1" applyBorder="1" applyAlignment="1"/>
    <xf numFmtId="10" fontId="5" fillId="3" borderId="12" xfId="2" applyNumberFormat="1" applyBorder="1" applyAlignment="1"/>
    <xf numFmtId="0" fontId="0" fillId="0" borderId="0" xfId="0"/>
    <xf numFmtId="0" fontId="12" fillId="0" borderId="0" xfId="9"/>
    <xf numFmtId="0" fontId="10" fillId="0" borderId="0" xfId="7" applyFill="1" applyBorder="1" applyAlignment="1"/>
    <xf numFmtId="10" fontId="10" fillId="0" borderId="0" xfId="7" applyNumberFormat="1" applyAlignment="1"/>
    <xf numFmtId="0" fontId="11" fillId="7" borderId="2" xfId="8" applyNumberFormat="1" applyAlignment="1"/>
    <xf numFmtId="0" fontId="4" fillId="2" borderId="0" xfId="1" applyAlignment="1"/>
    <xf numFmtId="10" fontId="4" fillId="2" borderId="0" xfId="1" applyNumberFormat="1" applyAlignment="1"/>
    <xf numFmtId="11" fontId="9" fillId="5" borderId="12" xfId="5" applyNumberFormat="1" applyAlignment="1"/>
    <xf numFmtId="10" fontId="12" fillId="0" borderId="0" xfId="9" applyNumberFormat="1"/>
    <xf numFmtId="0" fontId="10" fillId="0" borderId="0" xfId="7" applyAlignment="1">
      <alignment wrapText="1"/>
    </xf>
    <xf numFmtId="0" fontId="10" fillId="0" borderId="0" xfId="7" applyNumberFormat="1" applyAlignment="1">
      <alignment horizontal="left" vertical="top"/>
    </xf>
    <xf numFmtId="10" fontId="10" fillId="0" borderId="0" xfId="7" applyNumberFormat="1" applyAlignment="1">
      <alignment horizontal="left" vertical="top"/>
    </xf>
    <xf numFmtId="2" fontId="0" fillId="6" borderId="13" xfId="6" applyNumberFormat="1" applyFont="1" applyAlignment="1"/>
    <xf numFmtId="0" fontId="13" fillId="7" borderId="2" xfId="10" applyFill="1" applyBorder="1" applyAlignment="1"/>
    <xf numFmtId="0" fontId="0" fillId="6" borderId="13" xfId="6" applyFont="1" applyAlignment="1">
      <alignment horizontal="center" vertical="center"/>
    </xf>
    <xf numFmtId="0" fontId="4" fillId="2" borderId="0" xfId="1" applyAlignment="1">
      <alignment horizontal="center" vertical="center"/>
    </xf>
    <xf numFmtId="0" fontId="9" fillId="5" borderId="12" xfId="5" applyAlignment="1">
      <alignment horizontal="center"/>
    </xf>
    <xf numFmtId="0" fontId="9" fillId="5" borderId="14" xfId="5" applyBorder="1" applyAlignment="1">
      <alignment horizontal="center"/>
    </xf>
    <xf numFmtId="0" fontId="9" fillId="5" borderId="16" xfId="5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6" borderId="17" xfId="6" applyFont="1" applyBorder="1" applyAlignment="1">
      <alignment horizontal="center"/>
    </xf>
    <xf numFmtId="0" fontId="0" fillId="6" borderId="22" xfId="6" applyFont="1" applyBorder="1" applyAlignment="1">
      <alignment horizontal="center"/>
    </xf>
    <xf numFmtId="0" fontId="0" fillId="6" borderId="18" xfId="6" applyFont="1" applyBorder="1" applyAlignment="1">
      <alignment horizontal="center"/>
    </xf>
    <xf numFmtId="0" fontId="0" fillId="6" borderId="19" xfId="6" applyFont="1" applyBorder="1" applyAlignment="1">
      <alignment horizontal="center"/>
    </xf>
    <xf numFmtId="0" fontId="11" fillId="7" borderId="20" xfId="8" applyBorder="1" applyAlignment="1">
      <alignment horizontal="center"/>
    </xf>
    <xf numFmtId="0" fontId="11" fillId="7" borderId="21" xfId="8" applyBorder="1" applyAlignment="1">
      <alignment horizontal="center"/>
    </xf>
    <xf numFmtId="0" fontId="11" fillId="7" borderId="2" xfId="8" applyAlignment="1">
      <alignment horizontal="center"/>
    </xf>
    <xf numFmtId="0" fontId="0" fillId="0" borderId="0" xfId="0" applyAlignment="1">
      <alignment horizontal="center" vertical="center"/>
    </xf>
    <xf numFmtId="0" fontId="5" fillId="3" borderId="0" xfId="2" applyAlignment="1">
      <alignment horizontal="center" vertical="center"/>
    </xf>
    <xf numFmtId="10" fontId="5" fillId="3" borderId="0" xfId="2" applyNumberFormat="1" applyAlignment="1">
      <alignment horizontal="center" vertical="center"/>
    </xf>
  </cellXfs>
  <cellStyles count="11">
    <cellStyle name="Bad" xfId="2" builtinId="27"/>
    <cellStyle name="Explanatory Text" xfId="7" builtinId="53"/>
    <cellStyle name="Good" xfId="1" builtinId="26"/>
    <cellStyle name="Hyperlink" xfId="9" builtinId="8"/>
    <cellStyle name="Input" xfId="8" builtinId="20"/>
    <cellStyle name="Neutral" xfId="4" builtinId="28"/>
    <cellStyle name="Normal" xfId="0" builtinId="0"/>
    <cellStyle name="Normal 2" xfId="3" xr:uid="{4D285268-EBD2-45A3-BB69-C59CC5D0A60C}"/>
    <cellStyle name="Note" xfId="6" builtinId="10"/>
    <cellStyle name="Output" xfId="5" builtinId="21"/>
    <cellStyle name="Warning Text" xfId="10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1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02700629678292E-2"/>
          <c:y val="0.25589407399573166"/>
          <c:w val="0.90181898290118423"/>
          <c:h val="0.6724239372522845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Prob!$C$4:$C$113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Prob!$E$4:$E$113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1.0174239995258275E-305</c:v>
                </c:pt>
                <c:pt idx="3">
                  <c:v>1.3436817805747035E-237</c:v>
                </c:pt>
                <c:pt idx="4">
                  <c:v>1.1534230974091391E-190</c:v>
                </c:pt>
                <c:pt idx="5">
                  <c:v>3.8024452119730649E-156</c:v>
                </c:pt>
                <c:pt idx="6">
                  <c:v>1.1961523859417888E-129</c:v>
                </c:pt>
                <c:pt idx="7">
                  <c:v>1.0994225264971479E-108</c:v>
                </c:pt>
                <c:pt idx="8">
                  <c:v>9.9717987670863153E-92</c:v>
                </c:pt>
                <c:pt idx="9">
                  <c:v>8.9115686176393588E-78</c:v>
                </c:pt>
                <c:pt idx="10">
                  <c:v>3.7979434005874901E-66</c:v>
                </c:pt>
                <c:pt idx="11">
                  <c:v>2.3698977915929004E-56</c:v>
                </c:pt>
                <c:pt idx="12">
                  <c:v>4.9287849033471091E-48</c:v>
                </c:pt>
                <c:pt idx="13">
                  <c:v>6.342006918793065E-41</c:v>
                </c:pt>
                <c:pt idx="14">
                  <c:v>8.1199244506251874E-35</c:v>
                </c:pt>
                <c:pt idx="15">
                  <c:v>1.5001631647368991E-29</c:v>
                </c:pt>
                <c:pt idx="16">
                  <c:v>5.3734836321771806E-25</c:v>
                </c:pt>
                <c:pt idx="17">
                  <c:v>4.7341128388453342E-21</c:v>
                </c:pt>
                <c:pt idx="18">
                  <c:v>1.2455062585678452E-17</c:v>
                </c:pt>
                <c:pt idx="19">
                  <c:v>1.148220590532926E-14</c:v>
                </c:pt>
                <c:pt idx="20">
                  <c:v>4.2370964732218377E-12</c:v>
                </c:pt>
                <c:pt idx="21">
                  <c:v>6.9981587074107739E-10</c:v>
                </c:pt>
                <c:pt idx="22">
                  <c:v>5.6860121167828517E-8</c:v>
                </c:pt>
                <c:pt idx="23">
                  <c:v>2.4632127904854769E-6</c:v>
                </c:pt>
                <c:pt idx="24">
                  <c:v>6.0960113870997774E-5</c:v>
                </c:pt>
                <c:pt idx="25">
                  <c:v>9.1474375525136588E-4</c:v>
                </c:pt>
                <c:pt idx="26">
                  <c:v>8.7637826495369324E-3</c:v>
                </c:pt>
                <c:pt idx="27">
                  <c:v>5.6075425250272093E-2</c:v>
                </c:pt>
                <c:pt idx="28">
                  <c:v>0.24926611274175589</c:v>
                </c:pt>
                <c:pt idx="29">
                  <c:v>0.79693263533096581</c:v>
                </c:pt>
                <c:pt idx="30">
                  <c:v>1.8894900816381839</c:v>
                </c:pt>
                <c:pt idx="31">
                  <c:v>3.4136424268280612</c:v>
                </c:pt>
                <c:pt idx="32">
                  <c:v>4.8142068914375775</c:v>
                </c:pt>
                <c:pt idx="33">
                  <c:v>5.4152609633307716</c:v>
                </c:pt>
                <c:pt idx="34">
                  <c:v>4.9530800347482407</c:v>
                </c:pt>
                <c:pt idx="35">
                  <c:v>3.7480844565196803</c:v>
                </c:pt>
                <c:pt idx="36">
                  <c:v>2.383348475744655</c:v>
                </c:pt>
                <c:pt idx="37">
                  <c:v>1.2915638382518562</c:v>
                </c:pt>
                <c:pt idx="38">
                  <c:v>0.60411274652611291</c:v>
                </c:pt>
                <c:pt idx="39">
                  <c:v>0.24671875763321155</c:v>
                </c:pt>
                <c:pt idx="40">
                  <c:v>8.8903566949840418E-2</c:v>
                </c:pt>
                <c:pt idx="41">
                  <c:v>2.8537285825962017E-2</c:v>
                </c:pt>
                <c:pt idx="42">
                  <c:v>8.2311937990404913E-3</c:v>
                </c:pt>
                <c:pt idx="43">
                  <c:v>2.1504272271862432E-3</c:v>
                </c:pt>
                <c:pt idx="44">
                  <c:v>5.1258028400618261E-4</c:v>
                </c:pt>
                <c:pt idx="45">
                  <c:v>1.1222137451601408E-4</c:v>
                </c:pt>
                <c:pt idx="46">
                  <c:v>2.2705493662213433E-5</c:v>
                </c:pt>
                <c:pt idx="47">
                  <c:v>4.2695284267312697E-6</c:v>
                </c:pt>
                <c:pt idx="48">
                  <c:v>7.5003494258801062E-7</c:v>
                </c:pt>
                <c:pt idx="49">
                  <c:v>1.2368582130264635E-7</c:v>
                </c:pt>
                <c:pt idx="50">
                  <c:v>1.9231830928734819E-8</c:v>
                </c:pt>
                <c:pt idx="51">
                  <c:v>2.8311618973077225E-9</c:v>
                </c:pt>
                <c:pt idx="52">
                  <c:v>3.9609706646106205E-10</c:v>
                </c:pt>
                <c:pt idx="53">
                  <c:v>5.2851924951761008E-11</c:v>
                </c:pt>
                <c:pt idx="54">
                  <c:v>6.7477954660066587E-12</c:v>
                </c:pt>
                <c:pt idx="55">
                  <c:v>8.2684499843834995E-13</c:v>
                </c:pt>
                <c:pt idx="56">
                  <c:v>9.7515679700693543E-14</c:v>
                </c:pt>
                <c:pt idx="57">
                  <c:v>1.1098274263538984E-14</c:v>
                </c:pt>
                <c:pt idx="58">
                  <c:v>1.2218893130711761E-15</c:v>
                </c:pt>
                <c:pt idx="59">
                  <c:v>1.3043582796606678E-16</c:v>
                </c:pt>
                <c:pt idx="60">
                  <c:v>1.3529377520601217E-17</c:v>
                </c:pt>
                <c:pt idx="61">
                  <c:v>1.3662841558211558E-18</c:v>
                </c:pt>
                <c:pt idx="62">
                  <c:v>1.3458503082636672E-19</c:v>
                </c:pt>
                <c:pt idx="63">
                  <c:v>1.2953979972708156E-20</c:v>
                </c:pt>
                <c:pt idx="64">
                  <c:v>1.2203109898050088E-21</c:v>
                </c:pt>
                <c:pt idx="65">
                  <c:v>1.1268449464827754E-22</c:v>
                </c:pt>
                <c:pt idx="66">
                  <c:v>1.0214291778683262E-23</c:v>
                </c:pt>
                <c:pt idx="67">
                  <c:v>9.1009874162737745E-25</c:v>
                </c:pt>
                <c:pt idx="68">
                  <c:v>7.9809557781295242E-26</c:v>
                </c:pt>
                <c:pt idx="69">
                  <c:v>6.8964276177082231E-27</c:v>
                </c:pt>
                <c:pt idx="70">
                  <c:v>5.8787116152610857E-28</c:v>
                </c:pt>
                <c:pt idx="71">
                  <c:v>4.9486392478760913E-29</c:v>
                </c:pt>
                <c:pt idx="72">
                  <c:v>4.117799245484102E-30</c:v>
                </c:pt>
                <c:pt idx="73">
                  <c:v>3.3901993588180083E-31</c:v>
                </c:pt>
                <c:pt idx="74">
                  <c:v>2.7640601838798835E-32</c:v>
                </c:pt>
                <c:pt idx="75">
                  <c:v>2.2335285254157333E-33</c:v>
                </c:pt>
                <c:pt idx="76">
                  <c:v>1.7901783426969624E-34</c:v>
                </c:pt>
                <c:pt idx="77">
                  <c:v>1.4242351473377169E-35</c:v>
                </c:pt>
                <c:pt idx="78">
                  <c:v>1.1255104064208784E-36</c:v>
                </c:pt>
                <c:pt idx="79">
                  <c:v>8.8406596637922191E-38</c:v>
                </c:pt>
                <c:pt idx="80">
                  <c:v>6.9064719887536083E-39</c:v>
                </c:pt>
                <c:pt idx="81">
                  <c:v>5.3693099392195527E-40</c:v>
                </c:pt>
                <c:pt idx="82">
                  <c:v>4.1563447981477467E-41</c:v>
                </c:pt>
                <c:pt idx="83">
                  <c:v>3.2052554067843907E-42</c:v>
                </c:pt>
                <c:pt idx="84">
                  <c:v>2.4636921767715511E-43</c:v>
                </c:pt>
                <c:pt idx="85">
                  <c:v>1.8883656936274141E-44</c:v>
                </c:pt>
                <c:pt idx="86">
                  <c:v>1.4439554402707197E-45</c:v>
                </c:pt>
                <c:pt idx="87">
                  <c:v>1.1019740727865443E-46</c:v>
                </c:pt>
                <c:pt idx="88">
                  <c:v>8.3967456792115153E-48</c:v>
                </c:pt>
                <c:pt idx="89">
                  <c:v>6.3905116809002631E-49</c:v>
                </c:pt>
                <c:pt idx="90">
                  <c:v>4.859589652196711E-50</c:v>
                </c:pt>
                <c:pt idx="91">
                  <c:v>3.6935931009392108E-51</c:v>
                </c:pt>
                <c:pt idx="92">
                  <c:v>2.80687083707729E-52</c:v>
                </c:pt>
                <c:pt idx="93">
                  <c:v>2.133294843328084E-53</c:v>
                </c:pt>
                <c:pt idx="94">
                  <c:v>1.6220292318962217E-54</c:v>
                </c:pt>
                <c:pt idx="95">
                  <c:v>1.2341375078482876E-55</c:v>
                </c:pt>
                <c:pt idx="96">
                  <c:v>9.3989012396314266E-57</c:v>
                </c:pt>
                <c:pt idx="97">
                  <c:v>7.16646563417418E-58</c:v>
                </c:pt>
                <c:pt idx="98">
                  <c:v>5.4720187454243594E-59</c:v>
                </c:pt>
                <c:pt idx="99">
                  <c:v>4.185041110948884E-60</c:v>
                </c:pt>
                <c:pt idx="100">
                  <c:v>3.2066495477257336E-61</c:v>
                </c:pt>
                <c:pt idx="101">
                  <c:v>2.4620008830362847E-62</c:v>
                </c:pt>
                <c:pt idx="102">
                  <c:v>1.8944829565381379E-63</c:v>
                </c:pt>
                <c:pt idx="103">
                  <c:v>1.4612873338407193E-64</c:v>
                </c:pt>
                <c:pt idx="104">
                  <c:v>1.1300445576795242E-65</c:v>
                </c:pt>
                <c:pt idx="105">
                  <c:v>8.7627283239258444E-67</c:v>
                </c:pt>
                <c:pt idx="106">
                  <c:v>6.8144708547543344E-68</c:v>
                </c:pt>
                <c:pt idx="107">
                  <c:v>5.3153967295018746E-69</c:v>
                </c:pt>
                <c:pt idx="108">
                  <c:v>4.1591871550114029E-70</c:v>
                </c:pt>
                <c:pt idx="109">
                  <c:v>3.2651703590087401E-71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41-4A27-A352-5ED81F170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602232"/>
        <c:axId val="786602560"/>
      </c:scatterChart>
      <c:valAx>
        <c:axId val="786602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602560"/>
        <c:crosses val="autoZero"/>
        <c:crossBetween val="midCat"/>
      </c:valAx>
      <c:valAx>
        <c:axId val="7866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602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104774</xdr:colOff>
      <xdr:row>4</xdr:row>
      <xdr:rowOff>47624</xdr:rowOff>
    </xdr:from>
    <xdr:to>
      <xdr:col>12</xdr:col>
      <xdr:colOff>419099</xdr:colOff>
      <xdr:row>19</xdr:row>
      <xdr:rowOff>28573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AD0DEAC-7BC7-46F4-92AD-AC0B27757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etrainingcourse.com/education/2012/07/value-at-risk-var-case-study-explanation/" TargetMode="External"/><Relationship Id="rId2" Type="http://schemas.openxmlformats.org/officeDocument/2006/relationships/hyperlink" Target="https://medium.com/fintechexplained/market-risk-explanation-of-var-calculations-e31734f26d93" TargetMode="External"/><Relationship Id="rId1" Type="http://schemas.openxmlformats.org/officeDocument/2006/relationships/hyperlink" Target="https://www.investopedia.com/ask/answers/033115/how-can-you-calculate-value-risk-var-excel.asp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539D-5B3D-45BD-8BDF-0C1934ABC5C9}">
  <dimension ref="A1:AE58"/>
  <sheetViews>
    <sheetView tabSelected="1" topLeftCell="W1" workbookViewId="0">
      <selection activeCell="Z11" sqref="Z11"/>
    </sheetView>
  </sheetViews>
  <sheetFormatPr defaultRowHeight="15"/>
  <cols>
    <col min="1" max="1" width="29.5703125" customWidth="1"/>
    <col min="2" max="2" width="8.85546875" customWidth="1"/>
    <col min="3" max="3" width="9.140625" bestFit="1" customWidth="1"/>
    <col min="4" max="4" width="8.85546875" customWidth="1"/>
    <col min="5" max="5" width="14.140625" bestFit="1" customWidth="1"/>
    <col min="6" max="6" width="13.5703125" bestFit="1" customWidth="1"/>
    <col min="7" max="7" width="14.85546875" customWidth="1"/>
    <col min="8" max="8" width="14.5703125" customWidth="1"/>
    <col min="9" max="9" width="14.5703125" style="27" customWidth="1"/>
    <col min="10" max="10" width="12.85546875" style="27" customWidth="1"/>
    <col min="11" max="11" width="12.140625" style="27" customWidth="1"/>
    <col min="12" max="12" width="11.5703125" style="27" customWidth="1"/>
    <col min="13" max="13" width="13.28515625" style="27" customWidth="1"/>
    <col min="14" max="14" width="17.5703125" style="27" bestFit="1" customWidth="1"/>
    <col min="15" max="15" width="17.7109375" bestFit="1" customWidth="1"/>
    <col min="16" max="16" width="17.7109375" style="28" customWidth="1"/>
    <col min="17" max="17" width="12" style="31" bestFit="1" customWidth="1"/>
    <col min="18" max="18" width="17.7109375" style="31" customWidth="1"/>
    <col min="19" max="19" width="24.85546875" bestFit="1" customWidth="1"/>
    <col min="20" max="20" width="23.85546875" bestFit="1" customWidth="1"/>
    <col min="21" max="21" width="12.42578125" customWidth="1"/>
    <col min="22" max="22" width="20.5703125" customWidth="1"/>
    <col min="23" max="24" width="20.5703125" style="63" customWidth="1"/>
    <col min="25" max="25" width="13.85546875" bestFit="1" customWidth="1"/>
    <col min="26" max="26" width="15.85546875" style="28" customWidth="1"/>
    <col min="27" max="27" width="30.42578125" style="28" bestFit="1" customWidth="1"/>
    <col min="28" max="28" width="18" style="28" customWidth="1"/>
    <col min="29" max="29" width="22.140625" customWidth="1"/>
    <col min="30" max="30" width="29.140625" bestFit="1" customWidth="1"/>
    <col min="31" max="31" width="14.85546875" bestFit="1" customWidth="1"/>
  </cols>
  <sheetData>
    <row r="1" spans="1:30" ht="15.75" thickBot="1">
      <c r="A1" s="76" t="s">
        <v>92</v>
      </c>
      <c r="B1">
        <v>63</v>
      </c>
      <c r="D1" s="21" t="s">
        <v>94</v>
      </c>
      <c r="E1" s="21" t="s">
        <v>95</v>
      </c>
      <c r="F1" s="21" t="s">
        <v>96</v>
      </c>
      <c r="Y1" t="s">
        <v>60</v>
      </c>
      <c r="Z1" s="28">
        <v>6</v>
      </c>
    </row>
    <row r="2" spans="1:30" ht="15.75" thickBot="1">
      <c r="A2" s="79" t="s">
        <v>87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1"/>
      <c r="O2" s="85" t="s">
        <v>27</v>
      </c>
      <c r="P2" s="86"/>
      <c r="Q2" s="86"/>
      <c r="R2" s="86"/>
      <c r="S2" s="87"/>
      <c r="T2" s="88"/>
      <c r="U2" s="89" t="s">
        <v>35</v>
      </c>
      <c r="V2" s="90"/>
      <c r="W2" s="90"/>
      <c r="X2" s="90"/>
      <c r="Y2" s="90"/>
      <c r="Z2" s="90"/>
      <c r="AA2" s="90"/>
      <c r="AB2" s="91"/>
      <c r="AC2" s="91"/>
    </row>
    <row r="3" spans="1:30" ht="15.75" thickBot="1">
      <c r="A3" t="s">
        <v>0</v>
      </c>
      <c r="B3" s="47" t="s">
        <v>16</v>
      </c>
      <c r="C3" s="48" t="s">
        <v>17</v>
      </c>
      <c r="D3" s="48" t="s">
        <v>20</v>
      </c>
      <c r="E3" s="48" t="s">
        <v>19</v>
      </c>
      <c r="F3" s="48" t="s">
        <v>18</v>
      </c>
      <c r="G3" s="48" t="s">
        <v>23</v>
      </c>
      <c r="H3" s="48" t="s">
        <v>22</v>
      </c>
      <c r="I3" s="48" t="s">
        <v>21</v>
      </c>
      <c r="J3" s="48" t="s">
        <v>26</v>
      </c>
      <c r="K3" s="48" t="s">
        <v>2</v>
      </c>
      <c r="L3" s="48" t="s">
        <v>25</v>
      </c>
      <c r="M3" s="49" t="s">
        <v>24</v>
      </c>
      <c r="N3" s="7" t="s">
        <v>36</v>
      </c>
      <c r="O3" s="9" t="s">
        <v>24</v>
      </c>
      <c r="P3" s="29" t="s">
        <v>41</v>
      </c>
      <c r="Q3" s="30" t="s">
        <v>45</v>
      </c>
      <c r="R3" s="30" t="s">
        <v>44</v>
      </c>
      <c r="S3" s="15" t="s">
        <v>17</v>
      </c>
      <c r="T3" s="10" t="s">
        <v>23</v>
      </c>
      <c r="U3" s="7" t="s">
        <v>0</v>
      </c>
      <c r="V3" s="12" t="s">
        <v>43</v>
      </c>
      <c r="W3" s="12" t="s">
        <v>61</v>
      </c>
      <c r="X3" s="12" t="s">
        <v>58</v>
      </c>
      <c r="Y3" s="37" t="s">
        <v>59</v>
      </c>
      <c r="Z3" s="24" t="s">
        <v>57</v>
      </c>
      <c r="AA3" s="24" t="str">
        <f>CONCATENATE("Tengant Porfolio(%)"," - ", TEXT( tangentPorfolio!B1, "yyyy-mm-dd"))</f>
        <v>Tengant Porfolio(%) - 2021-01-01</v>
      </c>
      <c r="AB3" s="28" t="s">
        <v>31</v>
      </c>
      <c r="AC3" t="s">
        <v>9</v>
      </c>
    </row>
    <row r="4" spans="1:30">
      <c r="A4" s="35" t="s">
        <v>16</v>
      </c>
      <c r="B4" s="15">
        <f>VLOOKUP($A4,lognormal!$I$3:$M$14,lognormal!$M$1,FALSE) * VLOOKUP(B$3,lognormal!$I$3:$M$14,lognormal!$M$1,FALSE) *INDEX(correlation!$C$3:$N$14,MATCH($A4,correlation!$B$3:$B$14,0),MATCH(B$3,correlation!$C$2:$N$2,0))*VLOOKUP($A4,$U$4:$Z$15,$Z$1,FALSE)*VLOOKUP(B$3,$U$4:$Z$15,$Z$1,FALSE)</f>
        <v>0</v>
      </c>
      <c r="C4" s="15">
        <f>VLOOKUP($A4,lognormal!$I$3:$M$14,lognormal!$M$1,FALSE) * VLOOKUP(C$3,lognormal!$I$3:$M$14,lognormal!$M$1,FALSE) *INDEX(correlation!$C$3:$N$14,MATCH($A4,correlation!$B$3:$B$14,0),MATCH(C$3,correlation!$C$2:$N$2,0))*VLOOKUP($A4,$U$4:$Z$15,$Z$1,FALSE)*VLOOKUP(C$3,$U$4:$Z$15,$Z$1,FALSE)</f>
        <v>0</v>
      </c>
      <c r="D4" s="15">
        <f>VLOOKUP($A4,lognormal!$I$3:$M$14,lognormal!$M$1,FALSE) * VLOOKUP(D$3,lognormal!$I$3:$M$14,lognormal!$M$1,FALSE) *INDEX(correlation!$C$3:$N$14,MATCH($A4,correlation!$B$3:$B$14,0),MATCH(D$3,correlation!$C$2:$N$2,0))*VLOOKUP($A4,$U$4:$Z$15,$Z$1,FALSE)*VLOOKUP(D$3,$U$4:$Z$15,$Z$1,FALSE)</f>
        <v>0</v>
      </c>
      <c r="E4" s="15">
        <f>VLOOKUP($A4,lognormal!$I$3:$M$14,lognormal!$M$1,FALSE) * VLOOKUP(E$3,lognormal!$I$3:$M$14,lognormal!$M$1,FALSE) *INDEX(correlation!$C$3:$N$14,MATCH($A4,correlation!$B$3:$B$14,0),MATCH(E$3,correlation!$C$2:$N$2,0))*VLOOKUP($A4,$U$4:$Z$15,$Z$1,FALSE)*VLOOKUP(E$3,$U$4:$Z$15,$Z$1,FALSE)</f>
        <v>0</v>
      </c>
      <c r="F4" s="15">
        <f>VLOOKUP($A4,lognormal!$I$3:$M$14,lognormal!$M$1,FALSE) * VLOOKUP(F$3,lognormal!$I$3:$M$14,lognormal!$M$1,FALSE) *INDEX(correlation!$C$3:$N$14,MATCH($A4,correlation!$B$3:$B$14,0),MATCH(F$3,correlation!$C$2:$N$2,0))*VLOOKUP($A4,$U$4:$Z$15,$Z$1,FALSE)*VLOOKUP(F$3,$U$4:$Z$15,$Z$1,FALSE)</f>
        <v>0</v>
      </c>
      <c r="G4" s="15">
        <f>VLOOKUP($A4,lognormal!$I$3:$M$14,lognormal!$M$1,FALSE) * VLOOKUP(G$3,lognormal!$I$3:$M$14,lognormal!$M$1,FALSE) *INDEX(correlation!$C$3:$N$14,MATCH($A4,correlation!$B$3:$B$14,0),MATCH(G$3,correlation!$C$2:$N$2,0))*VLOOKUP($A4,$U$4:$Z$15,$Z$1,FALSE)*VLOOKUP(G$3,$U$4:$Z$15,$Z$1,FALSE)</f>
        <v>0</v>
      </c>
      <c r="H4" s="15">
        <f>VLOOKUP($A4,lognormal!$I$3:$M$14,lognormal!$M$1,FALSE) * VLOOKUP(H$3,lognormal!$I$3:$M$14,lognormal!$M$1,FALSE) *INDEX(correlation!$C$3:$N$14,MATCH($A4,correlation!$B$3:$B$14,0),MATCH(H$3,correlation!$C$2:$N$2,0))*VLOOKUP($A4,$U$4:$Z$15,$Z$1,FALSE)*VLOOKUP(H$3,$U$4:$Z$15,$Z$1,FALSE)</f>
        <v>0</v>
      </c>
      <c r="I4" s="15">
        <f>VLOOKUP($A4,lognormal!$I$3:$M$14,lognormal!$M$1,FALSE) * VLOOKUP(I$3,lognormal!$I$3:$M$14,lognormal!$M$1,FALSE) *INDEX(correlation!$C$3:$N$14,MATCH($A4,correlation!$B$3:$B$14,0),MATCH(I$3,correlation!$C$2:$N$2,0))*VLOOKUP($A4,$U$4:$Z$15,$Z$1,FALSE)*VLOOKUP(I$3,$U$4:$Z$15,$Z$1,FALSE)</f>
        <v>0</v>
      </c>
      <c r="J4" s="15">
        <f>VLOOKUP($A4,lognormal!$I$3:$M$14,lognormal!$M$1,FALSE) * VLOOKUP(J$3,lognormal!$I$3:$M$14,lognormal!$M$1,FALSE) *INDEX(correlation!$C$3:$N$14,MATCH($A4,correlation!$B$3:$B$14,0),MATCH(J$3,correlation!$C$2:$N$2,0))*VLOOKUP($A4,$U$4:$Z$15,$Z$1,FALSE)*VLOOKUP(J$3,$U$4:$Z$15,$Z$1,FALSE)</f>
        <v>0</v>
      </c>
      <c r="K4" s="15">
        <f>VLOOKUP($A4,lognormal!$I$3:$M$14,lognormal!$M$1,FALSE) * VLOOKUP(K$3,lognormal!$I$3:$M$14,lognormal!$M$1,FALSE) *INDEX(correlation!$C$3:$N$14,MATCH($A4,correlation!$B$3:$B$14,0),MATCH(K$3,correlation!$C$2:$N$2,0))*VLOOKUP($A4,$U$4:$Z$15,$Z$1,FALSE)*VLOOKUP(K$3,$U$4:$Z$15,$Z$1,FALSE)</f>
        <v>0</v>
      </c>
      <c r="L4" s="15">
        <f>VLOOKUP($A4,lognormal!$I$3:$M$14,lognormal!$M$1,FALSE) * VLOOKUP(L$3,lognormal!$I$3:$M$14,lognormal!$M$1,FALSE) *INDEX(correlation!$C$3:$N$14,MATCH($A4,correlation!$B$3:$B$14,0),MATCH(L$3,correlation!$C$2:$N$2,0))*VLOOKUP($A4,$U$4:$Z$15,$Z$1,FALSE)*VLOOKUP(L$3,$U$4:$Z$15,$Z$1,FALSE)</f>
        <v>0</v>
      </c>
      <c r="M4" s="15">
        <f>VLOOKUP($A4,lognormal!$I$3:$M$14,lognormal!$M$1,FALSE) * VLOOKUP(M$3,lognormal!$I$3:$M$14,lognormal!$M$1,FALSE) *INDEX(correlation!$C$3:$N$14,MATCH($A4,correlation!$B$3:$B$14,0),MATCH(M$3,correlation!$C$2:$N$2,0))*VLOOKUP($A4,$U$4:$Z$15,$Z$1,FALSE)*VLOOKUP(M$3,$U$4:$Z$15,$Z$1,FALSE)</f>
        <v>0</v>
      </c>
      <c r="N4" s="35">
        <f>SUM(C4:M4)</f>
        <v>0</v>
      </c>
      <c r="O4" s="9">
        <f>INDEX(beta!$B$3:$D$14,MATCH($A4,beta!$A$3:$A$14,0),MATCH(O$3,beta!$B$2:$D$2,0))</f>
        <v>8.8363619154022896E-2</v>
      </c>
      <c r="P4" s="29">
        <f>O4*VLOOKUP(A4,$U$4:$Z$15,$Z$1,FALSE)</f>
        <v>0</v>
      </c>
      <c r="Q4" s="30">
        <f>O4*(VLOOKUP($O$3,lognormal!$A$3:$C$14,3,FALSE)-$V$23)+$V$23</f>
        <v>1.0393681903423437E-2</v>
      </c>
      <c r="R4" s="23">
        <f>EXP(VLOOKUP(A4,lognormal!$A$3:$C$14,3,FALSE)-Q4)-1</f>
        <v>-4.8247794412260347E-2</v>
      </c>
      <c r="S4" s="15">
        <f>INDEX(beta!$B$3:$D$14,MATCH($A4,beta!$A$3:$A$14,0),MATCH(S$3,beta!$B$2:$D$2,0))</f>
        <v>-0.151491364153789</v>
      </c>
      <c r="T4" s="10">
        <f>INDEX(beta!$B$3:$D$14,MATCH($A4,beta!$A$3:$A$14,0),MATCH(T$3,beta!$B$2:$D$2,0))</f>
        <v>0.13358183339340399</v>
      </c>
      <c r="U4" s="9" t="s">
        <v>16</v>
      </c>
      <c r="V4" s="38"/>
      <c r="W4" s="38"/>
      <c r="X4" s="38"/>
      <c r="Y4" s="8">
        <f>AC4/$AC$20</f>
        <v>0</v>
      </c>
      <c r="Z4" s="46">
        <f>AA4</f>
        <v>0</v>
      </c>
      <c r="AA4" s="45">
        <f>VLOOKUP(U4,tangentPorfolio!$A$2:$B$13,2,FALSE)</f>
        <v>0</v>
      </c>
      <c r="AB4" s="17">
        <f>IF(ISNUMBER(SEARCH("HK",U4)),1,$V$21)</f>
        <v>1</v>
      </c>
      <c r="AC4" s="18">
        <f t="shared" ref="AC4:AC15" si="0">V4*AB4</f>
        <v>0</v>
      </c>
    </row>
    <row r="5" spans="1:30">
      <c r="A5" s="16" t="s">
        <v>17</v>
      </c>
      <c r="B5" s="15">
        <f>VLOOKUP($A5,lognormal!$I$3:$M$14,lognormal!$M$1,FALSE) * VLOOKUP(B$3,lognormal!$I$3:$M$14,lognormal!$M$1,FALSE) *INDEX(correlation!$C$3:$N$14,MATCH($A5,correlation!$B$3:$B$14,0),MATCH(B$3,correlation!$C$2:$N$2,0))*VLOOKUP($A5,$U$4:$Z$15,$Z$1,FALSE)*VLOOKUP(B$3,$U$4:$Z$15,$Z$1,FALSE)</f>
        <v>0</v>
      </c>
      <c r="C5" s="15">
        <f>VLOOKUP($A5,lognormal!$I$3:$M$14,lognormal!$M$1,FALSE) * VLOOKUP(C$3,lognormal!$I$3:$M$14,lognormal!$M$1,FALSE) *INDEX(correlation!$C$3:$N$14,MATCH($A5,correlation!$B$3:$B$14,0),MATCH(C$3,correlation!$C$2:$N$2,0))*VLOOKUP($A5,$U$4:$Z$15,$Z$1,FALSE)*VLOOKUP(C$3,$U$4:$Z$15,$Z$1,FALSE)</f>
        <v>0</v>
      </c>
      <c r="D5" s="15">
        <f>VLOOKUP($A5,lognormal!$I$3:$M$14,lognormal!$M$1,FALSE) * VLOOKUP(D$3,lognormal!$I$3:$M$14,lognormal!$M$1,FALSE) *INDEX(correlation!$C$3:$N$14,MATCH($A5,correlation!$B$3:$B$14,0),MATCH(D$3,correlation!$C$2:$N$2,0))*VLOOKUP($A5,$U$4:$Z$15,$Z$1,FALSE)*VLOOKUP(D$3,$U$4:$Z$15,$Z$1,FALSE)</f>
        <v>0</v>
      </c>
      <c r="E5" s="15">
        <f>VLOOKUP($A5,lognormal!$I$3:$M$14,lognormal!$M$1,FALSE) * VLOOKUP(E$3,lognormal!$I$3:$M$14,lognormal!$M$1,FALSE) *INDEX(correlation!$C$3:$N$14,MATCH($A5,correlation!$B$3:$B$14,0),MATCH(E$3,correlation!$C$2:$N$2,0))*VLOOKUP($A5,$U$4:$Z$15,$Z$1,FALSE)*VLOOKUP(E$3,$U$4:$Z$15,$Z$1,FALSE)</f>
        <v>0</v>
      </c>
      <c r="F5" s="15">
        <f>VLOOKUP($A5,lognormal!$I$3:$M$14,lognormal!$M$1,FALSE) * VLOOKUP(F$3,lognormal!$I$3:$M$14,lognormal!$M$1,FALSE) *INDEX(correlation!$C$3:$N$14,MATCH($A5,correlation!$B$3:$B$14,0),MATCH(F$3,correlation!$C$2:$N$2,0))*VLOOKUP($A5,$U$4:$Z$15,$Z$1,FALSE)*VLOOKUP(F$3,$U$4:$Z$15,$Z$1,FALSE)</f>
        <v>0</v>
      </c>
      <c r="G5" s="15">
        <f>VLOOKUP($A5,lognormal!$I$3:$M$14,lognormal!$M$1,FALSE) * VLOOKUP(G$3,lognormal!$I$3:$M$14,lognormal!$M$1,FALSE) *INDEX(correlation!$C$3:$N$14,MATCH($A5,correlation!$B$3:$B$14,0),MATCH(G$3,correlation!$C$2:$N$2,0))*VLOOKUP($A5,$U$4:$Z$15,$Z$1,FALSE)*VLOOKUP(G$3,$U$4:$Z$15,$Z$1,FALSE)</f>
        <v>0</v>
      </c>
      <c r="H5" s="15">
        <f>VLOOKUP($A5,lognormal!$I$3:$M$14,lognormal!$M$1,FALSE) * VLOOKUP(H$3,lognormal!$I$3:$M$14,lognormal!$M$1,FALSE) *INDEX(correlation!$C$3:$N$14,MATCH($A5,correlation!$B$3:$B$14,0),MATCH(H$3,correlation!$C$2:$N$2,0))*VLOOKUP($A5,$U$4:$Z$15,$Z$1,FALSE)*VLOOKUP(H$3,$U$4:$Z$15,$Z$1,FALSE)</f>
        <v>0</v>
      </c>
      <c r="I5" s="15">
        <f>VLOOKUP($A5,lognormal!$I$3:$M$14,lognormal!$M$1,FALSE) * VLOOKUP(I$3,lognormal!$I$3:$M$14,lognormal!$M$1,FALSE) *INDEX(correlation!$C$3:$N$14,MATCH($A5,correlation!$B$3:$B$14,0),MATCH(I$3,correlation!$C$2:$N$2,0))*VLOOKUP($A5,$U$4:$Z$15,$Z$1,FALSE)*VLOOKUP(I$3,$U$4:$Z$15,$Z$1,FALSE)</f>
        <v>0</v>
      </c>
      <c r="J5" s="15">
        <f>VLOOKUP($A5,lognormal!$I$3:$M$14,lognormal!$M$1,FALSE) * VLOOKUP(J$3,lognormal!$I$3:$M$14,lognormal!$M$1,FALSE) *INDEX(correlation!$C$3:$N$14,MATCH($A5,correlation!$B$3:$B$14,0),MATCH(J$3,correlation!$C$2:$N$2,0))*VLOOKUP($A5,$U$4:$Z$15,$Z$1,FALSE)*VLOOKUP(J$3,$U$4:$Z$15,$Z$1,FALSE)</f>
        <v>0</v>
      </c>
      <c r="K5" s="15">
        <f>VLOOKUP($A5,lognormal!$I$3:$M$14,lognormal!$M$1,FALSE) * VLOOKUP(K$3,lognormal!$I$3:$M$14,lognormal!$M$1,FALSE) *INDEX(correlation!$C$3:$N$14,MATCH($A5,correlation!$B$3:$B$14,0),MATCH(K$3,correlation!$C$2:$N$2,0))*VLOOKUP($A5,$U$4:$Z$15,$Z$1,FALSE)*VLOOKUP(K$3,$U$4:$Z$15,$Z$1,FALSE)</f>
        <v>0</v>
      </c>
      <c r="L5" s="15">
        <f>VLOOKUP($A5,lognormal!$I$3:$M$14,lognormal!$M$1,FALSE) * VLOOKUP(L$3,lognormal!$I$3:$M$14,lognormal!$M$1,FALSE) *INDEX(correlation!$C$3:$N$14,MATCH($A5,correlation!$B$3:$B$14,0),MATCH(L$3,correlation!$C$2:$N$2,0))*VLOOKUP($A5,$U$4:$Z$15,$Z$1,FALSE)*VLOOKUP(L$3,$U$4:$Z$15,$Z$1,FALSE)</f>
        <v>0</v>
      </c>
      <c r="M5" s="15">
        <f>VLOOKUP($A5,lognormal!$I$3:$M$14,lognormal!$M$1,FALSE) * VLOOKUP(M$3,lognormal!$I$3:$M$14,lognormal!$M$1,FALSE) *INDEX(correlation!$C$3:$N$14,MATCH($A5,correlation!$B$3:$B$14,0),MATCH(M$3,correlation!$C$2:$N$2,0))*VLOOKUP($A5,$U$4:$Z$15,$Z$1,FALSE)*VLOOKUP(M$3,$U$4:$Z$15,$Z$1,FALSE)</f>
        <v>0</v>
      </c>
      <c r="N5" s="16">
        <f t="shared" ref="N5:N15" si="1">SUM(C5:M5)</f>
        <v>0</v>
      </c>
      <c r="O5" s="9">
        <f>INDEX(beta!$B$3:$D$14,MATCH($A5,beta!$A$3:$A$14,0),MATCH(O$3,beta!$B$2:$D$2,0))</f>
        <v>0.15743642273504599</v>
      </c>
      <c r="P5" s="30">
        <f t="shared" ref="P5:P15" si="2">O5*VLOOKUP(A5,$U$4:$Z$15,$Z$1,FALSE)</f>
        <v>0</v>
      </c>
      <c r="Q5" s="30">
        <f>O5*(VLOOKUP($O$3,lognormal!$A$3:$C$14,3,FALSE)-$V$23)+$V$23</f>
        <v>1.5631391948564832E-2</v>
      </c>
      <c r="R5" s="23">
        <f>EXP(VLOOKUP(A5,lognormal!$A$3:$C$14,3,FALSE)-Q5)-1</f>
        <v>-2.1327472773302603E-2</v>
      </c>
      <c r="S5" s="15">
        <f>INDEX(beta!$B$3:$D$14,MATCH($A5,beta!$A$3:$A$14,0),MATCH(S$3,beta!$B$2:$D$2,0))</f>
        <v>1</v>
      </c>
      <c r="T5" s="10">
        <f>INDEX(beta!$B$3:$D$14,MATCH($A5,beta!$A$3:$A$14,0),MATCH(T$3,beta!$B$2:$D$2,0))</f>
        <v>0.48734204708203599</v>
      </c>
      <c r="U5" s="9" t="s">
        <v>17</v>
      </c>
      <c r="V5" s="39"/>
      <c r="W5" s="39"/>
      <c r="X5" s="39"/>
      <c r="Y5" s="8">
        <f t="shared" ref="Y5:Y15" si="3">AC5/$AC$20</f>
        <v>0</v>
      </c>
      <c r="Z5" s="46">
        <f t="shared" ref="Z5:Z15" si="4">AA5</f>
        <v>0</v>
      </c>
      <c r="AA5" s="45">
        <f>VLOOKUP(U5,tangentPorfolio!$A$2:$B$13,2,FALSE)</f>
        <v>0</v>
      </c>
      <c r="AB5" s="17">
        <f>IF(ISNUMBER(SEARCH("HK",U5)),1,IF(ISNUMBER(SEARCH("SZ",U5)), V22, V21))</f>
        <v>1.20726716</v>
      </c>
      <c r="AC5" s="18">
        <f t="shared" si="0"/>
        <v>0</v>
      </c>
    </row>
    <row r="6" spans="1:30">
      <c r="A6" s="16" t="s">
        <v>20</v>
      </c>
      <c r="B6" s="15">
        <f>VLOOKUP($A6,lognormal!$I$3:$M$14,lognormal!$M$1,FALSE) * VLOOKUP(B$3,lognormal!$I$3:$M$14,lognormal!$M$1,FALSE) *INDEX(correlation!$C$3:$N$14,MATCH($A6,correlation!$B$3:$B$14,0),MATCH(B$3,correlation!$C$2:$N$2,0))*VLOOKUP($A6,$U$4:$Z$15,$Z$1,FALSE)*VLOOKUP(B$3,$U$4:$Z$15,$Z$1,FALSE)</f>
        <v>0</v>
      </c>
      <c r="C6" s="15">
        <f>VLOOKUP($A6,lognormal!$I$3:$M$14,lognormal!$M$1,FALSE) * VLOOKUP(C$3,lognormal!$I$3:$M$14,lognormal!$M$1,FALSE) *INDEX(correlation!$C$3:$N$14,MATCH($A6,correlation!$B$3:$B$14,0),MATCH(C$3,correlation!$C$2:$N$2,0))*VLOOKUP($A6,$U$4:$Z$15,$Z$1,FALSE)*VLOOKUP(C$3,$U$4:$Z$15,$Z$1,FALSE)</f>
        <v>0</v>
      </c>
      <c r="D6" s="15">
        <f>VLOOKUP($A6,lognormal!$I$3:$M$14,lognormal!$M$1,FALSE) * VLOOKUP(D$3,lognormal!$I$3:$M$14,lognormal!$M$1,FALSE) *INDEX(correlation!$C$3:$N$14,MATCH($A6,correlation!$B$3:$B$14,0),MATCH(D$3,correlation!$C$2:$N$2,0))*VLOOKUP($A6,$U$4:$Z$15,$Z$1,FALSE)*VLOOKUP(D$3,$U$4:$Z$15,$Z$1,FALSE)</f>
        <v>1.1864411636941372E-4</v>
      </c>
      <c r="E6" s="15">
        <f>VLOOKUP($A6,lognormal!$I$3:$M$14,lognormal!$M$1,FALSE) * VLOOKUP(E$3,lognormal!$I$3:$M$14,lognormal!$M$1,FALSE) *INDEX(correlation!$C$3:$N$14,MATCH($A6,correlation!$B$3:$B$14,0),MATCH(E$3,correlation!$C$2:$N$2,0))*VLOOKUP($A6,$U$4:$Z$15,$Z$1,FALSE)*VLOOKUP(E$3,$U$4:$Z$15,$Z$1,FALSE)</f>
        <v>0</v>
      </c>
      <c r="F6" s="15">
        <f>VLOOKUP($A6,lognormal!$I$3:$M$14,lognormal!$M$1,FALSE) * VLOOKUP(F$3,lognormal!$I$3:$M$14,lognormal!$M$1,FALSE) *INDEX(correlation!$C$3:$N$14,MATCH($A6,correlation!$B$3:$B$14,0),MATCH(F$3,correlation!$C$2:$N$2,0))*VLOOKUP($A6,$U$4:$Z$15,$Z$1,FALSE)*VLOOKUP(F$3,$U$4:$Z$15,$Z$1,FALSE)</f>
        <v>5.7893772423544671E-5</v>
      </c>
      <c r="G6" s="15">
        <f>VLOOKUP($A6,lognormal!$I$3:$M$14,lognormal!$M$1,FALSE) * VLOOKUP(G$3,lognormal!$I$3:$M$14,lognormal!$M$1,FALSE) *INDEX(correlation!$C$3:$N$14,MATCH($A6,correlation!$B$3:$B$14,0),MATCH(G$3,correlation!$C$2:$N$2,0))*VLOOKUP($A6,$U$4:$Z$15,$Z$1,FALSE)*VLOOKUP(G$3,$U$4:$Z$15,$Z$1,FALSE)</f>
        <v>5.8008584473348742E-19</v>
      </c>
      <c r="H6" s="15">
        <f>VLOOKUP($A6,lognormal!$I$3:$M$14,lognormal!$M$1,FALSE) * VLOOKUP(H$3,lognormal!$I$3:$M$14,lognormal!$M$1,FALSE) *INDEX(correlation!$C$3:$N$14,MATCH($A6,correlation!$B$3:$B$14,0),MATCH(H$3,correlation!$C$2:$N$2,0))*VLOOKUP($A6,$U$4:$Z$15,$Z$1,FALSE)*VLOOKUP(H$3,$U$4:$Z$15,$Z$1,FALSE)</f>
        <v>0</v>
      </c>
      <c r="I6" s="15">
        <f>VLOOKUP($A6,lognormal!$I$3:$M$14,lognormal!$M$1,FALSE) * VLOOKUP(I$3,lognormal!$I$3:$M$14,lognormal!$M$1,FALSE) *INDEX(correlation!$C$3:$N$14,MATCH($A6,correlation!$B$3:$B$14,0),MATCH(I$3,correlation!$C$2:$N$2,0))*VLOOKUP($A6,$U$4:$Z$15,$Z$1,FALSE)*VLOOKUP(I$3,$U$4:$Z$15,$Z$1,FALSE)</f>
        <v>5.5805554575100664E-5</v>
      </c>
      <c r="J6" s="15">
        <f>VLOOKUP($A6,lognormal!$I$3:$M$14,lognormal!$M$1,FALSE) * VLOOKUP(J$3,lognormal!$I$3:$M$14,lognormal!$M$1,FALSE) *INDEX(correlation!$C$3:$N$14,MATCH($A6,correlation!$B$3:$B$14,0),MATCH(J$3,correlation!$C$2:$N$2,0))*VLOOKUP($A6,$U$4:$Z$15,$Z$1,FALSE)*VLOOKUP(J$3,$U$4:$Z$15,$Z$1,FALSE)</f>
        <v>4.3102665103754632E-5</v>
      </c>
      <c r="K6" s="15">
        <f>VLOOKUP($A6,lognormal!$I$3:$M$14,lognormal!$M$1,FALSE) * VLOOKUP(K$3,lognormal!$I$3:$M$14,lognormal!$M$1,FALSE) *INDEX(correlation!$C$3:$N$14,MATCH($A6,correlation!$B$3:$B$14,0),MATCH(K$3,correlation!$C$2:$N$2,0))*VLOOKUP($A6,$U$4:$Z$15,$Z$1,FALSE)*VLOOKUP(K$3,$U$4:$Z$15,$Z$1,FALSE)</f>
        <v>0</v>
      </c>
      <c r="L6" s="15">
        <f>VLOOKUP($A6,lognormal!$I$3:$M$14,lognormal!$M$1,FALSE) * VLOOKUP(L$3,lognormal!$I$3:$M$14,lognormal!$M$1,FALSE) *INDEX(correlation!$C$3:$N$14,MATCH($A6,correlation!$B$3:$B$14,0),MATCH(L$3,correlation!$C$2:$N$2,0))*VLOOKUP($A6,$U$4:$Z$15,$Z$1,FALSE)*VLOOKUP(L$3,$U$4:$Z$15,$Z$1,FALSE)</f>
        <v>0</v>
      </c>
      <c r="M6" s="15">
        <f>VLOOKUP($A6,lognormal!$I$3:$M$14,lognormal!$M$1,FALSE) * VLOOKUP(M$3,lognormal!$I$3:$M$14,lognormal!$M$1,FALSE) *INDEX(correlation!$C$3:$N$14,MATCH($A6,correlation!$B$3:$B$14,0),MATCH(M$3,correlation!$C$2:$N$2,0))*VLOOKUP($A6,$U$4:$Z$15,$Z$1,FALSE)*VLOOKUP(M$3,$U$4:$Z$15,$Z$1,FALSE)</f>
        <v>2.3504700383027252E-18</v>
      </c>
      <c r="N6" s="16">
        <f t="shared" si="1"/>
        <v>2.7544610847181659E-4</v>
      </c>
      <c r="O6" s="9">
        <f>INDEX(beta!$B$3:$D$14,MATCH($A6,beta!$A$3:$A$14,0),MATCH(O$3,beta!$B$2:$D$2,0))</f>
        <v>0.27083084484242498</v>
      </c>
      <c r="P6" s="30">
        <f t="shared" si="2"/>
        <v>2.3797036109148531E-2</v>
      </c>
      <c r="Q6" s="30">
        <f>O6*(VLOOKUP($O$3,lognormal!$A$3:$C$14,3,FALSE)-$V$23)+$V$23</f>
        <v>2.4229958575994973E-2</v>
      </c>
      <c r="R6" s="23">
        <f>EXP(VLOOKUP(A6,lognormal!$A$3:$C$14,3,FALSE)-Q6)-1</f>
        <v>4.5848935681397807E-2</v>
      </c>
      <c r="S6" s="15">
        <f>INDEX(beta!$B$3:$D$14,MATCH($A6,beta!$A$3:$A$14,0),MATCH(S$3,beta!$B$2:$D$2,0))</f>
        <v>0.24531328073466099</v>
      </c>
      <c r="T6" s="10">
        <f>INDEX(beta!$B$3:$D$14,MATCH($A6,beta!$A$3:$A$14,0),MATCH(T$3,beta!$B$2:$D$2,0))</f>
        <v>0.82233353607652304</v>
      </c>
      <c r="U6" s="9" t="s">
        <v>20</v>
      </c>
      <c r="V6" s="38"/>
      <c r="W6" s="38"/>
      <c r="X6" s="38"/>
      <c r="Y6" s="8">
        <f t="shared" si="3"/>
        <v>0</v>
      </c>
      <c r="Z6" s="46">
        <f t="shared" si="4"/>
        <v>8.78667868240567E-2</v>
      </c>
      <c r="AA6" s="45">
        <f>VLOOKUP(U6,tangentPorfolio!$A$2:$B$13,2,FALSE)</f>
        <v>8.78667868240567E-2</v>
      </c>
      <c r="AB6" s="17">
        <f t="shared" ref="AB6:AB15" si="5">IF(ISNUMBER(SEARCH("HK",U6)),1,$V$21)</f>
        <v>1</v>
      </c>
      <c r="AC6" s="18">
        <f t="shared" si="0"/>
        <v>0</v>
      </c>
    </row>
    <row r="7" spans="1:30">
      <c r="A7" s="16" t="s">
        <v>19</v>
      </c>
      <c r="B7" s="15">
        <f>VLOOKUP($A7,lognormal!$I$3:$M$14,lognormal!$M$1,FALSE) * VLOOKUP(B$3,lognormal!$I$3:$M$14,lognormal!$M$1,FALSE) *INDEX(correlation!$C$3:$N$14,MATCH($A7,correlation!$B$3:$B$14,0),MATCH(B$3,correlation!$C$2:$N$2,0))*VLOOKUP($A7,$U$4:$Z$15,$Z$1,FALSE)*VLOOKUP(B$3,$U$4:$Z$15,$Z$1,FALSE)</f>
        <v>0</v>
      </c>
      <c r="C7" s="15">
        <f>VLOOKUP($A7,lognormal!$I$3:$M$14,lognormal!$M$1,FALSE) * VLOOKUP(C$3,lognormal!$I$3:$M$14,lognormal!$M$1,FALSE) *INDEX(correlation!$C$3:$N$14,MATCH($A7,correlation!$B$3:$B$14,0),MATCH(C$3,correlation!$C$2:$N$2,0))*VLOOKUP($A7,$U$4:$Z$15,$Z$1,FALSE)*VLOOKUP(C$3,$U$4:$Z$15,$Z$1,FALSE)</f>
        <v>0</v>
      </c>
      <c r="D7" s="15">
        <f>VLOOKUP($A7,lognormal!$I$3:$M$14,lognormal!$M$1,FALSE) * VLOOKUP(D$3,lognormal!$I$3:$M$14,lognormal!$M$1,FALSE) *INDEX(correlation!$C$3:$N$14,MATCH($A7,correlation!$B$3:$B$14,0),MATCH(D$3,correlation!$C$2:$N$2,0))*VLOOKUP($A7,$U$4:$Z$15,$Z$1,FALSE)*VLOOKUP(D$3,$U$4:$Z$15,$Z$1,FALSE)</f>
        <v>0</v>
      </c>
      <c r="E7" s="15">
        <f>VLOOKUP($A7,lognormal!$I$3:$M$14,lognormal!$M$1,FALSE) * VLOOKUP(E$3,lognormal!$I$3:$M$14,lognormal!$M$1,FALSE) *INDEX(correlation!$C$3:$N$14,MATCH($A7,correlation!$B$3:$B$14,0),MATCH(E$3,correlation!$C$2:$N$2,0))*VLOOKUP($A7,$U$4:$Z$15,$Z$1,FALSE)*VLOOKUP(E$3,$U$4:$Z$15,$Z$1,FALSE)</f>
        <v>0</v>
      </c>
      <c r="F7" s="15">
        <f>VLOOKUP($A7,lognormal!$I$3:$M$14,lognormal!$M$1,FALSE) * VLOOKUP(F$3,lognormal!$I$3:$M$14,lognormal!$M$1,FALSE) *INDEX(correlation!$C$3:$N$14,MATCH($A7,correlation!$B$3:$B$14,0),MATCH(F$3,correlation!$C$2:$N$2,0))*VLOOKUP($A7,$U$4:$Z$15,$Z$1,FALSE)*VLOOKUP(F$3,$U$4:$Z$15,$Z$1,FALSE)</f>
        <v>0</v>
      </c>
      <c r="G7" s="15">
        <f>VLOOKUP($A7,lognormal!$I$3:$M$14,lognormal!$M$1,FALSE) * VLOOKUP(G$3,lognormal!$I$3:$M$14,lognormal!$M$1,FALSE) *INDEX(correlation!$C$3:$N$14,MATCH($A7,correlation!$B$3:$B$14,0),MATCH(G$3,correlation!$C$2:$N$2,0))*VLOOKUP($A7,$U$4:$Z$15,$Z$1,FALSE)*VLOOKUP(G$3,$U$4:$Z$15,$Z$1,FALSE)</f>
        <v>0</v>
      </c>
      <c r="H7" s="15">
        <f>VLOOKUP($A7,lognormal!$I$3:$M$14,lognormal!$M$1,FALSE) * VLOOKUP(H$3,lognormal!$I$3:$M$14,lognormal!$M$1,FALSE) *INDEX(correlation!$C$3:$N$14,MATCH($A7,correlation!$B$3:$B$14,0),MATCH(H$3,correlation!$C$2:$N$2,0))*VLOOKUP($A7,$U$4:$Z$15,$Z$1,FALSE)*VLOOKUP(H$3,$U$4:$Z$15,$Z$1,FALSE)</f>
        <v>0</v>
      </c>
      <c r="I7" s="15">
        <f>VLOOKUP($A7,lognormal!$I$3:$M$14,lognormal!$M$1,FALSE) * VLOOKUP(I$3,lognormal!$I$3:$M$14,lognormal!$M$1,FALSE) *INDEX(correlation!$C$3:$N$14,MATCH($A7,correlation!$B$3:$B$14,0),MATCH(I$3,correlation!$C$2:$N$2,0))*VLOOKUP($A7,$U$4:$Z$15,$Z$1,FALSE)*VLOOKUP(I$3,$U$4:$Z$15,$Z$1,FALSE)</f>
        <v>0</v>
      </c>
      <c r="J7" s="15">
        <f>VLOOKUP($A7,lognormal!$I$3:$M$14,lognormal!$M$1,FALSE) * VLOOKUP(J$3,lognormal!$I$3:$M$14,lognormal!$M$1,FALSE) *INDEX(correlation!$C$3:$N$14,MATCH($A7,correlation!$B$3:$B$14,0),MATCH(J$3,correlation!$C$2:$N$2,0))*VLOOKUP($A7,$U$4:$Z$15,$Z$1,FALSE)*VLOOKUP(J$3,$U$4:$Z$15,$Z$1,FALSE)</f>
        <v>0</v>
      </c>
      <c r="K7" s="15">
        <f>VLOOKUP($A7,lognormal!$I$3:$M$14,lognormal!$M$1,FALSE) * VLOOKUP(K$3,lognormal!$I$3:$M$14,lognormal!$M$1,FALSE) *INDEX(correlation!$C$3:$N$14,MATCH($A7,correlation!$B$3:$B$14,0),MATCH(K$3,correlation!$C$2:$N$2,0))*VLOOKUP($A7,$U$4:$Z$15,$Z$1,FALSE)*VLOOKUP(K$3,$U$4:$Z$15,$Z$1,FALSE)</f>
        <v>0</v>
      </c>
      <c r="L7" s="15">
        <f>VLOOKUP($A7,lognormal!$I$3:$M$14,lognormal!$M$1,FALSE) * VLOOKUP(L$3,lognormal!$I$3:$M$14,lognormal!$M$1,FALSE) *INDEX(correlation!$C$3:$N$14,MATCH($A7,correlation!$B$3:$B$14,0),MATCH(L$3,correlation!$C$2:$N$2,0))*VLOOKUP($A7,$U$4:$Z$15,$Z$1,FALSE)*VLOOKUP(L$3,$U$4:$Z$15,$Z$1,FALSE)</f>
        <v>0</v>
      </c>
      <c r="M7" s="15">
        <f>VLOOKUP($A7,lognormal!$I$3:$M$14,lognormal!$M$1,FALSE) * VLOOKUP(M$3,lognormal!$I$3:$M$14,lognormal!$M$1,FALSE) *INDEX(correlation!$C$3:$N$14,MATCH($A7,correlation!$B$3:$B$14,0),MATCH(M$3,correlation!$C$2:$N$2,0))*VLOOKUP($A7,$U$4:$Z$15,$Z$1,FALSE)*VLOOKUP(M$3,$U$4:$Z$15,$Z$1,FALSE)</f>
        <v>0</v>
      </c>
      <c r="N7" s="16">
        <f t="shared" si="1"/>
        <v>0</v>
      </c>
      <c r="O7" s="9">
        <f>INDEX(beta!$B$3:$D$14,MATCH($A7,beta!$A$3:$A$14,0),MATCH(O$3,beta!$B$2:$D$2,0))</f>
        <v>0.107490055967637</v>
      </c>
      <c r="P7" s="30">
        <f t="shared" si="2"/>
        <v>0</v>
      </c>
      <c r="Q7" s="30">
        <f>O7*(VLOOKUP($O$3,lognormal!$A$3:$C$14,3,FALSE)-$V$23)+$V$23</f>
        <v>1.1844017274694679E-2</v>
      </c>
      <c r="R7" s="23">
        <f>EXP(VLOOKUP(A7,lognormal!$A$3:$C$14,3,FALSE)-Q7)-1</f>
        <v>-6.5132913338541987E-2</v>
      </c>
      <c r="S7" s="15">
        <f>INDEX(beta!$B$3:$D$14,MATCH($A7,beta!$A$3:$A$14,0),MATCH(S$3,beta!$B$2:$D$2,0))</f>
        <v>7.8730227643679707E-2</v>
      </c>
      <c r="T7" s="10">
        <f>INDEX(beta!$B$3:$D$14,MATCH($A7,beta!$A$3:$A$14,0),MATCH(T$3,beta!$B$2:$D$2,0))</f>
        <v>0.15387059728765001</v>
      </c>
      <c r="U7" s="9" t="s">
        <v>19</v>
      </c>
      <c r="V7" s="38"/>
      <c r="W7" s="38"/>
      <c r="X7" s="38"/>
      <c r="Y7" s="8">
        <f t="shared" si="3"/>
        <v>0</v>
      </c>
      <c r="Z7" s="46">
        <f t="shared" si="4"/>
        <v>0</v>
      </c>
      <c r="AA7" s="45">
        <f>VLOOKUP(U7,tangentPorfolio!$A$2:$B$13,2,FALSE)</f>
        <v>0</v>
      </c>
      <c r="AB7" s="17">
        <f t="shared" si="5"/>
        <v>1</v>
      </c>
      <c r="AC7" s="18">
        <f t="shared" si="0"/>
        <v>0</v>
      </c>
    </row>
    <row r="8" spans="1:30">
      <c r="A8" s="16" t="s">
        <v>18</v>
      </c>
      <c r="B8" s="15">
        <f>VLOOKUP($A8,lognormal!$I$3:$M$14,lognormal!$M$1,FALSE) * VLOOKUP(B$3,lognormal!$I$3:$M$14,lognormal!$M$1,FALSE) *INDEX(correlation!$C$3:$N$14,MATCH($A8,correlation!$B$3:$B$14,0),MATCH(B$3,correlation!$C$2:$N$2,0))*VLOOKUP($A8,$U$4:$Z$15,$Z$1,FALSE)*VLOOKUP(B$3,$U$4:$Z$15,$Z$1,FALSE)</f>
        <v>0</v>
      </c>
      <c r="C8" s="15">
        <f>VLOOKUP($A8,lognormal!$I$3:$M$14,lognormal!$M$1,FALSE) * VLOOKUP(C$3,lognormal!$I$3:$M$14,lognormal!$M$1,FALSE) *INDEX(correlation!$C$3:$N$14,MATCH($A8,correlation!$B$3:$B$14,0),MATCH(C$3,correlation!$C$2:$N$2,0))*VLOOKUP($A8,$U$4:$Z$15,$Z$1,FALSE)*VLOOKUP(C$3,$U$4:$Z$15,$Z$1,FALSE)</f>
        <v>0</v>
      </c>
      <c r="D8" s="15">
        <f>VLOOKUP($A8,lognormal!$I$3:$M$14,lognormal!$M$1,FALSE) * VLOOKUP(D$3,lognormal!$I$3:$M$14,lognormal!$M$1,FALSE) *INDEX(correlation!$C$3:$N$14,MATCH($A8,correlation!$B$3:$B$14,0),MATCH(D$3,correlation!$C$2:$N$2,0))*VLOOKUP($A8,$U$4:$Z$15,$Z$1,FALSE)*VLOOKUP(D$3,$U$4:$Z$15,$Z$1,FALSE)</f>
        <v>5.7893772423544664E-5</v>
      </c>
      <c r="E8" s="15">
        <f>VLOOKUP($A8,lognormal!$I$3:$M$14,lognormal!$M$1,FALSE) * VLOOKUP(E$3,lognormal!$I$3:$M$14,lognormal!$M$1,FALSE) *INDEX(correlation!$C$3:$N$14,MATCH($A8,correlation!$B$3:$B$14,0),MATCH(E$3,correlation!$C$2:$N$2,0))*VLOOKUP($A8,$U$4:$Z$15,$Z$1,FALSE)*VLOOKUP(E$3,$U$4:$Z$15,$Z$1,FALSE)</f>
        <v>0</v>
      </c>
      <c r="F8" s="15">
        <f>VLOOKUP($A8,lognormal!$I$3:$M$14,lognormal!$M$1,FALSE) * VLOOKUP(F$3,lognormal!$I$3:$M$14,lognormal!$M$1,FALSE) *INDEX(correlation!$C$3:$N$14,MATCH($A8,correlation!$B$3:$B$14,0),MATCH(F$3,correlation!$C$2:$N$2,0))*VLOOKUP($A8,$U$4:$Z$15,$Z$1,FALSE)*VLOOKUP(F$3,$U$4:$Z$15,$Z$1,FALSE)</f>
        <v>9.3717826867770562E-4</v>
      </c>
      <c r="G8" s="15">
        <f>VLOOKUP($A8,lognormal!$I$3:$M$14,lognormal!$M$1,FALSE) * VLOOKUP(G$3,lognormal!$I$3:$M$14,lognormal!$M$1,FALSE) *INDEX(correlation!$C$3:$N$14,MATCH($A8,correlation!$B$3:$B$14,0),MATCH(G$3,correlation!$C$2:$N$2,0))*VLOOKUP($A8,$U$4:$Z$15,$Z$1,FALSE)*VLOOKUP(G$3,$U$4:$Z$15,$Z$1,FALSE)</f>
        <v>4.5707262806143747E-19</v>
      </c>
      <c r="H8" s="15">
        <f>VLOOKUP($A8,lognormal!$I$3:$M$14,lognormal!$M$1,FALSE) * VLOOKUP(H$3,lognormal!$I$3:$M$14,lognormal!$M$1,FALSE) *INDEX(correlation!$C$3:$N$14,MATCH($A8,correlation!$B$3:$B$14,0),MATCH(H$3,correlation!$C$2:$N$2,0))*VLOOKUP($A8,$U$4:$Z$15,$Z$1,FALSE)*VLOOKUP(H$3,$U$4:$Z$15,$Z$1,FALSE)</f>
        <v>0</v>
      </c>
      <c r="I8" s="15">
        <f>VLOOKUP($A8,lognormal!$I$3:$M$14,lognormal!$M$1,FALSE) * VLOOKUP(I$3,lognormal!$I$3:$M$14,lognormal!$M$1,FALSE) *INDEX(correlation!$C$3:$N$14,MATCH($A8,correlation!$B$3:$B$14,0),MATCH(I$3,correlation!$C$2:$N$2,0))*VLOOKUP($A8,$U$4:$Z$15,$Z$1,FALSE)*VLOOKUP(I$3,$U$4:$Z$15,$Z$1,FALSE)</f>
        <v>4.3848362607566373E-4</v>
      </c>
      <c r="J8" s="15">
        <f>VLOOKUP($A8,lognormal!$I$3:$M$14,lognormal!$M$1,FALSE) * VLOOKUP(J$3,lognormal!$I$3:$M$14,lognormal!$M$1,FALSE) *INDEX(correlation!$C$3:$N$14,MATCH($A8,correlation!$B$3:$B$14,0),MATCH(J$3,correlation!$C$2:$N$2,0))*VLOOKUP($A8,$U$4:$Z$15,$Z$1,FALSE)*VLOOKUP(J$3,$U$4:$Z$15,$Z$1,FALSE)</f>
        <v>1.8830422707546008E-4</v>
      </c>
      <c r="K8" s="15">
        <f>VLOOKUP($A8,lognormal!$I$3:$M$14,lognormal!$M$1,FALSE) * VLOOKUP(K$3,lognormal!$I$3:$M$14,lognormal!$M$1,FALSE) *INDEX(correlation!$C$3:$N$14,MATCH($A8,correlation!$B$3:$B$14,0),MATCH(K$3,correlation!$C$2:$N$2,0))*VLOOKUP($A8,$U$4:$Z$15,$Z$1,FALSE)*VLOOKUP(K$3,$U$4:$Z$15,$Z$1,FALSE)</f>
        <v>0</v>
      </c>
      <c r="L8" s="15">
        <f>VLOOKUP($A8,lognormal!$I$3:$M$14,lognormal!$M$1,FALSE) * VLOOKUP(L$3,lognormal!$I$3:$M$14,lognormal!$M$1,FALSE) *INDEX(correlation!$C$3:$N$14,MATCH($A8,correlation!$B$3:$B$14,0),MATCH(L$3,correlation!$C$2:$N$2,0))*VLOOKUP($A8,$U$4:$Z$15,$Z$1,FALSE)*VLOOKUP(L$3,$U$4:$Z$15,$Z$1,FALSE)</f>
        <v>0</v>
      </c>
      <c r="M8" s="15">
        <f>VLOOKUP($A8,lognormal!$I$3:$M$14,lognormal!$M$1,FALSE) * VLOOKUP(M$3,lognormal!$I$3:$M$14,lognormal!$M$1,FALSE) *INDEX(correlation!$C$3:$N$14,MATCH($A8,correlation!$B$3:$B$14,0),MATCH(M$3,correlation!$C$2:$N$2,0))*VLOOKUP($A8,$U$4:$Z$15,$Z$1,FALSE)*VLOOKUP(M$3,$U$4:$Z$15,$Z$1,FALSE)</f>
        <v>1.6216570464018532E-17</v>
      </c>
      <c r="N8" s="16">
        <f t="shared" si="1"/>
        <v>1.6218598942523907E-3</v>
      </c>
      <c r="O8" s="9">
        <f>INDEX(beta!$B$3:$D$14,MATCH($A8,beta!$A$3:$A$14,0),MATCH(O$3,beta!$B$2:$D$2,0))</f>
        <v>0.45307655490166998</v>
      </c>
      <c r="P8" s="30">
        <f t="shared" si="2"/>
        <v>0.16151414691200811</v>
      </c>
      <c r="Q8" s="30">
        <f>O8*(VLOOKUP($O$3,lognormal!$A$3:$C$14,3,FALSE)-$V$23)+$V$23</f>
        <v>3.8049437977052389E-2</v>
      </c>
      <c r="R8" s="23">
        <f>EXP(VLOOKUP(A8,lognormal!$A$3:$C$14,3,FALSE)-Q8)-1</f>
        <v>0.10947216276619942</v>
      </c>
      <c r="S8" s="15">
        <f>INDEX(beta!$B$3:$D$14,MATCH($A8,beta!$A$3:$A$14,0),MATCH(S$3,beta!$B$2:$D$2,0))</f>
        <v>8.1742052260978207E-2</v>
      </c>
      <c r="T8" s="10">
        <f>INDEX(beta!$B$3:$D$14,MATCH($A8,beta!$A$3:$A$14,0),MATCH(T$3,beta!$B$2:$D$2,0))</f>
        <v>0.15913902386590301</v>
      </c>
      <c r="U8" s="9" t="s">
        <v>18</v>
      </c>
      <c r="V8" s="40"/>
      <c r="W8" s="40"/>
      <c r="X8" s="40"/>
      <c r="Y8" s="8">
        <f t="shared" si="3"/>
        <v>0</v>
      </c>
      <c r="Z8" s="46">
        <f t="shared" si="4"/>
        <v>0.35648312666953402</v>
      </c>
      <c r="AA8" s="45">
        <f>VLOOKUP(U8,tangentPorfolio!$A$2:$B$13,2,FALSE)</f>
        <v>0.35648312666953402</v>
      </c>
      <c r="AB8" s="17">
        <f t="shared" si="5"/>
        <v>7.75</v>
      </c>
      <c r="AC8" s="18">
        <f t="shared" si="0"/>
        <v>0</v>
      </c>
    </row>
    <row r="9" spans="1:30">
      <c r="A9" s="16" t="s">
        <v>23</v>
      </c>
      <c r="B9" s="15">
        <f>VLOOKUP($A9,lognormal!$I$3:$M$14,lognormal!$M$1,FALSE) * VLOOKUP(B$3,lognormal!$I$3:$M$14,lognormal!$M$1,FALSE) *INDEX(correlation!$C$3:$N$14,MATCH($A9,correlation!$B$3:$B$14,0),MATCH(B$3,correlation!$C$2:$N$2,0))*VLOOKUP($A9,$U$4:$Z$15,$Z$1,FALSE)*VLOOKUP(B$3,$U$4:$Z$15,$Z$1,FALSE)</f>
        <v>0</v>
      </c>
      <c r="C9" s="15">
        <f>VLOOKUP($A9,lognormal!$I$3:$M$14,lognormal!$M$1,FALSE) * VLOOKUP(C$3,lognormal!$I$3:$M$14,lognormal!$M$1,FALSE) *INDEX(correlation!$C$3:$N$14,MATCH($A9,correlation!$B$3:$B$14,0),MATCH(C$3,correlation!$C$2:$N$2,0))*VLOOKUP($A9,$U$4:$Z$15,$Z$1,FALSE)*VLOOKUP(C$3,$U$4:$Z$15,$Z$1,FALSE)</f>
        <v>0</v>
      </c>
      <c r="D9" s="15">
        <f>VLOOKUP($A9,lognormal!$I$3:$M$14,lognormal!$M$1,FALSE) * VLOOKUP(D$3,lognormal!$I$3:$M$14,lognormal!$M$1,FALSE) *INDEX(correlation!$C$3:$N$14,MATCH($A9,correlation!$B$3:$B$14,0),MATCH(D$3,correlation!$C$2:$N$2,0))*VLOOKUP($A9,$U$4:$Z$15,$Z$1,FALSE)*VLOOKUP(D$3,$U$4:$Z$15,$Z$1,FALSE)</f>
        <v>5.8008584473348742E-19</v>
      </c>
      <c r="E9" s="15">
        <f>VLOOKUP($A9,lognormal!$I$3:$M$14,lognormal!$M$1,FALSE) * VLOOKUP(E$3,lognormal!$I$3:$M$14,lognormal!$M$1,FALSE) *INDEX(correlation!$C$3:$N$14,MATCH($A9,correlation!$B$3:$B$14,0),MATCH(E$3,correlation!$C$2:$N$2,0))*VLOOKUP($A9,$U$4:$Z$15,$Z$1,FALSE)*VLOOKUP(E$3,$U$4:$Z$15,$Z$1,FALSE)</f>
        <v>0</v>
      </c>
      <c r="F9" s="15">
        <f>VLOOKUP($A9,lognormal!$I$3:$M$14,lognormal!$M$1,FALSE) * VLOOKUP(F$3,lognormal!$I$3:$M$14,lognormal!$M$1,FALSE) *INDEX(correlation!$C$3:$N$14,MATCH($A9,correlation!$B$3:$B$14,0),MATCH(F$3,correlation!$C$2:$N$2,0))*VLOOKUP($A9,$U$4:$Z$15,$Z$1,FALSE)*VLOOKUP(F$3,$U$4:$Z$15,$Z$1,FALSE)</f>
        <v>4.5707262806143747E-19</v>
      </c>
      <c r="G9" s="15">
        <f>VLOOKUP($A9,lognormal!$I$3:$M$14,lognormal!$M$1,FALSE) * VLOOKUP(G$3,lognormal!$I$3:$M$14,lognormal!$M$1,FALSE) *INDEX(correlation!$C$3:$N$14,MATCH($A9,correlation!$B$3:$B$14,0),MATCH(G$3,correlation!$C$2:$N$2,0))*VLOOKUP($A9,$U$4:$Z$15,$Z$1,FALSE)*VLOOKUP(G$3,$U$4:$Z$15,$Z$1,FALSE)</f>
        <v>6.2275140807604209E-33</v>
      </c>
      <c r="H9" s="15">
        <f>VLOOKUP($A9,lognormal!$I$3:$M$14,lognormal!$M$1,FALSE) * VLOOKUP(H$3,lognormal!$I$3:$M$14,lognormal!$M$1,FALSE) *INDEX(correlation!$C$3:$N$14,MATCH($A9,correlation!$B$3:$B$14,0),MATCH(H$3,correlation!$C$2:$N$2,0))*VLOOKUP($A9,$U$4:$Z$15,$Z$1,FALSE)*VLOOKUP(H$3,$U$4:$Z$15,$Z$1,FALSE)</f>
        <v>0</v>
      </c>
      <c r="I9" s="15">
        <f>VLOOKUP($A9,lognormal!$I$3:$M$14,lognormal!$M$1,FALSE) * VLOOKUP(I$3,lognormal!$I$3:$M$14,lognormal!$M$1,FALSE) *INDEX(correlation!$C$3:$N$14,MATCH($A9,correlation!$B$3:$B$14,0),MATCH(I$3,correlation!$C$2:$N$2,0))*VLOOKUP($A9,$U$4:$Z$15,$Z$1,FALSE)*VLOOKUP(I$3,$U$4:$Z$15,$Z$1,FALSE)</f>
        <v>3.2363793749960222E-19</v>
      </c>
      <c r="J9" s="15">
        <f>VLOOKUP($A9,lognormal!$I$3:$M$14,lognormal!$M$1,FALSE) * VLOOKUP(J$3,lognormal!$I$3:$M$14,lognormal!$M$1,FALSE) *INDEX(correlation!$C$3:$N$14,MATCH($A9,correlation!$B$3:$B$14,0),MATCH(J$3,correlation!$C$2:$N$2,0))*VLOOKUP($A9,$U$4:$Z$15,$Z$1,FALSE)*VLOOKUP(J$3,$U$4:$Z$15,$Z$1,FALSE)</f>
        <v>1.9263766850967296E-19</v>
      </c>
      <c r="K9" s="15">
        <f>VLOOKUP($A9,lognormal!$I$3:$M$14,lognormal!$M$1,FALSE) * VLOOKUP(K$3,lognormal!$I$3:$M$14,lognormal!$M$1,FALSE) *INDEX(correlation!$C$3:$N$14,MATCH($A9,correlation!$B$3:$B$14,0),MATCH(K$3,correlation!$C$2:$N$2,0))*VLOOKUP($A9,$U$4:$Z$15,$Z$1,FALSE)*VLOOKUP(K$3,$U$4:$Z$15,$Z$1,FALSE)</f>
        <v>0</v>
      </c>
      <c r="L9" s="15">
        <f>VLOOKUP($A9,lognormal!$I$3:$M$14,lognormal!$M$1,FALSE) * VLOOKUP(L$3,lognormal!$I$3:$M$14,lognormal!$M$1,FALSE) *INDEX(correlation!$C$3:$N$14,MATCH($A9,correlation!$B$3:$B$14,0),MATCH(L$3,correlation!$C$2:$N$2,0))*VLOOKUP($A9,$U$4:$Z$15,$Z$1,FALSE)*VLOOKUP(L$3,$U$4:$Z$15,$Z$1,FALSE)</f>
        <v>0</v>
      </c>
      <c r="M9" s="15">
        <f>VLOOKUP($A9,lognormal!$I$3:$M$14,lognormal!$M$1,FALSE) * VLOOKUP(M$3,lognormal!$I$3:$M$14,lognormal!$M$1,FALSE) *INDEX(correlation!$C$3:$N$14,MATCH($A9,correlation!$B$3:$B$14,0),MATCH(M$3,correlation!$C$2:$N$2,0))*VLOOKUP($A9,$U$4:$Z$15,$Z$1,FALSE)*VLOOKUP(M$3,$U$4:$Z$15,$Z$1,FALSE)</f>
        <v>1.5983516176880407E-32</v>
      </c>
      <c r="N9" s="16">
        <f t="shared" si="1"/>
        <v>1.5534340788042222E-18</v>
      </c>
      <c r="O9" s="9">
        <f>INDEX(beta!$B$3:$D$14,MATCH($A9,beta!$A$3:$A$14,0),MATCH(O$3,beta!$B$2:$D$2,0))</f>
        <v>0.211951644728336</v>
      </c>
      <c r="P9" s="30">
        <f t="shared" si="2"/>
        <v>1.6701319287533069E-16</v>
      </c>
      <c r="Q9" s="30">
        <f>O9*(VLOOKUP($O$3,lognormal!$A$3:$C$14,3,FALSE)-$V$23)+$V$23</f>
        <v>1.9765217579551891E-2</v>
      </c>
      <c r="R9" s="23">
        <f>EXP(VLOOKUP(A9,lognormal!$A$3:$C$14,3,FALSE)-Q9)-1</f>
        <v>2.2682137777185751E-3</v>
      </c>
      <c r="S9" s="15">
        <f>INDEX(beta!$B$3:$D$14,MATCH($A9,beta!$A$3:$A$14,0),MATCH(S$3,beta!$B$2:$D$2,0))</f>
        <v>0.36988209384246601</v>
      </c>
      <c r="T9" s="10">
        <f>INDEX(beta!$B$3:$D$14,MATCH($A9,beta!$A$3:$A$14,0),MATCH(T$3,beta!$B$2:$D$2,0))</f>
        <v>1</v>
      </c>
      <c r="U9" s="9" t="s">
        <v>23</v>
      </c>
      <c r="V9" s="38"/>
      <c r="W9" s="38"/>
      <c r="X9" s="38"/>
      <c r="Y9" s="8">
        <f t="shared" si="3"/>
        <v>0</v>
      </c>
      <c r="Z9" s="46">
        <f t="shared" si="4"/>
        <v>7.8797781017173003E-16</v>
      </c>
      <c r="AA9" s="45">
        <f>VLOOKUP(U9,tangentPorfolio!$A$2:$B$13,2,FALSE)</f>
        <v>7.8797781017173003E-16</v>
      </c>
      <c r="AB9" s="17">
        <f t="shared" si="5"/>
        <v>1</v>
      </c>
      <c r="AC9" s="18">
        <f t="shared" si="0"/>
        <v>0</v>
      </c>
    </row>
    <row r="10" spans="1:30" s="27" customFormat="1">
      <c r="A10" s="16" t="s">
        <v>22</v>
      </c>
      <c r="B10" s="15">
        <f>VLOOKUP($A10,lognormal!$I$3:$M$14,lognormal!$M$1,FALSE) * VLOOKUP(B$3,lognormal!$I$3:$M$14,lognormal!$M$1,FALSE) *INDEX(correlation!$C$3:$N$14,MATCH($A10,correlation!$B$3:$B$14,0),MATCH(B$3,correlation!$C$2:$N$2,0))*VLOOKUP($A10,$U$4:$Z$15,$Z$1,FALSE)*VLOOKUP(B$3,$U$4:$Z$15,$Z$1,FALSE)</f>
        <v>0</v>
      </c>
      <c r="C10" s="15">
        <f>VLOOKUP($A10,lognormal!$I$3:$M$14,lognormal!$M$1,FALSE) * VLOOKUP(C$3,lognormal!$I$3:$M$14,lognormal!$M$1,FALSE) *INDEX(correlation!$C$3:$N$14,MATCH($A10,correlation!$B$3:$B$14,0),MATCH(C$3,correlation!$C$2:$N$2,0))*VLOOKUP($A10,$U$4:$Z$15,$Z$1,FALSE)*VLOOKUP(C$3,$U$4:$Z$15,$Z$1,FALSE)</f>
        <v>0</v>
      </c>
      <c r="D10" s="15">
        <f>VLOOKUP($A10,lognormal!$I$3:$M$14,lognormal!$M$1,FALSE) * VLOOKUP(D$3,lognormal!$I$3:$M$14,lognormal!$M$1,FALSE) *INDEX(correlation!$C$3:$N$14,MATCH($A10,correlation!$B$3:$B$14,0),MATCH(D$3,correlation!$C$2:$N$2,0))*VLOOKUP($A10,$U$4:$Z$15,$Z$1,FALSE)*VLOOKUP(D$3,$U$4:$Z$15,$Z$1,FALSE)</f>
        <v>0</v>
      </c>
      <c r="E10" s="15">
        <f>VLOOKUP($A10,lognormal!$I$3:$M$14,lognormal!$M$1,FALSE) * VLOOKUP(E$3,lognormal!$I$3:$M$14,lognormal!$M$1,FALSE) *INDEX(correlation!$C$3:$N$14,MATCH($A10,correlation!$B$3:$B$14,0),MATCH(E$3,correlation!$C$2:$N$2,0))*VLOOKUP($A10,$U$4:$Z$15,$Z$1,FALSE)*VLOOKUP(E$3,$U$4:$Z$15,$Z$1,FALSE)</f>
        <v>0</v>
      </c>
      <c r="F10" s="15">
        <f>VLOOKUP($A10,lognormal!$I$3:$M$14,lognormal!$M$1,FALSE) * VLOOKUP(F$3,lognormal!$I$3:$M$14,lognormal!$M$1,FALSE) *INDEX(correlation!$C$3:$N$14,MATCH($A10,correlation!$B$3:$B$14,0),MATCH(F$3,correlation!$C$2:$N$2,0))*VLOOKUP($A10,$U$4:$Z$15,$Z$1,FALSE)*VLOOKUP(F$3,$U$4:$Z$15,$Z$1,FALSE)</f>
        <v>0</v>
      </c>
      <c r="G10" s="15">
        <f>VLOOKUP($A10,lognormal!$I$3:$M$14,lognormal!$M$1,FALSE) * VLOOKUP(G$3,lognormal!$I$3:$M$14,lognormal!$M$1,FALSE) *INDEX(correlation!$C$3:$N$14,MATCH($A10,correlation!$B$3:$B$14,0),MATCH(G$3,correlation!$C$2:$N$2,0))*VLOOKUP($A10,$U$4:$Z$15,$Z$1,FALSE)*VLOOKUP(G$3,$U$4:$Z$15,$Z$1,FALSE)</f>
        <v>0</v>
      </c>
      <c r="H10" s="15">
        <f>VLOOKUP($A10,lognormal!$I$3:$M$14,lognormal!$M$1,FALSE) * VLOOKUP(H$3,lognormal!$I$3:$M$14,lognormal!$M$1,FALSE) *INDEX(correlation!$C$3:$N$14,MATCH($A10,correlation!$B$3:$B$14,0),MATCH(H$3,correlation!$C$2:$N$2,0))*VLOOKUP($A10,$U$4:$Z$15,$Z$1,FALSE)*VLOOKUP(H$3,$U$4:$Z$15,$Z$1,FALSE)</f>
        <v>0</v>
      </c>
      <c r="I10" s="15">
        <f>VLOOKUP($A10,lognormal!$I$3:$M$14,lognormal!$M$1,FALSE) * VLOOKUP(I$3,lognormal!$I$3:$M$14,lognormal!$M$1,FALSE) *INDEX(correlation!$C$3:$N$14,MATCH($A10,correlation!$B$3:$B$14,0),MATCH(I$3,correlation!$C$2:$N$2,0))*VLOOKUP($A10,$U$4:$Z$15,$Z$1,FALSE)*VLOOKUP(I$3,$U$4:$Z$15,$Z$1,FALSE)</f>
        <v>0</v>
      </c>
      <c r="J10" s="15">
        <f>VLOOKUP($A10,lognormal!$I$3:$M$14,lognormal!$M$1,FALSE) * VLOOKUP(J$3,lognormal!$I$3:$M$14,lognormal!$M$1,FALSE) *INDEX(correlation!$C$3:$N$14,MATCH($A10,correlation!$B$3:$B$14,0),MATCH(J$3,correlation!$C$2:$N$2,0))*VLOOKUP($A10,$U$4:$Z$15,$Z$1,FALSE)*VLOOKUP(J$3,$U$4:$Z$15,$Z$1,FALSE)</f>
        <v>0</v>
      </c>
      <c r="K10" s="15">
        <f>VLOOKUP($A10,lognormal!$I$3:$M$14,lognormal!$M$1,FALSE) * VLOOKUP(K$3,lognormal!$I$3:$M$14,lognormal!$M$1,FALSE) *INDEX(correlation!$C$3:$N$14,MATCH($A10,correlation!$B$3:$B$14,0),MATCH(K$3,correlation!$C$2:$N$2,0))*VLOOKUP($A10,$U$4:$Z$15,$Z$1,FALSE)*VLOOKUP(K$3,$U$4:$Z$15,$Z$1,FALSE)</f>
        <v>0</v>
      </c>
      <c r="L10" s="15">
        <f>VLOOKUP($A10,lognormal!$I$3:$M$14,lognormal!$M$1,FALSE) * VLOOKUP(L$3,lognormal!$I$3:$M$14,lognormal!$M$1,FALSE) *INDEX(correlation!$C$3:$N$14,MATCH($A10,correlation!$B$3:$B$14,0),MATCH(L$3,correlation!$C$2:$N$2,0))*VLOOKUP($A10,$U$4:$Z$15,$Z$1,FALSE)*VLOOKUP(L$3,$U$4:$Z$15,$Z$1,FALSE)</f>
        <v>0</v>
      </c>
      <c r="M10" s="15">
        <f>VLOOKUP($A10,lognormal!$I$3:$M$14,lognormal!$M$1,FALSE) * VLOOKUP(M$3,lognormal!$I$3:$M$14,lognormal!$M$1,FALSE) *INDEX(correlation!$C$3:$N$14,MATCH($A10,correlation!$B$3:$B$14,0),MATCH(M$3,correlation!$C$2:$N$2,0))*VLOOKUP($A10,$U$4:$Z$15,$Z$1,FALSE)*VLOOKUP(M$3,$U$4:$Z$15,$Z$1,FALSE)</f>
        <v>0</v>
      </c>
      <c r="N10" s="16">
        <f t="shared" si="1"/>
        <v>0</v>
      </c>
      <c r="O10" s="9">
        <f>INDEX(beta!$B$3:$D$14,MATCH($A10,beta!$A$3:$A$14,0),MATCH(O$3,beta!$B$2:$D$2,0))</f>
        <v>1.1676715478264199</v>
      </c>
      <c r="P10" s="30">
        <f t="shared" si="2"/>
        <v>0</v>
      </c>
      <c r="Q10" s="30">
        <f>O10*(VLOOKUP($O$3,lognormal!$A$3:$C$14,3,FALSE)-$V$23)+$V$23</f>
        <v>9.2236341919054915E-2</v>
      </c>
      <c r="R10" s="23">
        <f>EXP(VLOOKUP(A10,lognormal!$A$3:$C$14,3,FALSE)-Q10)-1</f>
        <v>-0.16510949552489751</v>
      </c>
      <c r="S10" s="15">
        <f>INDEX(beta!$B$3:$D$14,MATCH($A10,beta!$A$3:$A$14,0),MATCH(S$3,beta!$B$2:$D$2,0))</f>
        <v>0.30654108719175799</v>
      </c>
      <c r="T10" s="10">
        <f>INDEX(beta!$B$3:$D$14,MATCH($A10,beta!$A$3:$A$14,0),MATCH(T$3,beta!$B$2:$D$2,0))</f>
        <v>0.51567664526228796</v>
      </c>
      <c r="U10" s="9" t="s">
        <v>22</v>
      </c>
      <c r="V10" s="40"/>
      <c r="W10" s="40"/>
      <c r="X10" s="40"/>
      <c r="Y10" s="8">
        <f t="shared" si="3"/>
        <v>0</v>
      </c>
      <c r="Z10" s="46">
        <f t="shared" si="4"/>
        <v>0</v>
      </c>
      <c r="AA10" s="45">
        <f>VLOOKUP(U10,tangentPorfolio!$A$2:$B$13,2,FALSE)</f>
        <v>0</v>
      </c>
      <c r="AB10" s="17">
        <f t="shared" si="5"/>
        <v>7.75</v>
      </c>
      <c r="AC10" s="18">
        <f t="shared" si="0"/>
        <v>0</v>
      </c>
    </row>
    <row r="11" spans="1:30" s="27" customFormat="1">
      <c r="A11" s="16" t="s">
        <v>21</v>
      </c>
      <c r="B11" s="15">
        <f>VLOOKUP($A11,lognormal!$I$3:$M$14,lognormal!$M$1,FALSE) * VLOOKUP(B$3,lognormal!$I$3:$M$14,lognormal!$M$1,FALSE) *INDEX(correlation!$C$3:$N$14,MATCH($A11,correlation!$B$3:$B$14,0),MATCH(B$3,correlation!$C$2:$N$2,0))*VLOOKUP($A11,$U$4:$Z$15,$Z$1,FALSE)*VLOOKUP(B$3,$U$4:$Z$15,$Z$1,FALSE)</f>
        <v>0</v>
      </c>
      <c r="C11" s="15">
        <f>VLOOKUP($A11,lognormal!$I$3:$M$14,lognormal!$M$1,FALSE) * VLOOKUP(C$3,lognormal!$I$3:$M$14,lognormal!$M$1,FALSE) *INDEX(correlation!$C$3:$N$14,MATCH($A11,correlation!$B$3:$B$14,0),MATCH(C$3,correlation!$C$2:$N$2,0))*VLOOKUP($A11,$U$4:$Z$15,$Z$1,FALSE)*VLOOKUP(C$3,$U$4:$Z$15,$Z$1,FALSE)</f>
        <v>0</v>
      </c>
      <c r="D11" s="15">
        <f>VLOOKUP($A11,lognormal!$I$3:$M$14,lognormal!$M$1,FALSE) * VLOOKUP(D$3,lognormal!$I$3:$M$14,lognormal!$M$1,FALSE) *INDEX(correlation!$C$3:$N$14,MATCH($A11,correlation!$B$3:$B$14,0),MATCH(D$3,correlation!$C$2:$N$2,0))*VLOOKUP($A11,$U$4:$Z$15,$Z$1,FALSE)*VLOOKUP(D$3,$U$4:$Z$15,$Z$1,FALSE)</f>
        <v>5.5805554575100664E-5</v>
      </c>
      <c r="E11" s="15">
        <f>VLOOKUP($A11,lognormal!$I$3:$M$14,lognormal!$M$1,FALSE) * VLOOKUP(E$3,lognormal!$I$3:$M$14,lognormal!$M$1,FALSE) *INDEX(correlation!$C$3:$N$14,MATCH($A11,correlation!$B$3:$B$14,0),MATCH(E$3,correlation!$C$2:$N$2,0))*VLOOKUP($A11,$U$4:$Z$15,$Z$1,FALSE)*VLOOKUP(E$3,$U$4:$Z$15,$Z$1,FALSE)</f>
        <v>0</v>
      </c>
      <c r="F11" s="15">
        <f>VLOOKUP($A11,lognormal!$I$3:$M$14,lognormal!$M$1,FALSE) * VLOOKUP(F$3,lognormal!$I$3:$M$14,lognormal!$M$1,FALSE) *INDEX(correlation!$C$3:$N$14,MATCH($A11,correlation!$B$3:$B$14,0),MATCH(F$3,correlation!$C$2:$N$2,0))*VLOOKUP($A11,$U$4:$Z$15,$Z$1,FALSE)*VLOOKUP(F$3,$U$4:$Z$15,$Z$1,FALSE)</f>
        <v>4.3848362607566373E-4</v>
      </c>
      <c r="G11" s="15">
        <f>VLOOKUP($A11,lognormal!$I$3:$M$14,lognormal!$M$1,FALSE) * VLOOKUP(G$3,lognormal!$I$3:$M$14,lognormal!$M$1,FALSE) *INDEX(correlation!$C$3:$N$14,MATCH($A11,correlation!$B$3:$B$14,0),MATCH(G$3,correlation!$C$2:$N$2,0))*VLOOKUP($A11,$U$4:$Z$15,$Z$1,FALSE)*VLOOKUP(G$3,$U$4:$Z$15,$Z$1,FALSE)</f>
        <v>3.2363793749960222E-19</v>
      </c>
      <c r="H11" s="15">
        <f>VLOOKUP($A11,lognormal!$I$3:$M$14,lognormal!$M$1,FALSE) * VLOOKUP(H$3,lognormal!$I$3:$M$14,lognormal!$M$1,FALSE) *INDEX(correlation!$C$3:$N$14,MATCH($A11,correlation!$B$3:$B$14,0),MATCH(H$3,correlation!$C$2:$N$2,0))*VLOOKUP($A11,$U$4:$Z$15,$Z$1,FALSE)*VLOOKUP(H$3,$U$4:$Z$15,$Z$1,FALSE)</f>
        <v>0</v>
      </c>
      <c r="I11" s="15">
        <f>VLOOKUP($A11,lognormal!$I$3:$M$14,lognormal!$M$1,FALSE) * VLOOKUP(I$3,lognormal!$I$3:$M$14,lognormal!$M$1,FALSE) *INDEX(correlation!$C$3:$N$14,MATCH($A11,correlation!$B$3:$B$14,0),MATCH(I$3,correlation!$C$2:$N$2,0))*VLOOKUP($A11,$U$4:$Z$15,$Z$1,FALSE)*VLOOKUP(I$3,$U$4:$Z$15,$Z$1,FALSE)</f>
        <v>1.6017179420914649E-3</v>
      </c>
      <c r="J11" s="15">
        <f>VLOOKUP($A11,lognormal!$I$3:$M$14,lognormal!$M$1,FALSE) * VLOOKUP(J$3,lognormal!$I$3:$M$14,lognormal!$M$1,FALSE) *INDEX(correlation!$C$3:$N$14,MATCH($A11,correlation!$B$3:$B$14,0),MATCH(J$3,correlation!$C$2:$N$2,0))*VLOOKUP($A11,$U$4:$Z$15,$Z$1,FALSE)*VLOOKUP(J$3,$U$4:$Z$15,$Z$1,FALSE)</f>
        <v>4.6332535068152939E-4</v>
      </c>
      <c r="K11" s="15">
        <f>VLOOKUP($A11,lognormal!$I$3:$M$14,lognormal!$M$1,FALSE) * VLOOKUP(K$3,lognormal!$I$3:$M$14,lognormal!$M$1,FALSE) *INDEX(correlation!$C$3:$N$14,MATCH($A11,correlation!$B$3:$B$14,0),MATCH(K$3,correlation!$C$2:$N$2,0))*VLOOKUP($A11,$U$4:$Z$15,$Z$1,FALSE)*VLOOKUP(K$3,$U$4:$Z$15,$Z$1,FALSE)</f>
        <v>0</v>
      </c>
      <c r="L11" s="15">
        <f>VLOOKUP($A11,lognormal!$I$3:$M$14,lognormal!$M$1,FALSE) * VLOOKUP(L$3,lognormal!$I$3:$M$14,lognormal!$M$1,FALSE) *INDEX(correlation!$C$3:$N$14,MATCH($A11,correlation!$B$3:$B$14,0),MATCH(L$3,correlation!$C$2:$N$2,0))*VLOOKUP($A11,$U$4:$Z$15,$Z$1,FALSE)*VLOOKUP(L$3,$U$4:$Z$15,$Z$1,FALSE)</f>
        <v>0</v>
      </c>
      <c r="M11" s="15">
        <f>VLOOKUP($A11,lognormal!$I$3:$M$14,lognormal!$M$1,FALSE) * VLOOKUP(M$3,lognormal!$I$3:$M$14,lognormal!$M$1,FALSE) *INDEX(correlation!$C$3:$N$14,MATCH($A11,correlation!$B$3:$B$14,0),MATCH(M$3,correlation!$C$2:$N$2,0))*VLOOKUP($A11,$U$4:$Z$15,$Z$1,FALSE)*VLOOKUP(M$3,$U$4:$Z$15,$Z$1,FALSE)</f>
        <v>3.5994429771613266E-17</v>
      </c>
      <c r="N11" s="16">
        <f t="shared" si="1"/>
        <v>2.5593324734237951E-3</v>
      </c>
      <c r="O11" s="9">
        <f>INDEX(beta!$B$3:$D$14,MATCH($A11,beta!$A$3:$A$14,0),MATCH(O$3,beta!$B$2:$D$2,0))</f>
        <v>0.95985998793451</v>
      </c>
      <c r="P11" s="30">
        <f t="shared" si="2"/>
        <v>0.36128622468030802</v>
      </c>
      <c r="Q11" s="30">
        <f>O11*(VLOOKUP($O$3,lognormal!$A$3:$C$14,3,FALSE)-$V$23)+$V$23</f>
        <v>7.6478233976243704E-2</v>
      </c>
      <c r="R11" s="23">
        <f>EXP(VLOOKUP(A11,lognormal!$A$3:$C$14,3,FALSE)-Q11)-1</f>
        <v>7.7824684954489687E-2</v>
      </c>
      <c r="S11" s="15">
        <f>INDEX(beta!$B$3:$D$14,MATCH($A11,beta!$A$3:$A$14,0),MATCH(S$3,beta!$B$2:$D$2,0))</f>
        <v>7.4880454613250602E-2</v>
      </c>
      <c r="T11" s="10">
        <f>INDEX(beta!$B$3:$D$14,MATCH($A11,beta!$A$3:$A$14,0),MATCH(T$3,beta!$B$2:$D$2,0))</f>
        <v>0.10848484650859901</v>
      </c>
      <c r="U11" s="9" t="s">
        <v>21</v>
      </c>
      <c r="V11" s="40"/>
      <c r="W11" s="40"/>
      <c r="X11" s="40"/>
      <c r="Y11" s="8">
        <f t="shared" si="3"/>
        <v>0</v>
      </c>
      <c r="Z11" s="46">
        <f t="shared" si="4"/>
        <v>0.37639471300157801</v>
      </c>
      <c r="AA11" s="45">
        <f>VLOOKUP(U11,tangentPorfolio!$A$2:$B$13,2,FALSE)</f>
        <v>0.37639471300157801</v>
      </c>
      <c r="AB11" s="17">
        <f t="shared" si="5"/>
        <v>7.75</v>
      </c>
      <c r="AC11" s="18">
        <f t="shared" si="0"/>
        <v>0</v>
      </c>
    </row>
    <row r="12" spans="1:30" s="27" customFormat="1">
      <c r="A12" s="16" t="s">
        <v>26</v>
      </c>
      <c r="B12" s="15">
        <f>VLOOKUP($A12,lognormal!$I$3:$M$14,lognormal!$M$1,FALSE) * VLOOKUP(B$3,lognormal!$I$3:$M$14,lognormal!$M$1,FALSE) *INDEX(correlation!$C$3:$N$14,MATCH($A12,correlation!$B$3:$B$14,0),MATCH(B$3,correlation!$C$2:$N$2,0))*VLOOKUP($A12,$U$4:$Z$15,$Z$1,FALSE)*VLOOKUP(B$3,$U$4:$Z$15,$Z$1,FALSE)</f>
        <v>0</v>
      </c>
      <c r="C12" s="15">
        <f>VLOOKUP($A12,lognormal!$I$3:$M$14,lognormal!$M$1,FALSE) * VLOOKUP(C$3,lognormal!$I$3:$M$14,lognormal!$M$1,FALSE) *INDEX(correlation!$C$3:$N$14,MATCH($A12,correlation!$B$3:$B$14,0),MATCH(C$3,correlation!$C$2:$N$2,0))*VLOOKUP($A12,$U$4:$Z$15,$Z$1,FALSE)*VLOOKUP(C$3,$U$4:$Z$15,$Z$1,FALSE)</f>
        <v>0</v>
      </c>
      <c r="D12" s="15">
        <f>VLOOKUP($A12,lognormal!$I$3:$M$14,lognormal!$M$1,FALSE) * VLOOKUP(D$3,lognormal!$I$3:$M$14,lognormal!$M$1,FALSE) *INDEX(correlation!$C$3:$N$14,MATCH($A12,correlation!$B$3:$B$14,0),MATCH(D$3,correlation!$C$2:$N$2,0))*VLOOKUP($A12,$U$4:$Z$15,$Z$1,FALSE)*VLOOKUP(D$3,$U$4:$Z$15,$Z$1,FALSE)</f>
        <v>4.3102665103754639E-5</v>
      </c>
      <c r="E12" s="15">
        <f>VLOOKUP($A12,lognormal!$I$3:$M$14,lognormal!$M$1,FALSE) * VLOOKUP(E$3,lognormal!$I$3:$M$14,lognormal!$M$1,FALSE) *INDEX(correlation!$C$3:$N$14,MATCH($A12,correlation!$B$3:$B$14,0),MATCH(E$3,correlation!$C$2:$N$2,0))*VLOOKUP($A12,$U$4:$Z$15,$Z$1,FALSE)*VLOOKUP(E$3,$U$4:$Z$15,$Z$1,FALSE)</f>
        <v>0</v>
      </c>
      <c r="F12" s="15">
        <f>VLOOKUP($A12,lognormal!$I$3:$M$14,lognormal!$M$1,FALSE) * VLOOKUP(F$3,lognormal!$I$3:$M$14,lognormal!$M$1,FALSE) *INDEX(correlation!$C$3:$N$14,MATCH($A12,correlation!$B$3:$B$14,0),MATCH(F$3,correlation!$C$2:$N$2,0))*VLOOKUP($A12,$U$4:$Z$15,$Z$1,FALSE)*VLOOKUP(F$3,$U$4:$Z$15,$Z$1,FALSE)</f>
        <v>1.8830422707546008E-4</v>
      </c>
      <c r="G12" s="15">
        <f>VLOOKUP($A12,lognormal!$I$3:$M$14,lognormal!$M$1,FALSE) * VLOOKUP(G$3,lognormal!$I$3:$M$14,lognormal!$M$1,FALSE) *INDEX(correlation!$C$3:$N$14,MATCH($A12,correlation!$B$3:$B$14,0),MATCH(G$3,correlation!$C$2:$N$2,0))*VLOOKUP($A12,$U$4:$Z$15,$Z$1,FALSE)*VLOOKUP(G$3,$U$4:$Z$15,$Z$1,FALSE)</f>
        <v>1.9263766850967298E-19</v>
      </c>
      <c r="H12" s="15">
        <f>VLOOKUP($A12,lognormal!$I$3:$M$14,lognormal!$M$1,FALSE) * VLOOKUP(H$3,lognormal!$I$3:$M$14,lognormal!$M$1,FALSE) *INDEX(correlation!$C$3:$N$14,MATCH($A12,correlation!$B$3:$B$14,0),MATCH(H$3,correlation!$C$2:$N$2,0))*VLOOKUP($A12,$U$4:$Z$15,$Z$1,FALSE)*VLOOKUP(H$3,$U$4:$Z$15,$Z$1,FALSE)</f>
        <v>0</v>
      </c>
      <c r="I12" s="15">
        <f>VLOOKUP($A12,lognormal!$I$3:$M$14,lognormal!$M$1,FALSE) * VLOOKUP(I$3,lognormal!$I$3:$M$14,lognormal!$M$1,FALSE) *INDEX(correlation!$C$3:$N$14,MATCH($A12,correlation!$B$3:$B$14,0),MATCH(I$3,correlation!$C$2:$N$2,0))*VLOOKUP($A12,$U$4:$Z$15,$Z$1,FALSE)*VLOOKUP(I$3,$U$4:$Z$15,$Z$1,FALSE)</f>
        <v>4.6332535068152928E-4</v>
      </c>
      <c r="J12" s="15">
        <f>VLOOKUP($A12,lognormal!$I$3:$M$14,lognormal!$M$1,FALSE) * VLOOKUP(J$3,lognormal!$I$3:$M$14,lognormal!$M$1,FALSE) *INDEX(correlation!$C$3:$N$14,MATCH($A12,correlation!$B$3:$B$14,0),MATCH(J$3,correlation!$C$2:$N$2,0))*VLOOKUP($A12,$U$4:$Z$15,$Z$1,FALSE)*VLOOKUP(J$3,$U$4:$Z$15,$Z$1,FALSE)</f>
        <v>3.2975607686779165E-4</v>
      </c>
      <c r="K12" s="15">
        <f>VLOOKUP($A12,lognormal!$I$3:$M$14,lognormal!$M$1,FALSE) * VLOOKUP(K$3,lognormal!$I$3:$M$14,lognormal!$M$1,FALSE) *INDEX(correlation!$C$3:$N$14,MATCH($A12,correlation!$B$3:$B$14,0),MATCH(K$3,correlation!$C$2:$N$2,0))*VLOOKUP($A12,$U$4:$Z$15,$Z$1,FALSE)*VLOOKUP(K$3,$U$4:$Z$15,$Z$1,FALSE)</f>
        <v>0</v>
      </c>
      <c r="L12" s="15">
        <f>VLOOKUP($A12,lognormal!$I$3:$M$14,lognormal!$M$1,FALSE) * VLOOKUP(L$3,lognormal!$I$3:$M$14,lognormal!$M$1,FALSE) *INDEX(correlation!$C$3:$N$14,MATCH($A12,correlation!$B$3:$B$14,0),MATCH(L$3,correlation!$C$2:$N$2,0))*VLOOKUP($A12,$U$4:$Z$15,$Z$1,FALSE)*VLOOKUP(L$3,$U$4:$Z$15,$Z$1,FALSE)</f>
        <v>0</v>
      </c>
      <c r="M12" s="15">
        <f>VLOOKUP($A12,lognormal!$I$3:$M$14,lognormal!$M$1,FALSE) * VLOOKUP(M$3,lognormal!$I$3:$M$14,lognormal!$M$1,FALSE) *INDEX(correlation!$C$3:$N$14,MATCH($A12,correlation!$B$3:$B$14,0),MATCH(M$3,correlation!$C$2:$N$2,0))*VLOOKUP($A12,$U$4:$Z$15,$Z$1,FALSE)*VLOOKUP(M$3,$U$4:$Z$15,$Z$1,FALSE)</f>
        <v>1.4897107273133732E-17</v>
      </c>
      <c r="N12" s="16">
        <f t="shared" si="1"/>
        <v>1.0244883197285508E-3</v>
      </c>
      <c r="O12" s="9">
        <f>INDEX(beta!$B$3:$D$14,MATCH($A12,beta!$A$3:$A$14,0),MATCH(O$3,beta!$B$2:$D$2,0))</f>
        <v>0.524043493240686</v>
      </c>
      <c r="P12" s="30">
        <f t="shared" si="2"/>
        <v>9.3937612113843064E-2</v>
      </c>
      <c r="Q12" s="30">
        <f>O12*(VLOOKUP($O$3,lognormal!$A$3:$C$14,3,FALSE)-$V$23)+$V$23</f>
        <v>4.3430778049273165E-2</v>
      </c>
      <c r="R12" s="23">
        <f>EXP(VLOOKUP(A12,lognormal!$A$3:$C$14,3,FALSE)-Q12)-1</f>
        <v>6.4958599755320146E-2</v>
      </c>
      <c r="S12" s="15">
        <f>INDEX(beta!$B$3:$D$14,MATCH($A12,beta!$A$3:$A$14,0),MATCH(S$3,beta!$B$2:$D$2,0))</f>
        <v>6.9683598711698796E-2</v>
      </c>
      <c r="T12" s="10">
        <f>INDEX(beta!$B$3:$D$14,MATCH($A12,beta!$A$3:$A$14,0),MATCH(T$3,beta!$B$2:$D$2,0))</f>
        <v>9.0560101553886593E-2</v>
      </c>
      <c r="U12" s="9" t="s">
        <v>26</v>
      </c>
      <c r="V12" s="40"/>
      <c r="W12" s="40"/>
      <c r="X12" s="40"/>
      <c r="Y12" s="8">
        <f t="shared" si="3"/>
        <v>0</v>
      </c>
      <c r="Z12" s="46">
        <f t="shared" si="4"/>
        <v>0.17925537350522699</v>
      </c>
      <c r="AA12" s="45">
        <f>VLOOKUP(U12,tangentPorfolio!$A$2:$B$13,2,FALSE)</f>
        <v>0.17925537350522699</v>
      </c>
      <c r="AB12" s="17">
        <f t="shared" si="5"/>
        <v>7.75</v>
      </c>
      <c r="AC12" s="18">
        <f t="shared" si="0"/>
        <v>0</v>
      </c>
    </row>
    <row r="13" spans="1:30" s="27" customFormat="1">
      <c r="A13" s="16" t="s">
        <v>2</v>
      </c>
      <c r="B13" s="15">
        <f>VLOOKUP($A13,lognormal!$I$3:$M$14,lognormal!$M$1,FALSE) * VLOOKUP(B$3,lognormal!$I$3:$M$14,lognormal!$M$1,FALSE) *INDEX(correlation!$C$3:$N$14,MATCH($A13,correlation!$B$3:$B$14,0),MATCH(B$3,correlation!$C$2:$N$2,0))*VLOOKUP($A13,$U$4:$Z$15,$Z$1,FALSE)*VLOOKUP(B$3,$U$4:$Z$15,$Z$1,FALSE)</f>
        <v>0</v>
      </c>
      <c r="C13" s="15">
        <f>VLOOKUP($A13,lognormal!$I$3:$M$14,lognormal!$M$1,FALSE) * VLOOKUP(C$3,lognormal!$I$3:$M$14,lognormal!$M$1,FALSE) *INDEX(correlation!$C$3:$N$14,MATCH($A13,correlation!$B$3:$B$14,0),MATCH(C$3,correlation!$C$2:$N$2,0))*VLOOKUP($A13,$U$4:$Z$15,$Z$1,FALSE)*VLOOKUP(C$3,$U$4:$Z$15,$Z$1,FALSE)</f>
        <v>0</v>
      </c>
      <c r="D13" s="15">
        <f>VLOOKUP($A13,lognormal!$I$3:$M$14,lognormal!$M$1,FALSE) * VLOOKUP(D$3,lognormal!$I$3:$M$14,lognormal!$M$1,FALSE) *INDEX(correlation!$C$3:$N$14,MATCH($A13,correlation!$B$3:$B$14,0),MATCH(D$3,correlation!$C$2:$N$2,0))*VLOOKUP($A13,$U$4:$Z$15,$Z$1,FALSE)*VLOOKUP(D$3,$U$4:$Z$15,$Z$1,FALSE)</f>
        <v>0</v>
      </c>
      <c r="E13" s="15">
        <f>VLOOKUP($A13,lognormal!$I$3:$M$14,lognormal!$M$1,FALSE) * VLOOKUP(E$3,lognormal!$I$3:$M$14,lognormal!$M$1,FALSE) *INDEX(correlation!$C$3:$N$14,MATCH($A13,correlation!$B$3:$B$14,0),MATCH(E$3,correlation!$C$2:$N$2,0))*VLOOKUP($A13,$U$4:$Z$15,$Z$1,FALSE)*VLOOKUP(E$3,$U$4:$Z$15,$Z$1,FALSE)</f>
        <v>0</v>
      </c>
      <c r="F13" s="15">
        <f>VLOOKUP($A13,lognormal!$I$3:$M$14,lognormal!$M$1,FALSE) * VLOOKUP(F$3,lognormal!$I$3:$M$14,lognormal!$M$1,FALSE) *INDEX(correlation!$C$3:$N$14,MATCH($A13,correlation!$B$3:$B$14,0),MATCH(F$3,correlation!$C$2:$N$2,0))*VLOOKUP($A13,$U$4:$Z$15,$Z$1,FALSE)*VLOOKUP(F$3,$U$4:$Z$15,$Z$1,FALSE)</f>
        <v>0</v>
      </c>
      <c r="G13" s="15">
        <f>VLOOKUP($A13,lognormal!$I$3:$M$14,lognormal!$M$1,FALSE) * VLOOKUP(G$3,lognormal!$I$3:$M$14,lognormal!$M$1,FALSE) *INDEX(correlation!$C$3:$N$14,MATCH($A13,correlation!$B$3:$B$14,0),MATCH(G$3,correlation!$C$2:$N$2,0))*VLOOKUP($A13,$U$4:$Z$15,$Z$1,FALSE)*VLOOKUP(G$3,$U$4:$Z$15,$Z$1,FALSE)</f>
        <v>0</v>
      </c>
      <c r="H13" s="15">
        <f>VLOOKUP($A13,lognormal!$I$3:$M$14,lognormal!$M$1,FALSE) * VLOOKUP(H$3,lognormal!$I$3:$M$14,lognormal!$M$1,FALSE) *INDEX(correlation!$C$3:$N$14,MATCH($A13,correlation!$B$3:$B$14,0),MATCH(H$3,correlation!$C$2:$N$2,0))*VLOOKUP($A13,$U$4:$Z$15,$Z$1,FALSE)*VLOOKUP(H$3,$U$4:$Z$15,$Z$1,FALSE)</f>
        <v>0</v>
      </c>
      <c r="I13" s="15">
        <f>VLOOKUP($A13,lognormal!$I$3:$M$14,lognormal!$M$1,FALSE) * VLOOKUP(I$3,lognormal!$I$3:$M$14,lognormal!$M$1,FALSE) *INDEX(correlation!$C$3:$N$14,MATCH($A13,correlation!$B$3:$B$14,0),MATCH(I$3,correlation!$C$2:$N$2,0))*VLOOKUP($A13,$U$4:$Z$15,$Z$1,FALSE)*VLOOKUP(I$3,$U$4:$Z$15,$Z$1,FALSE)</f>
        <v>0</v>
      </c>
      <c r="J13" s="15">
        <f>VLOOKUP($A13,lognormal!$I$3:$M$14,lognormal!$M$1,FALSE) * VLOOKUP(J$3,lognormal!$I$3:$M$14,lognormal!$M$1,FALSE) *INDEX(correlation!$C$3:$N$14,MATCH($A13,correlation!$B$3:$B$14,0),MATCH(J$3,correlation!$C$2:$N$2,0))*VLOOKUP($A13,$U$4:$Z$15,$Z$1,FALSE)*VLOOKUP(J$3,$U$4:$Z$15,$Z$1,FALSE)</f>
        <v>0</v>
      </c>
      <c r="K13" s="15">
        <f>VLOOKUP($A13,lognormal!$I$3:$M$14,lognormal!$M$1,FALSE) * VLOOKUP(K$3,lognormal!$I$3:$M$14,lognormal!$M$1,FALSE) *INDEX(correlation!$C$3:$N$14,MATCH($A13,correlation!$B$3:$B$14,0),MATCH(K$3,correlation!$C$2:$N$2,0))*VLOOKUP($A13,$U$4:$Z$15,$Z$1,FALSE)*VLOOKUP(K$3,$U$4:$Z$15,$Z$1,FALSE)</f>
        <v>0</v>
      </c>
      <c r="L13" s="15">
        <f>VLOOKUP($A13,lognormal!$I$3:$M$14,lognormal!$M$1,FALSE) * VLOOKUP(L$3,lognormal!$I$3:$M$14,lognormal!$M$1,FALSE) *INDEX(correlation!$C$3:$N$14,MATCH($A13,correlation!$B$3:$B$14,0),MATCH(L$3,correlation!$C$2:$N$2,0))*VLOOKUP($A13,$U$4:$Z$15,$Z$1,FALSE)*VLOOKUP(L$3,$U$4:$Z$15,$Z$1,FALSE)</f>
        <v>0</v>
      </c>
      <c r="M13" s="15">
        <f>VLOOKUP($A13,lognormal!$I$3:$M$14,lognormal!$M$1,FALSE) * VLOOKUP(M$3,lognormal!$I$3:$M$14,lognormal!$M$1,FALSE) *INDEX(correlation!$C$3:$N$14,MATCH($A13,correlation!$B$3:$B$14,0),MATCH(M$3,correlation!$C$2:$N$2,0))*VLOOKUP($A13,$U$4:$Z$15,$Z$1,FALSE)*VLOOKUP(M$3,$U$4:$Z$15,$Z$1,FALSE)</f>
        <v>0</v>
      </c>
      <c r="N13" s="16">
        <f t="shared" si="1"/>
        <v>0</v>
      </c>
      <c r="O13" s="9">
        <f>INDEX(beta!$B$3:$D$14,MATCH($A13,beta!$A$3:$A$14,0),MATCH(O$3,beta!$B$2:$D$2,0))</f>
        <v>0.77046775743178997</v>
      </c>
      <c r="P13" s="30">
        <f t="shared" si="2"/>
        <v>0</v>
      </c>
      <c r="Q13" s="30">
        <f>O13*(VLOOKUP($O$3,lognormal!$A$3:$C$14,3,FALSE)-$V$23)+$V$23</f>
        <v>6.2116842274338523E-2</v>
      </c>
      <c r="R13" s="23">
        <f>EXP(VLOOKUP(A13,lognormal!$A$3:$C$14,3,FALSE)-Q13)-1</f>
        <v>-0.15606318874379699</v>
      </c>
      <c r="S13" s="15">
        <f>INDEX(beta!$B$3:$D$14,MATCH($A13,beta!$A$3:$A$14,0),MATCH(S$3,beta!$B$2:$D$2,0))</f>
        <v>0.15876100440722901</v>
      </c>
      <c r="T13" s="10">
        <f>INDEX(beta!$B$3:$D$14,MATCH($A13,beta!$A$3:$A$14,0),MATCH(T$3,beta!$B$2:$D$2,0))</f>
        <v>0.18695250035945399</v>
      </c>
      <c r="U13" s="9" t="s">
        <v>2</v>
      </c>
      <c r="V13" s="40"/>
      <c r="W13" s="40"/>
      <c r="X13" s="40"/>
      <c r="Y13" s="8">
        <f t="shared" si="3"/>
        <v>0</v>
      </c>
      <c r="Z13" s="46">
        <f t="shared" si="4"/>
        <v>0</v>
      </c>
      <c r="AA13" s="45">
        <f>VLOOKUP(U13,tangentPorfolio!$A$2:$B$13,2,FALSE)</f>
        <v>0</v>
      </c>
      <c r="AB13" s="17">
        <f t="shared" si="5"/>
        <v>7.75</v>
      </c>
      <c r="AC13" s="18">
        <f t="shared" si="0"/>
        <v>0</v>
      </c>
    </row>
    <row r="14" spans="1:30" s="27" customFormat="1">
      <c r="A14" s="16" t="s">
        <v>25</v>
      </c>
      <c r="B14" s="15">
        <f>VLOOKUP($A14,lognormal!$I$3:$M$14,lognormal!$M$1,FALSE) * VLOOKUP(B$3,lognormal!$I$3:$M$14,lognormal!$M$1,FALSE) *INDEX(correlation!$C$3:$N$14,MATCH($A14,correlation!$B$3:$B$14,0),MATCH(B$3,correlation!$C$2:$N$2,0))*VLOOKUP($A14,$U$4:$Z$15,$Z$1,FALSE)*VLOOKUP(B$3,$U$4:$Z$15,$Z$1,FALSE)</f>
        <v>0</v>
      </c>
      <c r="C14" s="15">
        <f>VLOOKUP($A14,lognormal!$I$3:$M$14,lognormal!$M$1,FALSE) * VLOOKUP(C$3,lognormal!$I$3:$M$14,lognormal!$M$1,FALSE) *INDEX(correlation!$C$3:$N$14,MATCH($A14,correlation!$B$3:$B$14,0),MATCH(C$3,correlation!$C$2:$N$2,0))*VLOOKUP($A14,$U$4:$Z$15,$Z$1,FALSE)*VLOOKUP(C$3,$U$4:$Z$15,$Z$1,FALSE)</f>
        <v>0</v>
      </c>
      <c r="D14" s="15">
        <f>VLOOKUP($A14,lognormal!$I$3:$M$14,lognormal!$M$1,FALSE) * VLOOKUP(D$3,lognormal!$I$3:$M$14,lognormal!$M$1,FALSE) *INDEX(correlation!$C$3:$N$14,MATCH($A14,correlation!$B$3:$B$14,0),MATCH(D$3,correlation!$C$2:$N$2,0))*VLOOKUP($A14,$U$4:$Z$15,$Z$1,FALSE)*VLOOKUP(D$3,$U$4:$Z$15,$Z$1,FALSE)</f>
        <v>0</v>
      </c>
      <c r="E14" s="15">
        <f>VLOOKUP($A14,lognormal!$I$3:$M$14,lognormal!$M$1,FALSE) * VLOOKUP(E$3,lognormal!$I$3:$M$14,lognormal!$M$1,FALSE) *INDEX(correlation!$C$3:$N$14,MATCH($A14,correlation!$B$3:$B$14,0),MATCH(E$3,correlation!$C$2:$N$2,0))*VLOOKUP($A14,$U$4:$Z$15,$Z$1,FALSE)*VLOOKUP(E$3,$U$4:$Z$15,$Z$1,FALSE)</f>
        <v>0</v>
      </c>
      <c r="F14" s="15">
        <f>VLOOKUP($A14,lognormal!$I$3:$M$14,lognormal!$M$1,FALSE) * VLOOKUP(F$3,lognormal!$I$3:$M$14,lognormal!$M$1,FALSE) *INDEX(correlation!$C$3:$N$14,MATCH($A14,correlation!$B$3:$B$14,0),MATCH(F$3,correlation!$C$2:$N$2,0))*VLOOKUP($A14,$U$4:$Z$15,$Z$1,FALSE)*VLOOKUP(F$3,$U$4:$Z$15,$Z$1,FALSE)</f>
        <v>0</v>
      </c>
      <c r="G14" s="15">
        <f>VLOOKUP($A14,lognormal!$I$3:$M$14,lognormal!$M$1,FALSE) * VLOOKUP(G$3,lognormal!$I$3:$M$14,lognormal!$M$1,FALSE) *INDEX(correlation!$C$3:$N$14,MATCH($A14,correlation!$B$3:$B$14,0),MATCH(G$3,correlation!$C$2:$N$2,0))*VLOOKUP($A14,$U$4:$Z$15,$Z$1,FALSE)*VLOOKUP(G$3,$U$4:$Z$15,$Z$1,FALSE)</f>
        <v>0</v>
      </c>
      <c r="H14" s="15">
        <f>VLOOKUP($A14,lognormal!$I$3:$M$14,lognormal!$M$1,FALSE) * VLOOKUP(H$3,lognormal!$I$3:$M$14,lognormal!$M$1,FALSE) *INDEX(correlation!$C$3:$N$14,MATCH($A14,correlation!$B$3:$B$14,0),MATCH(H$3,correlation!$C$2:$N$2,0))*VLOOKUP($A14,$U$4:$Z$15,$Z$1,FALSE)*VLOOKUP(H$3,$U$4:$Z$15,$Z$1,FALSE)</f>
        <v>0</v>
      </c>
      <c r="I14" s="15">
        <f>VLOOKUP($A14,lognormal!$I$3:$M$14,lognormal!$M$1,FALSE) * VLOOKUP(I$3,lognormal!$I$3:$M$14,lognormal!$M$1,FALSE) *INDEX(correlation!$C$3:$N$14,MATCH($A14,correlation!$B$3:$B$14,0),MATCH(I$3,correlation!$C$2:$N$2,0))*VLOOKUP($A14,$U$4:$Z$15,$Z$1,FALSE)*VLOOKUP(I$3,$U$4:$Z$15,$Z$1,FALSE)</f>
        <v>0</v>
      </c>
      <c r="J14" s="15">
        <f>VLOOKUP($A14,lognormal!$I$3:$M$14,lognormal!$M$1,FALSE) * VLOOKUP(J$3,lognormal!$I$3:$M$14,lognormal!$M$1,FALSE) *INDEX(correlation!$C$3:$N$14,MATCH($A14,correlation!$B$3:$B$14,0),MATCH(J$3,correlation!$C$2:$N$2,0))*VLOOKUP($A14,$U$4:$Z$15,$Z$1,FALSE)*VLOOKUP(J$3,$U$4:$Z$15,$Z$1,FALSE)</f>
        <v>0</v>
      </c>
      <c r="K14" s="15">
        <f>VLOOKUP($A14,lognormal!$I$3:$M$14,lognormal!$M$1,FALSE) * VLOOKUP(K$3,lognormal!$I$3:$M$14,lognormal!$M$1,FALSE) *INDEX(correlation!$C$3:$N$14,MATCH($A14,correlation!$B$3:$B$14,0),MATCH(K$3,correlation!$C$2:$N$2,0))*VLOOKUP($A14,$U$4:$Z$15,$Z$1,FALSE)*VLOOKUP(K$3,$U$4:$Z$15,$Z$1,FALSE)</f>
        <v>0</v>
      </c>
      <c r="L14" s="15">
        <f>VLOOKUP($A14,lognormal!$I$3:$M$14,lognormal!$M$1,FALSE) * VLOOKUP(L$3,lognormal!$I$3:$M$14,lognormal!$M$1,FALSE) *INDEX(correlation!$C$3:$N$14,MATCH($A14,correlation!$B$3:$B$14,0),MATCH(L$3,correlation!$C$2:$N$2,0))*VLOOKUP($A14,$U$4:$Z$15,$Z$1,FALSE)*VLOOKUP(L$3,$U$4:$Z$15,$Z$1,FALSE)</f>
        <v>0</v>
      </c>
      <c r="M14" s="15">
        <f>VLOOKUP($A14,lognormal!$I$3:$M$14,lognormal!$M$1,FALSE) * VLOOKUP(M$3,lognormal!$I$3:$M$14,lognormal!$M$1,FALSE) *INDEX(correlation!$C$3:$N$14,MATCH($A14,correlation!$B$3:$B$14,0),MATCH(M$3,correlation!$C$2:$N$2,0))*VLOOKUP($A14,$U$4:$Z$15,$Z$1,FALSE)*VLOOKUP(M$3,$U$4:$Z$15,$Z$1,FALSE)</f>
        <v>0</v>
      </c>
      <c r="N14" s="16">
        <f t="shared" si="1"/>
        <v>0</v>
      </c>
      <c r="O14" s="9">
        <f>INDEX(beta!$B$3:$D$14,MATCH($A14,beta!$A$3:$A$14,0),MATCH(O$3,beta!$B$2:$D$2,0))</f>
        <v>1.1032598491710599</v>
      </c>
      <c r="P14" s="30">
        <f t="shared" si="2"/>
        <v>0</v>
      </c>
      <c r="Q14" s="30">
        <f>O14*(VLOOKUP($O$3,lognormal!$A$3:$C$14,3,FALSE)-$V$23)+$V$23</f>
        <v>8.7352078018052823E-2</v>
      </c>
      <c r="R14" s="23">
        <f>EXP(VLOOKUP(A14,lognormal!$A$3:$C$14,3,FALSE)-Q14)-1</f>
        <v>-0.12049872350938784</v>
      </c>
      <c r="S14" s="15">
        <f>INDEX(beta!$B$3:$D$14,MATCH($A14,beta!$A$3:$A$14,0),MATCH(S$3,beta!$B$2:$D$2,0))</f>
        <v>0.25907056004447199</v>
      </c>
      <c r="T14" s="10">
        <f>INDEX(beta!$B$3:$D$14,MATCH($A14,beta!$A$3:$A$14,0),MATCH(T$3,beta!$B$2:$D$2,0))</f>
        <v>0.42765626494898001</v>
      </c>
      <c r="U14" s="9" t="s">
        <v>25</v>
      </c>
      <c r="V14" s="40"/>
      <c r="W14" s="40"/>
      <c r="X14" s="40"/>
      <c r="Y14" s="8">
        <f t="shared" si="3"/>
        <v>0</v>
      </c>
      <c r="Z14" s="46">
        <f t="shared" si="4"/>
        <v>0</v>
      </c>
      <c r="AA14" s="45">
        <f>VLOOKUP(U14,tangentPorfolio!$A$2:$B$13,2,FALSE)</f>
        <v>0</v>
      </c>
      <c r="AB14" s="17">
        <f t="shared" si="5"/>
        <v>7.75</v>
      </c>
      <c r="AC14" s="18">
        <f t="shared" si="0"/>
        <v>0</v>
      </c>
    </row>
    <row r="15" spans="1:30" s="27" customFormat="1" ht="15.75" thickBot="1">
      <c r="A15" s="36" t="s">
        <v>24</v>
      </c>
      <c r="B15" s="15">
        <f>VLOOKUP($A15,lognormal!$I$3:$M$14,lognormal!$M$1,FALSE) * VLOOKUP(B$3,lognormal!$I$3:$M$14,lognormal!$M$1,FALSE) *INDEX(correlation!$C$3:$N$14,MATCH($A15,correlation!$B$3:$B$14,0),MATCH(B$3,correlation!$C$2:$N$2,0))*VLOOKUP($A15,$U$4:$Z$15,$Z$1,FALSE)*VLOOKUP(B$3,$U$4:$Z$15,$Z$1,FALSE)</f>
        <v>0</v>
      </c>
      <c r="C15" s="15">
        <f>VLOOKUP($A15,lognormal!$I$3:$M$14,lognormal!$M$1,FALSE) * VLOOKUP(C$3,lognormal!$I$3:$M$14,lognormal!$M$1,FALSE) *INDEX(correlation!$C$3:$N$14,MATCH($A15,correlation!$B$3:$B$14,0),MATCH(C$3,correlation!$C$2:$N$2,0))*VLOOKUP($A15,$U$4:$Z$15,$Z$1,FALSE)*VLOOKUP(C$3,$U$4:$Z$15,$Z$1,FALSE)</f>
        <v>0</v>
      </c>
      <c r="D15" s="15">
        <f>VLOOKUP($A15,lognormal!$I$3:$M$14,lognormal!$M$1,FALSE) * VLOOKUP(D$3,lognormal!$I$3:$M$14,lognormal!$M$1,FALSE) *INDEX(correlation!$C$3:$N$14,MATCH($A15,correlation!$B$3:$B$14,0),MATCH(D$3,correlation!$C$2:$N$2,0))*VLOOKUP($A15,$U$4:$Z$15,$Z$1,FALSE)*VLOOKUP(D$3,$U$4:$Z$15,$Z$1,FALSE)</f>
        <v>2.3504700383027252E-18</v>
      </c>
      <c r="E15" s="15">
        <f>VLOOKUP($A15,lognormal!$I$3:$M$14,lognormal!$M$1,FALSE) * VLOOKUP(E$3,lognormal!$I$3:$M$14,lognormal!$M$1,FALSE) *INDEX(correlation!$C$3:$N$14,MATCH($A15,correlation!$B$3:$B$14,0),MATCH(E$3,correlation!$C$2:$N$2,0))*VLOOKUP($A15,$U$4:$Z$15,$Z$1,FALSE)*VLOOKUP(E$3,$U$4:$Z$15,$Z$1,FALSE)</f>
        <v>0</v>
      </c>
      <c r="F15" s="15">
        <f>VLOOKUP($A15,lognormal!$I$3:$M$14,lognormal!$M$1,FALSE) * VLOOKUP(F$3,lognormal!$I$3:$M$14,lognormal!$M$1,FALSE) *INDEX(correlation!$C$3:$N$14,MATCH($A15,correlation!$B$3:$B$14,0),MATCH(F$3,correlation!$C$2:$N$2,0))*VLOOKUP($A15,$U$4:$Z$15,$Z$1,FALSE)*VLOOKUP(F$3,$U$4:$Z$15,$Z$1,FALSE)</f>
        <v>1.6216570464018532E-17</v>
      </c>
      <c r="G15" s="15">
        <f>VLOOKUP($A15,lognormal!$I$3:$M$14,lognormal!$M$1,FALSE) * VLOOKUP(G$3,lognormal!$I$3:$M$14,lognormal!$M$1,FALSE) *INDEX(correlation!$C$3:$N$14,MATCH($A15,correlation!$B$3:$B$14,0),MATCH(G$3,correlation!$C$2:$N$2,0))*VLOOKUP($A15,$U$4:$Z$15,$Z$1,FALSE)*VLOOKUP(G$3,$U$4:$Z$15,$Z$1,FALSE)</f>
        <v>1.5983516176880409E-32</v>
      </c>
      <c r="H15" s="15">
        <f>VLOOKUP($A15,lognormal!$I$3:$M$14,lognormal!$M$1,FALSE) * VLOOKUP(H$3,lognormal!$I$3:$M$14,lognormal!$M$1,FALSE) *INDEX(correlation!$C$3:$N$14,MATCH($A15,correlation!$B$3:$B$14,0),MATCH(H$3,correlation!$C$2:$N$2,0))*VLOOKUP($A15,$U$4:$Z$15,$Z$1,FALSE)*VLOOKUP(H$3,$U$4:$Z$15,$Z$1,FALSE)</f>
        <v>0</v>
      </c>
      <c r="I15" s="15">
        <f>VLOOKUP($A15,lognormal!$I$3:$M$14,lognormal!$M$1,FALSE) * VLOOKUP(I$3,lognormal!$I$3:$M$14,lognormal!$M$1,FALSE) *INDEX(correlation!$C$3:$N$14,MATCH($A15,correlation!$B$3:$B$14,0),MATCH(I$3,correlation!$C$2:$N$2,0))*VLOOKUP($A15,$U$4:$Z$15,$Z$1,FALSE)*VLOOKUP(I$3,$U$4:$Z$15,$Z$1,FALSE)</f>
        <v>3.5994429771613266E-17</v>
      </c>
      <c r="J15" s="15">
        <f>VLOOKUP($A15,lognormal!$I$3:$M$14,lognormal!$M$1,FALSE) * VLOOKUP(J$3,lognormal!$I$3:$M$14,lognormal!$M$1,FALSE) *INDEX(correlation!$C$3:$N$14,MATCH($A15,correlation!$B$3:$B$14,0),MATCH(J$3,correlation!$C$2:$N$2,0))*VLOOKUP($A15,$U$4:$Z$15,$Z$1,FALSE)*VLOOKUP(J$3,$U$4:$Z$15,$Z$1,FALSE)</f>
        <v>1.4897107273133732E-17</v>
      </c>
      <c r="K15" s="15">
        <f>VLOOKUP($A15,lognormal!$I$3:$M$14,lognormal!$M$1,FALSE) * VLOOKUP(K$3,lognormal!$I$3:$M$14,lognormal!$M$1,FALSE) *INDEX(correlation!$C$3:$N$14,MATCH($A15,correlation!$B$3:$B$14,0),MATCH(K$3,correlation!$C$2:$N$2,0))*VLOOKUP($A15,$U$4:$Z$15,$Z$1,FALSE)*VLOOKUP(K$3,$U$4:$Z$15,$Z$1,FALSE)</f>
        <v>0</v>
      </c>
      <c r="L15" s="15">
        <f>VLOOKUP($A15,lognormal!$I$3:$M$14,lognormal!$M$1,FALSE) * VLOOKUP(L$3,lognormal!$I$3:$M$14,lognormal!$M$1,FALSE) *INDEX(correlation!$C$3:$N$14,MATCH($A15,correlation!$B$3:$B$14,0),MATCH(L$3,correlation!$C$2:$N$2,0))*VLOOKUP($A15,$U$4:$Z$15,$Z$1,FALSE)*VLOOKUP(L$3,$U$4:$Z$15,$Z$1,FALSE)</f>
        <v>0</v>
      </c>
      <c r="M15" s="15">
        <f>VLOOKUP($A15,lognormal!$I$3:$M$14,lognormal!$M$1,FALSE) * VLOOKUP(M$3,lognormal!$I$3:$M$14,lognormal!$M$1,FALSE) *INDEX(correlation!$C$3:$N$14,MATCH($A15,correlation!$B$3:$B$14,0),MATCH(M$3,correlation!$C$2:$N$2,0))*VLOOKUP($A15,$U$4:$Z$15,$Z$1,FALSE)*VLOOKUP(M$3,$U$4:$Z$15,$Z$1,FALSE)</f>
        <v>1.2117976684389646E-30</v>
      </c>
      <c r="N15" s="36">
        <f t="shared" si="1"/>
        <v>6.9458577547069477E-17</v>
      </c>
      <c r="O15" s="13">
        <f>INDEX(beta!$B$3:$D$14,MATCH($A15,beta!$A$3:$A$14,0),MATCH(O$3,beta!$B$2:$D$2,0))</f>
        <v>1</v>
      </c>
      <c r="P15" s="30">
        <f t="shared" si="2"/>
        <v>1.22312709548329E-14</v>
      </c>
      <c r="Q15" s="30">
        <f>O15*(VLOOKUP($O$3,lognormal!$A$3:$C$14,3,FALSE)-$V$23)+$V$23</f>
        <v>7.9522004223109358E-2</v>
      </c>
      <c r="R15" s="23">
        <f>EXP(VLOOKUP(A15,lognormal!$A$3:$C$14,3,FALSE)-Q15)-1</f>
        <v>0</v>
      </c>
      <c r="S15" s="14">
        <f>INDEX(beta!$B$3:$D$14,MATCH($A15,beta!$A$3:$A$14,0),MATCH(S$3,beta!$B$2:$D$2,0))</f>
        <v>9.81486299491766E-2</v>
      </c>
      <c r="T15" s="11">
        <f>INDEX(beta!$B$3:$D$14,MATCH($A15,beta!$A$3:$A$14,0),MATCH(T$3,beta!$B$2:$D$2,0))</f>
        <v>0.17409503885588601</v>
      </c>
      <c r="U15" s="13" t="s">
        <v>24</v>
      </c>
      <c r="V15" s="41"/>
      <c r="W15" s="41"/>
      <c r="X15" s="41"/>
      <c r="Y15" s="42">
        <f t="shared" si="3"/>
        <v>0</v>
      </c>
      <c r="Z15" s="46">
        <f t="shared" si="4"/>
        <v>1.22312709548329E-14</v>
      </c>
      <c r="AA15" s="45">
        <f>VLOOKUP(U15,tangentPorfolio!$A$2:$B$13,2,FALSE)</f>
        <v>1.22312709548329E-14</v>
      </c>
      <c r="AB15" s="17">
        <f t="shared" si="5"/>
        <v>7.75</v>
      </c>
      <c r="AC15" s="18">
        <f t="shared" si="0"/>
        <v>0</v>
      </c>
    </row>
    <row r="16" spans="1:30" s="27" customFormat="1">
      <c r="H16" s="1"/>
      <c r="I16" s="1"/>
      <c r="J16" s="1"/>
      <c r="K16" s="1"/>
      <c r="L16" s="1"/>
      <c r="M16" s="1"/>
      <c r="N16" s="63"/>
      <c r="O16" s="63"/>
      <c r="P16" s="63"/>
      <c r="Q16" s="63"/>
      <c r="R16" s="63"/>
      <c r="S16" s="2"/>
      <c r="T16" s="2"/>
      <c r="U16" s="29" t="s">
        <v>42</v>
      </c>
      <c r="V16" s="23"/>
      <c r="W16" s="23"/>
      <c r="X16" s="23"/>
      <c r="Y16" s="23">
        <f>SUM(Y4:Y15)</f>
        <v>0</v>
      </c>
      <c r="Z16" s="23">
        <f t="shared" ref="Z16:AA16" si="6">SUM(Z4:Z15)</f>
        <v>1.0000000000004086</v>
      </c>
      <c r="AA16" s="23">
        <f t="shared" si="6"/>
        <v>1.0000000000004086</v>
      </c>
      <c r="AB16" s="2"/>
      <c r="AC16" s="2"/>
      <c r="AD16" s="3"/>
    </row>
    <row r="17" spans="1:31">
      <c r="N17" s="55" t="s">
        <v>40</v>
      </c>
      <c r="O17" s="61">
        <f>SUM(P4:P15)</f>
        <v>0.64053501981532013</v>
      </c>
      <c r="P17" s="57" t="s">
        <v>47</v>
      </c>
      <c r="Q17" s="23">
        <f>O17*(VLOOKUP($O$3,lognormal!$A$3:$F$14,lognormal!$E$1,FALSE)-$V$24)+$V$24</f>
        <v>5.4346709938149371E-2</v>
      </c>
      <c r="R17" s="62">
        <f>$AC$31-Q17</f>
        <v>8.7953594391360204E-2</v>
      </c>
      <c r="U17" s="28" t="s">
        <v>34</v>
      </c>
      <c r="V17" s="28">
        <v>29219.37</v>
      </c>
      <c r="Y17" s="2"/>
      <c r="Z17" s="2"/>
      <c r="AA17" s="2"/>
      <c r="AB17" s="17">
        <f>IF(ISNUMBER(SEARCH("HK",U17)),1,$V$21)</f>
        <v>1</v>
      </c>
      <c r="AC17" s="18">
        <f>V17*AB17</f>
        <v>29219.37</v>
      </c>
    </row>
    <row r="18" spans="1:31">
      <c r="K18" s="28"/>
      <c r="L18" s="28"/>
      <c r="M18" s="28"/>
      <c r="N18" s="28" t="s">
        <v>63</v>
      </c>
      <c r="O18">
        <f>POWER(VLOOKUP($O$3,lognormal!$I$3:$M$14,lognormal!$M$1,FALSE),2)*POWER(O17,2)</f>
        <v>3.3233240931646222E-3</v>
      </c>
      <c r="U18" s="28" t="s">
        <v>33</v>
      </c>
      <c r="V18" s="28">
        <v>13114.06</v>
      </c>
      <c r="Y18" s="2"/>
      <c r="Z18" s="2"/>
      <c r="AA18" s="2"/>
      <c r="AB18" s="17">
        <f>IF(ISNUMBER(SEARCH("HK",U18)),1,$V$21)</f>
        <v>7.75</v>
      </c>
      <c r="AC18" s="18">
        <f>V18*AB18</f>
        <v>101633.965</v>
      </c>
    </row>
    <row r="19" spans="1:31" ht="15.75" thickBot="1">
      <c r="N19" s="68" t="s">
        <v>62</v>
      </c>
      <c r="O19" s="69">
        <f>SQRT(O18)</f>
        <v>5.7648279186499764E-2</v>
      </c>
      <c r="P19" s="2">
        <f>EXP(LN($O$19+1)/SQRT($B$1))-1</f>
        <v>7.0863541735286528E-3</v>
      </c>
      <c r="U19" s="28"/>
      <c r="V19" s="19"/>
      <c r="W19" s="19"/>
      <c r="X19" s="19"/>
      <c r="Y19" s="2"/>
      <c r="Z19" s="2"/>
      <c r="AA19" s="2"/>
      <c r="AB19" s="29" t="s">
        <v>32</v>
      </c>
      <c r="AC19" s="43">
        <f>SUM(AC4:AC15)</f>
        <v>0</v>
      </c>
    </row>
    <row r="20" spans="1:31" ht="15.75" thickBot="1">
      <c r="A20" t="s">
        <v>88</v>
      </c>
      <c r="B20" s="47">
        <f>VLOOKUP(B3,lognormal!$A$3:$F$14,lognormal!$E$1,FALSE)*VLOOKUP(B3,$U$4:$Z$15,$Z$1,FALSE)</f>
        <v>0</v>
      </c>
      <c r="C20" s="47">
        <f>VLOOKUP(C3,lognormal!$A$3:$F$14,lognormal!$E$1,FALSE)*VLOOKUP(C3,$U$4:$Z$15,$Z$1,FALSE)</f>
        <v>0</v>
      </c>
      <c r="D20" s="47">
        <f>VLOOKUP(D3,lognormal!$A$3:$F$14,lognormal!$E$1,FALSE)*VLOOKUP(D3,$U$4:$Z$15,$Z$1,FALSE)</f>
        <v>6.2824147108159565E-3</v>
      </c>
      <c r="E20" s="47">
        <f>VLOOKUP(E3,lognormal!$A$3:$F$14,lognormal!$E$1,FALSE)*VLOOKUP(E3,$U$4:$Z$15,$Z$1,FALSE)</f>
        <v>0</v>
      </c>
      <c r="F20" s="47">
        <f>VLOOKUP(F3,lognormal!$A$3:$F$14,lognormal!$E$1,FALSE)*VLOOKUP(F3,$U$4:$Z$15,$Z$1,FALSE)</f>
        <v>5.4363806346184165E-2</v>
      </c>
      <c r="G20" s="47">
        <f>VLOOKUP(G3,lognormal!$A$3:$F$14,lognormal!$E$1,FALSE)*VLOOKUP(G3,$U$4:$Z$15,$Z$1,FALSE)</f>
        <v>1.7552469148357842E-17</v>
      </c>
      <c r="H20" s="47">
        <f>VLOOKUP(H3,lognormal!$A$3:$F$14,lognormal!$E$1,FALSE)*VLOOKUP(H3,$U$4:$Z$15,$Z$1,FALSE)</f>
        <v>0</v>
      </c>
      <c r="I20" s="47">
        <f>VLOOKUP(I3,lognormal!$A$3:$F$14,lognormal!$E$1,FALSE)*VLOOKUP(I3,$U$4:$Z$15,$Z$1,FALSE)</f>
        <v>6.1536313709728965E-2</v>
      </c>
      <c r="J20" s="47">
        <f>VLOOKUP(J3,lognormal!$A$3:$F$14,lognormal!$E$1,FALSE)*VLOOKUP(J3,$U$4:$Z$15,$Z$1,FALSE)</f>
        <v>2.0117769562779483E-2</v>
      </c>
      <c r="K20" s="47">
        <f>VLOOKUP(K3,lognormal!$A$3:$F$14,lognormal!$E$1,FALSE)*VLOOKUP(K3,$U$4:$Z$15,$Z$1,FALSE)</f>
        <v>0</v>
      </c>
      <c r="L20" s="47">
        <f>VLOOKUP(L3,lognormal!$A$3:$F$14,lognormal!$E$1,FALSE)*VLOOKUP(L3,$U$4:$Z$15,$Z$1,FALSE)</f>
        <v>0</v>
      </c>
      <c r="M20" s="47">
        <f>VLOOKUP(M3,lognormal!$A$3:$F$14,lognormal!$E$1,FALSE)*VLOOKUP(M3,$U$4:$Z$15,$Z$1,FALSE)</f>
        <v>1.0123747718430039E-15</v>
      </c>
      <c r="N20" s="63"/>
      <c r="O20" s="63"/>
      <c r="P20" s="63"/>
      <c r="U20" s="28"/>
      <c r="V20" s="19"/>
      <c r="W20" s="19"/>
      <c r="X20" s="19"/>
      <c r="AB20" s="29" t="s">
        <v>3</v>
      </c>
      <c r="AC20" s="43">
        <f>SUM(AC17:AC19)</f>
        <v>130853.33499999999</v>
      </c>
    </row>
    <row r="21" spans="1:31">
      <c r="G21" s="28"/>
      <c r="H21" s="28"/>
      <c r="I21" s="28"/>
      <c r="J21" s="28"/>
      <c r="K21" s="28"/>
      <c r="L21" s="28"/>
      <c r="M21" s="28"/>
      <c r="N21" s="28"/>
      <c r="U21" s="21" t="s">
        <v>29</v>
      </c>
      <c r="V21" s="34">
        <v>7.75</v>
      </c>
      <c r="W21" s="34"/>
      <c r="X21" s="34"/>
    </row>
    <row r="22" spans="1:31" ht="30">
      <c r="I22" s="28"/>
      <c r="J22" s="28"/>
      <c r="K22" s="28"/>
      <c r="L22" s="28"/>
      <c r="M22" s="28"/>
      <c r="N22" s="28"/>
      <c r="U22" s="21" t="s">
        <v>30</v>
      </c>
      <c r="V22" s="34">
        <v>1.20726716</v>
      </c>
      <c r="W22" s="34"/>
      <c r="X22" s="34"/>
      <c r="Y22" s="2"/>
      <c r="Z22" s="2"/>
      <c r="AA22" s="94" t="s">
        <v>72</v>
      </c>
      <c r="AB22" s="72" t="s">
        <v>89</v>
      </c>
      <c r="AC22" s="73">
        <f>SQRT(-2*LN($AC$31+1) + LN(POWER($AC$24,2) + POWER($AC$31+1,2)))</f>
        <v>6.4743974442708366E-2</v>
      </c>
      <c r="AD22" s="74">
        <f>EXP(AC22)-1</f>
        <v>6.6885839372920586E-2</v>
      </c>
    </row>
    <row r="23" spans="1:31" ht="30">
      <c r="I23" s="28"/>
      <c r="J23" s="28"/>
      <c r="K23" s="28"/>
      <c r="L23" s="28"/>
      <c r="M23" s="28"/>
      <c r="N23" s="28"/>
      <c r="U23" s="60" t="s">
        <v>46</v>
      </c>
      <c r="V23">
        <f>LN(V24+1)</f>
        <v>3.6931718376176067E-3</v>
      </c>
      <c r="AA23" s="94"/>
      <c r="AB23" s="26" t="s">
        <v>93</v>
      </c>
      <c r="AC23" s="44">
        <f>SUM(N4:N15)</f>
        <v>5.4811267958766235E-3</v>
      </c>
    </row>
    <row r="24" spans="1:31">
      <c r="I24" s="28"/>
      <c r="J24" s="28"/>
      <c r="K24" s="28"/>
      <c r="L24" s="28"/>
      <c r="M24" s="28"/>
      <c r="N24" s="28"/>
      <c r="U24" s="21" t="s">
        <v>39</v>
      </c>
      <c r="V24" s="58">
        <v>3.7000000000000002E-3</v>
      </c>
      <c r="W24" s="58"/>
      <c r="X24" s="58"/>
      <c r="Y24" s="2"/>
      <c r="Z24" s="2"/>
      <c r="AA24" s="94"/>
      <c r="AB24" s="51" t="s">
        <v>37</v>
      </c>
      <c r="AC24" s="52">
        <f>SQRT(AC23)</f>
        <v>7.4034632408600656E-2</v>
      </c>
      <c r="AD24" s="2">
        <f>EXP(LN($AC$24+1)/SQRT($B$1))-1</f>
        <v>9.0389635740180108E-3</v>
      </c>
      <c r="AE24" s="28"/>
    </row>
    <row r="25" spans="1:31">
      <c r="I25" s="28"/>
      <c r="J25" s="28"/>
      <c r="K25" s="28"/>
      <c r="L25" s="28"/>
      <c r="M25" s="28"/>
      <c r="N25" s="28"/>
      <c r="U25" s="21" t="s">
        <v>5</v>
      </c>
      <c r="V25" s="59">
        <v>43831</v>
      </c>
      <c r="W25" s="59"/>
      <c r="X25" s="59"/>
      <c r="Y25" s="2"/>
      <c r="Z25" s="2"/>
      <c r="AA25" s="94"/>
      <c r="AB25" s="64"/>
      <c r="AC25" s="63"/>
      <c r="AD25" s="63"/>
    </row>
    <row r="26" spans="1:31">
      <c r="I26" s="28"/>
      <c r="J26" s="28"/>
      <c r="K26" s="28"/>
      <c r="L26" s="28"/>
      <c r="M26" s="28"/>
      <c r="N26" s="28"/>
      <c r="V26" s="2"/>
      <c r="W26" s="2"/>
      <c r="X26" s="2"/>
      <c r="Y26" s="2"/>
      <c r="Z26" s="2"/>
      <c r="AA26" s="94"/>
      <c r="AB26" s="25" t="s">
        <v>64</v>
      </c>
      <c r="AC26" s="17">
        <f>$AC$23-$O$18</f>
        <v>2.1578027027120013E-3</v>
      </c>
      <c r="AD26" s="2"/>
      <c r="AE26" s="2"/>
    </row>
    <row r="27" spans="1:31">
      <c r="I27" s="28"/>
      <c r="J27" s="28"/>
      <c r="K27" s="28"/>
      <c r="L27" s="28"/>
      <c r="M27" s="28"/>
      <c r="N27" s="28"/>
      <c r="V27" s="2"/>
      <c r="W27" s="2"/>
      <c r="X27" s="2"/>
      <c r="Y27" s="2"/>
      <c r="AA27" s="94"/>
      <c r="AB27" s="25" t="s">
        <v>65</v>
      </c>
      <c r="AC27" s="2">
        <f>SQRT(AC26)</f>
        <v>4.6452154984586033E-2</v>
      </c>
      <c r="AD27" s="63"/>
      <c r="AE27" s="2"/>
    </row>
    <row r="28" spans="1:31">
      <c r="I28" s="28"/>
      <c r="J28" s="28"/>
      <c r="K28" s="28"/>
      <c r="L28" s="28"/>
      <c r="M28" s="28"/>
      <c r="N28" s="28"/>
      <c r="V28" s="2"/>
      <c r="W28" s="2"/>
      <c r="X28" s="2"/>
      <c r="Y28" s="2"/>
      <c r="AA28" s="63"/>
      <c r="AB28" s="63"/>
      <c r="AC28" s="63"/>
      <c r="AD28" s="63"/>
    </row>
    <row r="29" spans="1:31">
      <c r="I29" s="28"/>
      <c r="J29" s="28"/>
      <c r="K29" s="28"/>
      <c r="L29" s="28"/>
      <c r="M29" s="28"/>
      <c r="N29" s="28"/>
      <c r="V29" s="2"/>
      <c r="W29" s="2"/>
      <c r="X29" s="2"/>
      <c r="Y29" s="2"/>
      <c r="AB29" s="2"/>
      <c r="AC29" s="2"/>
      <c r="AD29" s="2"/>
    </row>
    <row r="30" spans="1:31" ht="30">
      <c r="V30" s="2"/>
      <c r="W30" s="2"/>
      <c r="X30" s="2"/>
      <c r="AA30" s="78" t="s">
        <v>73</v>
      </c>
      <c r="AB30" s="72" t="s">
        <v>89</v>
      </c>
      <c r="AC30" s="33">
        <f>2*LN($AC$31+1)-0.5*LN(POWER($AC$24,2) + POWER($AC$31+1,2))</f>
        <v>0.13094814906260968</v>
      </c>
      <c r="AD30" s="66">
        <f>EXP(AC30)-1</f>
        <v>0.13990867444632094</v>
      </c>
    </row>
    <row r="31" spans="1:31" ht="30">
      <c r="V31" s="2"/>
      <c r="W31" s="2"/>
      <c r="X31" s="2"/>
      <c r="AA31" s="78"/>
      <c r="AB31" s="53" t="s">
        <v>38</v>
      </c>
      <c r="AC31" s="54">
        <f>SUM(B20:M20)</f>
        <v>0.14230030432950957</v>
      </c>
      <c r="AD31" s="2">
        <f>EXP(LN(1+$AC$31)/$B$1)-1</f>
        <v>2.1140416031191211E-3</v>
      </c>
      <c r="AE31" s="63"/>
    </row>
    <row r="32" spans="1:31">
      <c r="AA32" s="78"/>
      <c r="AC32" s="28"/>
      <c r="AE32" s="63"/>
    </row>
    <row r="33" spans="26:31">
      <c r="Z33"/>
      <c r="AA33" s="78"/>
      <c r="AB33"/>
    </row>
    <row r="34" spans="26:31">
      <c r="Z34"/>
      <c r="AA34" s="78"/>
      <c r="AB34" s="55" t="s">
        <v>4</v>
      </c>
      <c r="AC34" s="56">
        <f>(AC31-V24)/AC24</f>
        <v>1.8721009319607058</v>
      </c>
    </row>
    <row r="35" spans="26:31">
      <c r="Z35"/>
      <c r="AA35" s="44"/>
      <c r="AB35" s="63"/>
    </row>
    <row r="36" spans="26:31">
      <c r="Z36"/>
      <c r="AA36" s="44"/>
      <c r="AB36" s="21" t="s">
        <v>49</v>
      </c>
      <c r="AC36" s="45">
        <v>0.9</v>
      </c>
      <c r="AD36" s="45">
        <v>0.95</v>
      </c>
      <c r="AE36" s="45">
        <v>0.99</v>
      </c>
    </row>
    <row r="37" spans="26:31">
      <c r="Z37"/>
      <c r="AA37" s="44"/>
      <c r="AB37" s="21" t="s">
        <v>51</v>
      </c>
      <c r="AC37" s="21">
        <f>_xlfn.NORM.S.INV(AC36)</f>
        <v>1.2815515655446006</v>
      </c>
      <c r="AD37" s="21">
        <f t="shared" ref="AD37:AE37" si="7">_xlfn.NORM.S.INV(AD36)</f>
        <v>1.6448536269514715</v>
      </c>
      <c r="AE37" s="21">
        <f t="shared" si="7"/>
        <v>2.3263478740408408</v>
      </c>
    </row>
    <row r="38" spans="26:31">
      <c r="Z38" s="2"/>
      <c r="AA38" s="92" t="s">
        <v>54</v>
      </c>
      <c r="AB38" s="22" t="s">
        <v>48</v>
      </c>
      <c r="AC38" s="22">
        <f>_xlfn.NORM.INV(1-AC36, $AC$31,$AC$24)</f>
        <v>4.7421105261748378E-2</v>
      </c>
      <c r="AD38" s="22">
        <f>_xlfn.NORM.INV(1-AD36, $AC$31,$AC$24)</f>
        <v>2.052417069220383E-2</v>
      </c>
      <c r="AE38" s="22">
        <f>_xlfn.NORM.INV(1-AE36, $AC$31,$AC$24)</f>
        <v>-2.9930005379633695E-2</v>
      </c>
    </row>
    <row r="39" spans="26:31">
      <c r="Z39" s="2"/>
      <c r="AA39" s="92"/>
      <c r="AB39" s="65"/>
      <c r="AC39" s="66">
        <f>AC38</f>
        <v>4.7421105261748378E-2</v>
      </c>
      <c r="AD39" s="66">
        <f>AD38</f>
        <v>2.052417069220383E-2</v>
      </c>
      <c r="AE39" s="66">
        <f>AE38</f>
        <v>-2.9930005379633695E-2</v>
      </c>
    </row>
    <row r="40" spans="26:31">
      <c r="Z40" s="2"/>
      <c r="AA40" s="93" t="s">
        <v>52</v>
      </c>
      <c r="AB40" s="82" t="s">
        <v>90</v>
      </c>
      <c r="AC40" s="17">
        <f>$AC$31-AC37*$AC$24</f>
        <v>4.7421105261748378E-2</v>
      </c>
      <c r="AD40" s="17">
        <f t="shared" ref="AD40:AE40" si="8">$AC$31-AD37*$AC$24</f>
        <v>2.052417069220383E-2</v>
      </c>
      <c r="AE40" s="17">
        <f t="shared" si="8"/>
        <v>-2.9930005379633695E-2</v>
      </c>
    </row>
    <row r="41" spans="26:31">
      <c r="AA41" s="93"/>
      <c r="AB41" s="83"/>
      <c r="AC41" s="43">
        <f>$AC$19*AC40</f>
        <v>0</v>
      </c>
      <c r="AD41" s="43">
        <f t="shared" ref="AD41:AE41" si="9">$AC$19*AD40</f>
        <v>0</v>
      </c>
      <c r="AE41" s="43">
        <f t="shared" si="9"/>
        <v>0</v>
      </c>
    </row>
    <row r="42" spans="26:31">
      <c r="AA42" s="93"/>
      <c r="AB42" s="84" t="s">
        <v>53</v>
      </c>
      <c r="AC42" s="17">
        <f>$AD$31-AC37*$AD$24</f>
        <v>-9.4698563160642794E-3</v>
      </c>
      <c r="AD42" s="17">
        <f t="shared" ref="AD42:AE42" si="10">$AD$31-AD37*$AD$24</f>
        <v>-1.2753730415486639E-2</v>
      </c>
      <c r="AE42" s="17">
        <f t="shared" si="10"/>
        <v>-1.8913732090830276E-2</v>
      </c>
    </row>
    <row r="43" spans="26:31">
      <c r="AA43" s="93"/>
      <c r="AB43" s="84"/>
      <c r="AC43" s="43">
        <f>$AC$19*AC42</f>
        <v>0</v>
      </c>
      <c r="AD43" s="43">
        <f t="shared" ref="AD43:AE43" si="11">$AC$19*AD42</f>
        <v>0</v>
      </c>
      <c r="AE43" s="43">
        <f t="shared" si="11"/>
        <v>0</v>
      </c>
    </row>
    <row r="44" spans="26:31">
      <c r="AB44" s="2"/>
    </row>
    <row r="45" spans="26:31">
      <c r="AB45" s="71" t="s">
        <v>55</v>
      </c>
    </row>
    <row r="46" spans="26:31">
      <c r="AB46" s="64" t="s">
        <v>50</v>
      </c>
    </row>
    <row r="47" spans="26:31">
      <c r="AB47" s="64" t="s">
        <v>56</v>
      </c>
    </row>
    <row r="50" spans="27:31">
      <c r="AC50" t="s">
        <v>90</v>
      </c>
      <c r="AD50" t="s">
        <v>53</v>
      </c>
    </row>
    <row r="51" spans="27:31">
      <c r="AA51" s="77" t="s">
        <v>71</v>
      </c>
      <c r="AB51" s="24" t="s">
        <v>91</v>
      </c>
      <c r="AC51" s="23">
        <f>0.04</f>
        <v>0.04</v>
      </c>
      <c r="AD51" s="46">
        <f>EXP(LN(AC51+1)/$B$1)-1</f>
        <v>6.2274482752822102E-4</v>
      </c>
      <c r="AE51" s="63"/>
    </row>
    <row r="52" spans="27:31">
      <c r="AA52" s="77"/>
      <c r="AB52" s="24" t="s">
        <v>66</v>
      </c>
      <c r="AC52" s="67">
        <v>1.5</v>
      </c>
      <c r="AD52" s="63"/>
      <c r="AE52" s="63"/>
    </row>
    <row r="53" spans="27:31">
      <c r="AA53" s="77"/>
      <c r="AB53" s="30" t="s">
        <v>74</v>
      </c>
      <c r="AC53" s="23">
        <f>$AC$52*AC$31 - ($AC$52-1)*AC51</f>
        <v>0.19345045649426437</v>
      </c>
      <c r="AD53" s="23">
        <f>$AC$52*AD$31 - ($AC$52-1)*AD51</f>
        <v>2.8596899909145712E-3</v>
      </c>
      <c r="AE53" s="63"/>
    </row>
    <row r="54" spans="27:31">
      <c r="AA54" s="77"/>
      <c r="AB54" s="30" t="s">
        <v>75</v>
      </c>
      <c r="AC54" s="23">
        <f>AC53-$V$24</f>
        <v>0.18975045649426436</v>
      </c>
      <c r="AD54" s="23">
        <f>AD53-$V$24</f>
        <v>-8.4031000908542895E-4</v>
      </c>
      <c r="AE54" s="63"/>
    </row>
    <row r="55" spans="27:31">
      <c r="AA55" s="77"/>
      <c r="AB55" s="30" t="s">
        <v>67</v>
      </c>
      <c r="AC55" s="23">
        <f>AC$24*$AC$52</f>
        <v>0.11105194861290099</v>
      </c>
      <c r="AD55" s="23">
        <f>AD$24*$AC$52</f>
        <v>1.3558445361027016E-2</v>
      </c>
      <c r="AE55" s="63"/>
    </row>
    <row r="56" spans="27:31">
      <c r="AA56" s="77"/>
      <c r="AB56" s="30" t="s">
        <v>68</v>
      </c>
      <c r="AC56" s="23">
        <f>O$19*$AC$52</f>
        <v>8.6472418779749649E-2</v>
      </c>
      <c r="AD56" s="23">
        <f>P$19*$AC$52</f>
        <v>1.0629531260292979E-2</v>
      </c>
      <c r="AE56" s="63"/>
    </row>
    <row r="57" spans="27:31">
      <c r="AA57" s="77"/>
      <c r="AB57" s="21" t="s">
        <v>69</v>
      </c>
      <c r="AC57" s="75">
        <f>(AC53-AC51)/AC55</f>
        <v>1.3817898597092957</v>
      </c>
      <c r="AD57" s="75">
        <f>(AD53-AD51)/AD55</f>
        <v>0.16498537286703405</v>
      </c>
      <c r="AE57" s="63"/>
    </row>
    <row r="58" spans="27:31">
      <c r="AA58" s="77"/>
      <c r="AB58" s="21" t="s">
        <v>70</v>
      </c>
      <c r="AC58" s="75">
        <f>AC54/AC56</f>
        <v>2.1943465809320077</v>
      </c>
      <c r="AD58" s="75">
        <f>AD54/AD56</f>
        <v>-7.9054286450470218E-2</v>
      </c>
      <c r="AE58" s="63"/>
    </row>
  </sheetData>
  <mergeCells count="10">
    <mergeCell ref="AA51:AA58"/>
    <mergeCell ref="AA30:AA34"/>
    <mergeCell ref="A2:N2"/>
    <mergeCell ref="AB40:AB41"/>
    <mergeCell ref="AB42:AB43"/>
    <mergeCell ref="O2:T2"/>
    <mergeCell ref="U2:AC2"/>
    <mergeCell ref="AA38:AA39"/>
    <mergeCell ref="AA40:AA43"/>
    <mergeCell ref="AA22:AA27"/>
  </mergeCells>
  <phoneticPr fontId="2" type="noConversion"/>
  <conditionalFormatting sqref="R4:T15 O4:P15 B4:M15">
    <cfRule type="colorScale" priority="17">
      <colorScale>
        <cfvo type="min"/>
        <cfvo type="max"/>
        <color rgb="FFFCFCFF"/>
        <color rgb="FF63BE7B"/>
      </colorScale>
    </cfRule>
  </conditionalFormatting>
  <conditionalFormatting sqref="N4:N15">
    <cfRule type="colorScale" priority="8">
      <colorScale>
        <cfvo type="min"/>
        <cfvo type="max"/>
        <color rgb="FFFCFCFF"/>
        <color rgb="FF63BE7B"/>
      </colorScale>
    </cfRule>
  </conditionalFormatting>
  <conditionalFormatting sqref="B4:M15">
    <cfRule type="colorScale" priority="9">
      <colorScale>
        <cfvo type="min"/>
        <cfvo type="max"/>
        <color rgb="FFFCFCFF"/>
        <color rgb="FF63BE7B"/>
      </colorScale>
    </cfRule>
  </conditionalFormatting>
  <conditionalFormatting sqref="R4:T15 O4:P15">
    <cfRule type="colorScale" priority="7">
      <colorScale>
        <cfvo type="min"/>
        <cfvo type="max"/>
        <color rgb="FFFCFCFF"/>
        <color rgb="FF63BE7B"/>
      </colorScale>
    </cfRule>
  </conditionalFormatting>
  <conditionalFormatting sqref="R4:R15 P4:P15">
    <cfRule type="colorScale" priority="6">
      <colorScale>
        <cfvo type="min"/>
        <cfvo type="max"/>
        <color rgb="FFFCFCFF"/>
        <color rgb="FFF8696B"/>
      </colorScale>
    </cfRule>
  </conditionalFormatting>
  <conditionalFormatting sqref="P4:P15">
    <cfRule type="colorScale" priority="2">
      <colorScale>
        <cfvo type="min"/>
        <cfvo type="max"/>
        <color rgb="FFFCFCFF"/>
        <color rgb="FF63BE7B"/>
      </colorScale>
    </cfRule>
  </conditionalFormatting>
  <conditionalFormatting sqref="B20:M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{EC85056C-7095-4668-A4E7-4F7B7E1DCCAA}</x14:id>
        </ext>
      </extLst>
    </cfRule>
  </conditionalFormatting>
  <hyperlinks>
    <hyperlink ref="AB46" r:id="rId1" xr:uid="{CD539F7E-5526-443A-87B7-9F558C296785}"/>
    <hyperlink ref="AB47" r:id="rId2" xr:uid="{F57B378C-A30F-48A5-901F-001C53E2C623}"/>
    <hyperlink ref="AB45" r:id="rId3" xr:uid="{D7CC0511-71E1-41DE-9780-468878A3F199}"/>
  </hyperlinks>
  <pageMargins left="0.7" right="0.7" top="0.75" bottom="0.75" header="0.3" footer="0.3"/>
  <pageSetup paperSize="9" orientation="portrait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85056C-7095-4668-A4E7-4F7B7E1DCC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B20:M20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A688-F4C3-48CB-9A40-142F491BD49B}">
  <dimension ref="A1:P16"/>
  <sheetViews>
    <sheetView workbookViewId="0">
      <selection activeCell="C16" sqref="C16"/>
    </sheetView>
  </sheetViews>
  <sheetFormatPr defaultRowHeight="15"/>
  <cols>
    <col min="1" max="1" width="8.7109375" style="28"/>
    <col min="2" max="2" width="11.28515625" customWidth="1"/>
    <col min="15" max="15" width="8.7109375" style="31"/>
    <col min="16" max="16" width="13.85546875" bestFit="1" customWidth="1"/>
  </cols>
  <sheetData>
    <row r="1" spans="1:16" s="28" customFormat="1">
      <c r="A1" s="5" t="s">
        <v>8</v>
      </c>
      <c r="B1" s="6">
        <v>40179</v>
      </c>
      <c r="O1" s="31"/>
    </row>
    <row r="2" spans="1:16">
      <c r="A2" s="28" t="s">
        <v>1</v>
      </c>
      <c r="B2" s="28" t="s">
        <v>0</v>
      </c>
      <c r="C2" s="27" t="s">
        <v>16</v>
      </c>
      <c r="D2" s="27" t="s">
        <v>17</v>
      </c>
      <c r="E2" s="27" t="s">
        <v>20</v>
      </c>
      <c r="F2" s="27" t="s">
        <v>19</v>
      </c>
      <c r="G2" s="27" t="s">
        <v>18</v>
      </c>
      <c r="H2" s="27" t="s">
        <v>23</v>
      </c>
      <c r="I2" s="27" t="s">
        <v>22</v>
      </c>
      <c r="J2" s="27" t="s">
        <v>21</v>
      </c>
      <c r="K2" s="27" t="s">
        <v>26</v>
      </c>
      <c r="L2" s="27" t="s">
        <v>2</v>
      </c>
      <c r="M2" s="27" t="s">
        <v>25</v>
      </c>
      <c r="N2" s="27" t="s">
        <v>24</v>
      </c>
      <c r="P2" s="27"/>
    </row>
    <row r="3" spans="1:16">
      <c r="B3" s="27" t="s">
        <v>16</v>
      </c>
      <c r="C3" s="24">
        <v>1</v>
      </c>
      <c r="D3" s="24">
        <v>-2.7688303569639E-2</v>
      </c>
      <c r="E3" s="24">
        <v>9.3253587434908702E-3</v>
      </c>
      <c r="F3" s="24">
        <v>0.106217084471371</v>
      </c>
      <c r="G3" s="24">
        <v>-4.5096598881649401E-3</v>
      </c>
      <c r="H3" s="24">
        <v>1.3532913006965601E-2</v>
      </c>
      <c r="I3" s="24">
        <v>-1.47220571650908E-3</v>
      </c>
      <c r="J3" s="24">
        <v>-9.7541629337136795E-3</v>
      </c>
      <c r="K3" s="24">
        <v>0.12627012797416101</v>
      </c>
      <c r="L3" s="24">
        <v>5.7053058277800203E-2</v>
      </c>
      <c r="M3" s="24">
        <v>2.0512521484083699E-2</v>
      </c>
      <c r="N3" s="24">
        <v>-8.2543042362767504E-3</v>
      </c>
      <c r="P3" s="27"/>
    </row>
    <row r="4" spans="1:16">
      <c r="B4" s="27" t="s">
        <v>17</v>
      </c>
      <c r="C4" s="24">
        <v>-2.7688303569639E-2</v>
      </c>
      <c r="D4" s="24">
        <v>1</v>
      </c>
      <c r="E4" s="24">
        <v>0.28922858715663202</v>
      </c>
      <c r="F4" s="24">
        <v>0.36202674045233002</v>
      </c>
      <c r="G4" s="24">
        <v>0.14308467565404501</v>
      </c>
      <c r="H4" s="24">
        <v>0.52406835227612802</v>
      </c>
      <c r="I4" s="24">
        <v>0.21229226858844499</v>
      </c>
      <c r="J4" s="24">
        <v>0.116542017222107</v>
      </c>
      <c r="K4" s="24">
        <v>0.113555157502693</v>
      </c>
      <c r="L4" s="24">
        <v>0.16840206267131999</v>
      </c>
      <c r="M4" s="24">
        <v>0.271474152847346</v>
      </c>
      <c r="N4" s="24">
        <v>0.16009209622691001</v>
      </c>
      <c r="P4" s="27"/>
    </row>
    <row r="5" spans="1:16">
      <c r="B5" s="27" t="s">
        <v>20</v>
      </c>
      <c r="C5" s="24">
        <v>9.3253587434908702E-3</v>
      </c>
      <c r="D5" s="24">
        <v>0.28922858715663202</v>
      </c>
      <c r="E5" s="24">
        <v>1</v>
      </c>
      <c r="F5" s="24">
        <v>0.25830065722321999</v>
      </c>
      <c r="G5" s="24">
        <v>0.17361915641053199</v>
      </c>
      <c r="H5" s="24">
        <v>0.67485707578079401</v>
      </c>
      <c r="I5" s="24">
        <v>0.18417275427329299</v>
      </c>
      <c r="J5" s="24">
        <v>0.128015131016291</v>
      </c>
      <c r="K5" s="24">
        <v>0.21791374137028899</v>
      </c>
      <c r="L5" s="24">
        <v>0.18873980324925199</v>
      </c>
      <c r="M5" s="24">
        <v>0.26146882734388199</v>
      </c>
      <c r="N5" s="24">
        <v>0.19602730091860601</v>
      </c>
      <c r="P5" s="27"/>
    </row>
    <row r="6" spans="1:16">
      <c r="B6" s="27" t="s">
        <v>19</v>
      </c>
      <c r="C6" s="24">
        <v>0.106217084471371</v>
      </c>
      <c r="D6" s="24">
        <v>0.36202674045233002</v>
      </c>
      <c r="E6" s="24">
        <v>0.25830065722321999</v>
      </c>
      <c r="F6" s="24">
        <v>1</v>
      </c>
      <c r="G6" s="24">
        <v>0.166267159258912</v>
      </c>
      <c r="H6" s="24">
        <v>0.47320384752557898</v>
      </c>
      <c r="I6" s="24">
        <v>0.26335050769072199</v>
      </c>
      <c r="J6" s="24">
        <v>0.22454875943807501</v>
      </c>
      <c r="K6" s="24">
        <v>0.24253145727967501</v>
      </c>
      <c r="L6" s="24">
        <v>0.20487452518167601</v>
      </c>
      <c r="M6" s="24">
        <v>0.29367808223111003</v>
      </c>
      <c r="N6" s="24">
        <v>0.21824337835325999</v>
      </c>
      <c r="P6" s="27"/>
    </row>
    <row r="7" spans="1:16">
      <c r="B7" s="27" t="s">
        <v>18</v>
      </c>
      <c r="C7" s="24">
        <v>-4.5096598881649401E-3</v>
      </c>
      <c r="D7" s="24">
        <v>0.14308467565404501</v>
      </c>
      <c r="E7" s="24">
        <v>0.17361915641053199</v>
      </c>
      <c r="F7" s="24">
        <v>0.166267159258912</v>
      </c>
      <c r="G7" s="24">
        <v>1</v>
      </c>
      <c r="H7" s="24">
        <v>0.18919809110424601</v>
      </c>
      <c r="I7" s="24">
        <v>0.28513542507763801</v>
      </c>
      <c r="J7" s="24">
        <v>0.35788974599715101</v>
      </c>
      <c r="K7" s="24">
        <v>0.33872914086350298</v>
      </c>
      <c r="L7" s="24">
        <v>0.31434505133696</v>
      </c>
      <c r="M7" s="24">
        <v>0.46354654269886603</v>
      </c>
      <c r="N7" s="24">
        <v>0.48120801508920502</v>
      </c>
      <c r="P7" s="27"/>
    </row>
    <row r="8" spans="1:16">
      <c r="B8" s="27" t="s">
        <v>23</v>
      </c>
      <c r="C8" s="24">
        <v>1.3532913006965601E-2</v>
      </c>
      <c r="D8" s="24">
        <v>0.52406835227612802</v>
      </c>
      <c r="E8" s="24">
        <v>0.67485707578079401</v>
      </c>
      <c r="F8" s="24">
        <v>0.47320384752557898</v>
      </c>
      <c r="G8" s="24">
        <v>0.18919809110424601</v>
      </c>
      <c r="H8" s="24">
        <v>1</v>
      </c>
      <c r="I8" s="24">
        <v>0.24175909074177401</v>
      </c>
      <c r="J8" s="24">
        <v>0.102472904364867</v>
      </c>
      <c r="K8" s="24">
        <v>0.134427292144598</v>
      </c>
      <c r="L8" s="24">
        <v>0.20002151332534601</v>
      </c>
      <c r="M8" s="24">
        <v>0.31605986905461397</v>
      </c>
      <c r="N8" s="24">
        <v>0.18399241066616701</v>
      </c>
      <c r="P8" s="27"/>
    </row>
    <row r="9" spans="1:16">
      <c r="B9" s="27" t="s">
        <v>22</v>
      </c>
      <c r="C9" s="24">
        <v>-1.47220571650908E-3</v>
      </c>
      <c r="D9" s="24">
        <v>0.21229226858844499</v>
      </c>
      <c r="E9" s="24">
        <v>0.18417275427329299</v>
      </c>
      <c r="F9" s="24">
        <v>0.26335050769072199</v>
      </c>
      <c r="G9" s="24">
        <v>0.28513542507763801</v>
      </c>
      <c r="H9" s="24">
        <v>0.24175909074177401</v>
      </c>
      <c r="I9" s="24">
        <v>1</v>
      </c>
      <c r="J9" s="24">
        <v>0.35489029933930899</v>
      </c>
      <c r="K9" s="24">
        <v>0.31548830654643101</v>
      </c>
      <c r="L9" s="24">
        <v>0.50831334547978402</v>
      </c>
      <c r="M9" s="24">
        <v>0.48109262126818397</v>
      </c>
      <c r="N9" s="24">
        <v>0.49640785346847199</v>
      </c>
      <c r="P9" s="27"/>
    </row>
    <row r="10" spans="1:16">
      <c r="B10" s="27" t="s">
        <v>21</v>
      </c>
      <c r="C10" s="24">
        <v>-9.7541629337136795E-3</v>
      </c>
      <c r="D10" s="24">
        <v>0.116542017222107</v>
      </c>
      <c r="E10" s="24">
        <v>0.128015131016291</v>
      </c>
      <c r="F10" s="24">
        <v>0.22454875943807501</v>
      </c>
      <c r="G10" s="24">
        <v>0.35788974599715101</v>
      </c>
      <c r="H10" s="24">
        <v>0.102472904364867</v>
      </c>
      <c r="I10" s="24">
        <v>0.35489029933930899</v>
      </c>
      <c r="J10" s="24">
        <v>1</v>
      </c>
      <c r="K10" s="24">
        <v>0.63752414732194895</v>
      </c>
      <c r="L10" s="24">
        <v>0.47661518917871798</v>
      </c>
      <c r="M10" s="24">
        <v>0.60573119067156</v>
      </c>
      <c r="N10" s="24">
        <v>0.81700971606061001</v>
      </c>
      <c r="P10" s="27"/>
    </row>
    <row r="11" spans="1:16">
      <c r="B11" s="27" t="s">
        <v>26</v>
      </c>
      <c r="C11" s="24">
        <v>0.12627012797416101</v>
      </c>
      <c r="D11" s="24">
        <v>0.113555157502693</v>
      </c>
      <c r="E11" s="24">
        <v>0.21791374137028899</v>
      </c>
      <c r="F11" s="24">
        <v>0.24253145727967501</v>
      </c>
      <c r="G11" s="24">
        <v>0.33872914086350298</v>
      </c>
      <c r="H11" s="24">
        <v>0.134427292144598</v>
      </c>
      <c r="I11" s="24">
        <v>0.31548830654643101</v>
      </c>
      <c r="J11" s="24">
        <v>0.63752414732194895</v>
      </c>
      <c r="K11" s="24">
        <v>1</v>
      </c>
      <c r="L11" s="24">
        <v>0.49408999501225698</v>
      </c>
      <c r="M11" s="24">
        <v>0.57417549887744102</v>
      </c>
      <c r="N11" s="24">
        <v>0.745230266767964</v>
      </c>
      <c r="P11" s="27"/>
    </row>
    <row r="12" spans="1:16">
      <c r="B12" s="27" t="s">
        <v>2</v>
      </c>
      <c r="C12" s="24">
        <v>5.7053058277800203E-2</v>
      </c>
      <c r="D12" s="24">
        <v>0.16840206267131999</v>
      </c>
      <c r="E12" s="24">
        <v>0.18873980324925199</v>
      </c>
      <c r="F12" s="24">
        <v>0.20487452518167601</v>
      </c>
      <c r="G12" s="24">
        <v>0.31434505133696</v>
      </c>
      <c r="H12" s="24">
        <v>0.20002151332534601</v>
      </c>
      <c r="I12" s="24">
        <v>0.50831334547978402</v>
      </c>
      <c r="J12" s="24">
        <v>0.47661518917871798</v>
      </c>
      <c r="K12" s="24">
        <v>0.49408999501225698</v>
      </c>
      <c r="L12" s="24">
        <v>1</v>
      </c>
      <c r="M12" s="24">
        <v>0.66137608890817601</v>
      </c>
      <c r="N12" s="24">
        <v>0.72575348203970302</v>
      </c>
      <c r="P12" s="27"/>
    </row>
    <row r="13" spans="1:16">
      <c r="B13" s="27" t="s">
        <v>25</v>
      </c>
      <c r="C13" s="24">
        <v>2.0512521484083699E-2</v>
      </c>
      <c r="D13" s="24">
        <v>0.271474152847346</v>
      </c>
      <c r="E13" s="24">
        <v>0.26146882734388199</v>
      </c>
      <c r="F13" s="24">
        <v>0.29367808223111003</v>
      </c>
      <c r="G13" s="24">
        <v>0.46354654269886603</v>
      </c>
      <c r="H13" s="24">
        <v>0.31605986905461397</v>
      </c>
      <c r="I13" s="24">
        <v>0.48109262126818397</v>
      </c>
      <c r="J13" s="24">
        <v>0.60573119067156</v>
      </c>
      <c r="K13" s="24">
        <v>0.57417549887744102</v>
      </c>
      <c r="L13" s="24">
        <v>0.66137608890817601</v>
      </c>
      <c r="M13" s="24">
        <v>1</v>
      </c>
      <c r="N13" s="24">
        <v>0.754532528778454</v>
      </c>
      <c r="P13" s="27"/>
    </row>
    <row r="14" spans="1:16">
      <c r="B14" s="27" t="s">
        <v>24</v>
      </c>
      <c r="C14" s="24">
        <v>-8.2543042362767504E-3</v>
      </c>
      <c r="D14" s="24">
        <v>0.16009209622691001</v>
      </c>
      <c r="E14" s="24">
        <v>0.19602730091860601</v>
      </c>
      <c r="F14" s="24">
        <v>0.21824337835325999</v>
      </c>
      <c r="G14" s="24">
        <v>0.48120801508920502</v>
      </c>
      <c r="H14" s="24">
        <v>0.18399241066616701</v>
      </c>
      <c r="I14" s="24">
        <v>0.49640785346847199</v>
      </c>
      <c r="J14" s="24">
        <v>0.81700971606061001</v>
      </c>
      <c r="K14" s="24">
        <v>0.745230266767964</v>
      </c>
      <c r="L14" s="24">
        <v>0.72575348203970302</v>
      </c>
      <c r="M14" s="24">
        <v>0.754532528778454</v>
      </c>
      <c r="N14" s="24">
        <v>1</v>
      </c>
      <c r="P14" s="27"/>
    </row>
    <row r="15" spans="1:16" s="27" customFormat="1">
      <c r="A15" s="28"/>
      <c r="O15" s="31"/>
      <c r="P15" s="22" t="s">
        <v>6</v>
      </c>
    </row>
    <row r="16" spans="1:16">
      <c r="C16" s="27">
        <f>SUM(C3:C14) -1</f>
        <v>0.28123242761356892</v>
      </c>
      <c r="D16" s="27">
        <f t="shared" ref="D16:N16" si="0">SUM(D3:D14) -1</f>
        <v>2.3330778070283174</v>
      </c>
      <c r="E16" s="27">
        <f t="shared" si="0"/>
        <v>2.5816683934862823</v>
      </c>
      <c r="F16" s="27">
        <f t="shared" si="0"/>
        <v>2.8132421991059307</v>
      </c>
      <c r="G16" s="27">
        <f t="shared" si="0"/>
        <v>2.9085133436028925</v>
      </c>
      <c r="H16" s="27">
        <f t="shared" si="0"/>
        <v>3.0535933599910789</v>
      </c>
      <c r="I16" s="27">
        <f t="shared" si="0"/>
        <v>3.3414302667575431</v>
      </c>
      <c r="J16" s="27">
        <f t="shared" si="0"/>
        <v>3.8114849376769229</v>
      </c>
      <c r="K16" s="27">
        <f t="shared" si="0"/>
        <v>3.9399351316609597</v>
      </c>
      <c r="L16" s="27">
        <f t="shared" si="0"/>
        <v>3.9995841146609923</v>
      </c>
      <c r="M16" s="27">
        <f t="shared" si="0"/>
        <v>4.7036479241637172</v>
      </c>
      <c r="N16" s="27">
        <f t="shared" si="0"/>
        <v>4.7702427441330748</v>
      </c>
      <c r="P16" s="22">
        <f>SUM(C16:N16)/(POWER(COUNTA(B3:B14),2) - COUNTA(B3:B14))</f>
        <v>0.29195191401425213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EB24-2681-47A3-B629-E52E99710556}">
  <dimension ref="A1:M21"/>
  <sheetViews>
    <sheetView workbookViewId="0">
      <selection activeCell="M3" sqref="M3"/>
    </sheetView>
  </sheetViews>
  <sheetFormatPr defaultRowHeight="15"/>
  <cols>
    <col min="2" max="2" width="24.140625" customWidth="1"/>
    <col min="3" max="3" width="26.7109375" bestFit="1" customWidth="1"/>
    <col min="4" max="5" width="20.5703125" style="63" customWidth="1"/>
    <col min="6" max="6" width="23.7109375" bestFit="1" customWidth="1"/>
    <col min="7" max="7" width="16" style="28" customWidth="1"/>
    <col min="10" max="10" width="21.5703125" bestFit="1" customWidth="1"/>
    <col min="11" max="11" width="15.28515625" customWidth="1"/>
    <col min="12" max="12" width="15.28515625" style="63" customWidth="1"/>
    <col min="13" max="13" width="11" bestFit="1" customWidth="1"/>
  </cols>
  <sheetData>
    <row r="1" spans="1:13" s="31" customFormat="1">
      <c r="A1" s="5" t="s">
        <v>8</v>
      </c>
      <c r="B1" s="6">
        <v>40179</v>
      </c>
      <c r="D1" s="63" t="s">
        <v>86</v>
      </c>
      <c r="E1" s="63">
        <v>6</v>
      </c>
      <c r="I1" s="5" t="s">
        <v>8</v>
      </c>
      <c r="J1" s="6">
        <v>40179</v>
      </c>
      <c r="L1" s="63" t="s">
        <v>86</v>
      </c>
      <c r="M1" s="31">
        <v>5</v>
      </c>
    </row>
    <row r="2" spans="1:13">
      <c r="B2" s="28" t="s">
        <v>28</v>
      </c>
      <c r="C2" s="30" t="s">
        <v>81</v>
      </c>
      <c r="D2" s="30" t="s">
        <v>76</v>
      </c>
      <c r="E2" s="30" t="s">
        <v>78</v>
      </c>
      <c r="F2" s="24" t="s">
        <v>80</v>
      </c>
      <c r="J2" s="28" t="s">
        <v>77</v>
      </c>
      <c r="K2" s="30" t="s">
        <v>82</v>
      </c>
      <c r="L2" s="30" t="s">
        <v>79</v>
      </c>
      <c r="M2" s="24" t="s">
        <v>83</v>
      </c>
    </row>
    <row r="3" spans="1:13">
      <c r="A3" s="28" t="s">
        <v>2</v>
      </c>
      <c r="B3" s="32">
        <v>-1.7073144935628201E-3</v>
      </c>
      <c r="C3" s="70">
        <f>B3*MyPortfolio!$B$1</f>
        <v>-0.10756081309445767</v>
      </c>
      <c r="D3" s="23">
        <f>EXP(C3+0.5*POWER(VLOOKUP($A3,$I$3:$K$14,3,FALSE),2))-1</f>
        <v>-9.1207869287451504E-2</v>
      </c>
      <c r="E3" s="23">
        <f>EXP(C3-POWER(VLOOKUP($A3,$I$3:$K$14,3,FALSE),2))-1</f>
        <v>-0.12313712804294497</v>
      </c>
      <c r="F3" s="46">
        <f>EXP(C3)-1</f>
        <v>-0.1019780907009733</v>
      </c>
      <c r="G3" s="2"/>
      <c r="I3" s="28" t="s">
        <v>18</v>
      </c>
      <c r="J3" s="28">
        <v>1.0774020686448401E-4</v>
      </c>
      <c r="K3" s="30">
        <f>SQRT(J3*MyPortfolio!$B$1)</f>
        <v>8.2387092632659961E-2</v>
      </c>
      <c r="L3" s="23">
        <f>SQRT(EXP(2*VLOOKUP($I3,$A$3:$C$14,3,FALSE)+POWER(K3,2))*(EXP(POWER(K3,2))-1))</f>
        <v>9.5435848432836243E-2</v>
      </c>
      <c r="M3" s="46">
        <f>EXP(K3)-1</f>
        <v>8.5876063109838752E-2</v>
      </c>
    </row>
    <row r="4" spans="1:13">
      <c r="A4" s="28" t="s">
        <v>25</v>
      </c>
      <c r="B4" s="28">
        <v>-6.5155849849780705E-4</v>
      </c>
      <c r="C4" s="70">
        <f>B4*MyPortfolio!$B$1</f>
        <v>-4.1048185405361842E-2</v>
      </c>
      <c r="D4" s="23">
        <f t="shared" ref="D4:D14" si="0">EXP(C4+0.5*POWER(VLOOKUP($A4,$I$3:$K$14,3,FALSE),2))-1</f>
        <v>-3.154211611420632E-2</v>
      </c>
      <c r="E4" s="23">
        <f t="shared" ref="E4:E14" si="1">EXP(C4-POWER(VLOOKUP($A4,$I$3:$K$14,3,FALSE),2))-1</f>
        <v>-5.7334699802742417E-2</v>
      </c>
      <c r="F4" s="46">
        <f t="shared" ref="F4:F14" si="2">EXP(C4)-1</f>
        <v>-4.0217118693641973E-2</v>
      </c>
      <c r="G4" s="2"/>
      <c r="I4" s="28" t="s">
        <v>17</v>
      </c>
      <c r="J4" s="28">
        <v>2.48362864626651E-4</v>
      </c>
      <c r="K4" s="30">
        <f>SQRT(J4*MyPortfolio!$B$1)</f>
        <v>0.12508741132295853</v>
      </c>
      <c r="L4" s="23">
        <f t="shared" ref="L4:L14" si="3">SQRT(EXP(2*VLOOKUP($I4,$A$3:$C$14,3,FALSE)+POWER(K4,2))*(EXP(POWER(K4,2))-1))</f>
        <v>0.12581671834617811</v>
      </c>
      <c r="M4" s="46">
        <f t="shared" ref="M4:M14" si="4">EXP(K4)-1</f>
        <v>0.13324750740138946</v>
      </c>
    </row>
    <row r="5" spans="1:13">
      <c r="A5" s="28" t="s">
        <v>18</v>
      </c>
      <c r="B5" s="28">
        <v>2.25291763749278E-3</v>
      </c>
      <c r="C5" s="70">
        <f>B5*MyPortfolio!$B$1</f>
        <v>0.14193381116204515</v>
      </c>
      <c r="D5" s="23">
        <f t="shared" si="0"/>
        <v>0.15641838287978405</v>
      </c>
      <c r="E5" s="23">
        <f t="shared" si="1"/>
        <v>0.14470410282654256</v>
      </c>
      <c r="F5" s="46">
        <f t="shared" si="2"/>
        <v>0.15250036335262607</v>
      </c>
      <c r="G5" s="2"/>
      <c r="I5" s="28" t="s">
        <v>21</v>
      </c>
      <c r="J5" s="28">
        <v>1.6207083944590799E-4</v>
      </c>
      <c r="K5" s="30">
        <f>SQRT(J5*MyPortfolio!$B$1)</f>
        <v>0.10104683510675733</v>
      </c>
      <c r="L5" s="23">
        <f t="shared" si="3"/>
        <v>0.11847088162820428</v>
      </c>
      <c r="M5" s="46">
        <f t="shared" si="4"/>
        <v>0.10632845556138659</v>
      </c>
    </row>
    <row r="6" spans="1:13">
      <c r="A6" s="28" t="s">
        <v>16</v>
      </c>
      <c r="B6" s="28">
        <v>-6.1995054629184702E-4</v>
      </c>
      <c r="C6" s="70">
        <f>B6*MyPortfolio!$B$1</f>
        <v>-3.9056884416386363E-2</v>
      </c>
      <c r="D6" s="23">
        <f t="shared" si="0"/>
        <v>0.2423648175433053</v>
      </c>
      <c r="E6" s="23">
        <f t="shared" si="1"/>
        <v>-0.42374442026025794</v>
      </c>
      <c r="F6" s="46">
        <f t="shared" si="2"/>
        <v>-3.8303997925427602E-2</v>
      </c>
      <c r="G6" s="2"/>
      <c r="I6" s="28" t="s">
        <v>25</v>
      </c>
      <c r="J6" s="28">
        <v>2.8564769536592498E-4</v>
      </c>
      <c r="K6" s="30">
        <f>SQRT(J6*MyPortfolio!$B$1)</f>
        <v>0.13414844318162353</v>
      </c>
      <c r="L6" s="23">
        <f t="shared" si="3"/>
        <v>0.13050380543824144</v>
      </c>
      <c r="M6" s="46">
        <f t="shared" si="4"/>
        <v>0.14356256111081045</v>
      </c>
    </row>
    <row r="7" spans="1:13">
      <c r="A7" s="28" t="s">
        <v>23</v>
      </c>
      <c r="B7" s="28">
        <v>3.4969623561309802E-4</v>
      </c>
      <c r="C7" s="70">
        <f>B7*MyPortfolio!$B$1</f>
        <v>2.2030862843625175E-2</v>
      </c>
      <c r="D7" s="23">
        <f t="shared" si="0"/>
        <v>2.6942284882968126E-2</v>
      </c>
      <c r="E7" s="23">
        <f t="shared" si="1"/>
        <v>1.3004963797150326E-2</v>
      </c>
      <c r="F7" s="46">
        <f t="shared" si="2"/>
        <v>2.2275334307361394E-2</v>
      </c>
      <c r="G7" s="2"/>
      <c r="I7" s="28" t="s">
        <v>26</v>
      </c>
      <c r="J7" s="28">
        <v>1.4779642758330999E-4</v>
      </c>
      <c r="K7" s="30">
        <f>SQRT(J7*MyPortfolio!$B$1)</f>
        <v>9.6494429568491316E-2</v>
      </c>
      <c r="L7" s="23">
        <f t="shared" si="3"/>
        <v>0.10807626900703007</v>
      </c>
      <c r="M7" s="46">
        <f t="shared" si="4"/>
        <v>0.10130344639128919</v>
      </c>
    </row>
    <row r="8" spans="1:13">
      <c r="A8" s="28" t="s">
        <v>24</v>
      </c>
      <c r="B8" s="28">
        <v>1.26225403528745E-3</v>
      </c>
      <c r="C8" s="70">
        <f>B8*MyPortfolio!$B$1</f>
        <v>7.9522004223109358E-2</v>
      </c>
      <c r="D8" s="23">
        <f t="shared" si="0"/>
        <v>8.6797521059103655E-2</v>
      </c>
      <c r="E8" s="23">
        <f t="shared" si="1"/>
        <v>7.4757846830337371E-2</v>
      </c>
      <c r="F8" s="46">
        <f t="shared" si="2"/>
        <v>8.2769384766428367E-2</v>
      </c>
      <c r="G8" s="2"/>
      <c r="I8" s="28" t="s">
        <v>19</v>
      </c>
      <c r="J8" s="28">
        <v>6.3977845110191897E-4</v>
      </c>
      <c r="K8" s="30">
        <f>SQRT(J8*MyPortfolio!$B$1)</f>
        <v>0.20076364815230097</v>
      </c>
      <c r="L8" s="23">
        <f t="shared" si="3"/>
        <v>0.19575909913044337</v>
      </c>
      <c r="M8" s="46">
        <f t="shared" si="4"/>
        <v>0.22233583634602616</v>
      </c>
    </row>
    <row r="9" spans="1:13">
      <c r="A9" s="28" t="s">
        <v>17</v>
      </c>
      <c r="B9" s="28">
        <v>-9.4076153564245601E-5</v>
      </c>
      <c r="C9" s="70">
        <f>B9*MyPortfolio!$B$1</f>
        <v>-5.9267976745474727E-3</v>
      </c>
      <c r="D9" s="23">
        <f t="shared" si="0"/>
        <v>1.8984323063666597E-3</v>
      </c>
      <c r="E9" s="23">
        <f t="shared" si="1"/>
        <v>-2.1342611274630108E-2</v>
      </c>
      <c r="F9" s="46">
        <f t="shared" si="2"/>
        <v>-5.9092688562267792E-3</v>
      </c>
      <c r="G9" s="2"/>
      <c r="I9" s="28" t="s">
        <v>20</v>
      </c>
      <c r="J9" s="28">
        <v>2.16775031621354E-4</v>
      </c>
      <c r="K9" s="30">
        <f>SQRT(J9*MyPortfolio!$B$1)</f>
        <v>0.11686242763243156</v>
      </c>
      <c r="L9" s="23">
        <f t="shared" si="3"/>
        <v>0.1265076536422631</v>
      </c>
      <c r="M9" s="46">
        <f t="shared" si="4"/>
        <v>0.12396479255630677</v>
      </c>
    </row>
    <row r="10" spans="1:13">
      <c r="A10" s="28" t="s">
        <v>20</v>
      </c>
      <c r="B10" s="28">
        <v>1.0961729021322099E-3</v>
      </c>
      <c r="C10" s="70">
        <f>B10*MyPortfolio!$B$1</f>
        <v>6.9058892834329227E-2</v>
      </c>
      <c r="D10" s="23">
        <f t="shared" si="0"/>
        <v>7.8840988756524233E-2</v>
      </c>
      <c r="E10" s="23">
        <f t="shared" si="1"/>
        <v>5.6965498977543882E-2</v>
      </c>
      <c r="F10" s="46">
        <f t="shared" si="2"/>
        <v>7.1499310921608883E-2</v>
      </c>
      <c r="G10" s="2"/>
      <c r="I10" s="28" t="s">
        <v>16</v>
      </c>
      <c r="J10" s="28">
        <v>8.1293193247020893E-3</v>
      </c>
      <c r="K10" s="30">
        <f>SQRT(J10*MyPortfolio!$B$1)</f>
        <v>0.71564454686403611</v>
      </c>
      <c r="L10" s="23">
        <f t="shared" si="3"/>
        <v>1.0160619818471834</v>
      </c>
      <c r="M10" s="46">
        <f t="shared" si="4"/>
        <v>1.0455046810844868</v>
      </c>
    </row>
    <row r="11" spans="1:13">
      <c r="A11" s="28" t="s">
        <v>19</v>
      </c>
      <c r="B11" s="28">
        <v>-8.8106183851979802E-4</v>
      </c>
      <c r="C11" s="70">
        <f>B11*MyPortfolio!$B$1</f>
        <v>-5.5506895826747275E-2</v>
      </c>
      <c r="D11" s="23">
        <f t="shared" si="0"/>
        <v>-3.4736226536398629E-2</v>
      </c>
      <c r="E11" s="23">
        <f t="shared" si="1"/>
        <v>-9.1366029163632123E-2</v>
      </c>
      <c r="F11" s="46">
        <f t="shared" si="2"/>
        <v>-5.3994499842088928E-2</v>
      </c>
      <c r="G11" s="2"/>
      <c r="I11" s="28" t="s">
        <v>2</v>
      </c>
      <c r="J11" s="28">
        <v>3.7847374776653098E-4</v>
      </c>
      <c r="K11" s="30">
        <f>SQRT(J11*MyPortfolio!$B$1)</f>
        <v>0.15441452687260823</v>
      </c>
      <c r="L11" s="23">
        <f t="shared" si="3"/>
        <v>0.14117138305163013</v>
      </c>
      <c r="M11" s="46">
        <f t="shared" si="4"/>
        <v>0.16697452883205033</v>
      </c>
    </row>
    <row r="12" spans="1:13">
      <c r="A12" s="28" t="s">
        <v>21</v>
      </c>
      <c r="B12" s="32">
        <v>2.4035406876987899E-3</v>
      </c>
      <c r="C12" s="70">
        <f>B12*MyPortfolio!$B$1</f>
        <v>0.15142306332502375</v>
      </c>
      <c r="D12" s="23">
        <f t="shared" si="0"/>
        <v>0.1694438509928724</v>
      </c>
      <c r="E12" s="23">
        <f t="shared" si="1"/>
        <v>0.15166946739488885</v>
      </c>
      <c r="F12" s="46">
        <f t="shared" si="2"/>
        <v>0.1634887834077281</v>
      </c>
      <c r="G12" s="2"/>
      <c r="I12" s="28" t="s">
        <v>23</v>
      </c>
      <c r="J12" s="28">
        <v>1.44599007828265E-4</v>
      </c>
      <c r="K12" s="30">
        <f>SQRT(J12*MyPortfolio!$B$1)</f>
        <v>9.5444944827794281E-2</v>
      </c>
      <c r="L12" s="23">
        <f t="shared" si="3"/>
        <v>9.8240099985409779E-2</v>
      </c>
      <c r="M12" s="46">
        <f t="shared" si="4"/>
        <v>0.1001482515151515</v>
      </c>
    </row>
    <row r="13" spans="1:13">
      <c r="A13" s="28" t="s">
        <v>26</v>
      </c>
      <c r="B13" s="28">
        <v>1.6883603648553301E-3</v>
      </c>
      <c r="C13" s="70">
        <f>B13*MyPortfolio!$B$1</f>
        <v>0.1063667029858858</v>
      </c>
      <c r="D13" s="23">
        <f t="shared" si="0"/>
        <v>0.11741981437267746</v>
      </c>
      <c r="E13" s="23">
        <f t="shared" si="1"/>
        <v>0.10192155947562731</v>
      </c>
      <c r="F13" s="46">
        <f t="shared" si="2"/>
        <v>0.11222965967150134</v>
      </c>
      <c r="G13" s="2"/>
      <c r="I13" s="28" t="s">
        <v>24</v>
      </c>
      <c r="J13" s="28">
        <v>1.1788296477024899E-4</v>
      </c>
      <c r="K13" s="30">
        <f>SQRT(J13*MyPortfolio!$B$1)</f>
        <v>8.6177878719110312E-2</v>
      </c>
      <c r="L13" s="23">
        <f t="shared" si="3"/>
        <v>9.3832064884239216E-2</v>
      </c>
      <c r="M13" s="46">
        <f t="shared" si="4"/>
        <v>9.0000198901101447E-2</v>
      </c>
    </row>
    <row r="14" spans="1:13">
      <c r="A14" s="28" t="s">
        <v>22</v>
      </c>
      <c r="B14" s="28">
        <v>-1.4002913202535499E-3</v>
      </c>
      <c r="C14" s="70">
        <f>B14*MyPortfolio!$B$1</f>
        <v>-8.8218353175973652E-2</v>
      </c>
      <c r="D14" s="23">
        <f t="shared" si="0"/>
        <v>-6.5508585732042879E-2</v>
      </c>
      <c r="E14" s="23">
        <f t="shared" si="1"/>
        <v>-0.12115732599169593</v>
      </c>
      <c r="F14" s="46">
        <f t="shared" si="2"/>
        <v>-8.4439060743254579E-2</v>
      </c>
      <c r="G14" s="2"/>
      <c r="I14" s="28" t="s">
        <v>22</v>
      </c>
      <c r="J14" s="28">
        <v>6.4969884231822405E-4</v>
      </c>
      <c r="K14" s="30">
        <f>SQRT(J14*MyPortfolio!$B$1)</f>
        <v>0.20231417910282046</v>
      </c>
      <c r="L14" s="23">
        <f t="shared" si="3"/>
        <v>0.19101207595485267</v>
      </c>
      <c r="M14" s="46">
        <f t="shared" si="4"/>
        <v>0.22423257598896718</v>
      </c>
    </row>
    <row r="16" spans="1:13">
      <c r="A16" s="31"/>
      <c r="B16" s="31"/>
      <c r="J16" s="22" t="s">
        <v>84</v>
      </c>
    </row>
    <row r="17" spans="9:10">
      <c r="J17" s="66">
        <f>AVERAGE(M3:M14)</f>
        <v>0.21195657489990047</v>
      </c>
    </row>
    <row r="18" spans="9:10">
      <c r="J18" s="5" t="s">
        <v>7</v>
      </c>
    </row>
    <row r="19" spans="9:10">
      <c r="J19" s="20">
        <f>J17*SQRT(correlation!$P$16)</f>
        <v>0.1145255948885639</v>
      </c>
    </row>
    <row r="21" spans="9:10">
      <c r="I21" t="s">
        <v>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E674-2676-4C42-9716-03462752E3D4}">
  <dimension ref="A1:D14"/>
  <sheetViews>
    <sheetView workbookViewId="0">
      <selection activeCell="A2" sqref="A2:XFD2"/>
    </sheetView>
  </sheetViews>
  <sheetFormatPr defaultRowHeight="15"/>
  <sheetData>
    <row r="1" spans="1:4" s="31" customFormat="1">
      <c r="A1" s="5" t="s">
        <v>8</v>
      </c>
      <c r="B1" s="6">
        <v>40179</v>
      </c>
    </row>
    <row r="2" spans="1:4">
      <c r="A2" s="27"/>
      <c r="B2" s="27" t="s">
        <v>24</v>
      </c>
      <c r="C2" s="27" t="s">
        <v>17</v>
      </c>
      <c r="D2" s="27" t="s">
        <v>23</v>
      </c>
    </row>
    <row r="3" spans="1:4">
      <c r="A3" s="27" t="s">
        <v>16</v>
      </c>
      <c r="B3" s="24">
        <v>8.8363619154022896E-2</v>
      </c>
      <c r="C3" s="24">
        <v>-0.151491364153789</v>
      </c>
      <c r="D3" s="24">
        <v>0.13358183339340399</v>
      </c>
    </row>
    <row r="4" spans="1:4">
      <c r="A4" s="27" t="s">
        <v>24</v>
      </c>
      <c r="B4" s="24">
        <v>1</v>
      </c>
      <c r="C4" s="24">
        <v>9.81486299491766E-2</v>
      </c>
      <c r="D4" s="24">
        <v>0.17409503885588601</v>
      </c>
    </row>
    <row r="5" spans="1:4">
      <c r="A5" s="27" t="s">
        <v>17</v>
      </c>
      <c r="B5" s="24">
        <v>0.15743642273504599</v>
      </c>
      <c r="C5" s="24">
        <v>1</v>
      </c>
      <c r="D5" s="24">
        <v>0.48734204708203599</v>
      </c>
    </row>
    <row r="6" spans="1:4">
      <c r="A6" s="27" t="s">
        <v>23</v>
      </c>
      <c r="B6" s="24">
        <v>0.211951644728336</v>
      </c>
      <c r="C6" s="24">
        <v>0.36988209384246601</v>
      </c>
      <c r="D6" s="24">
        <v>1</v>
      </c>
    </row>
    <row r="7" spans="1:4">
      <c r="A7" s="27" t="s">
        <v>25</v>
      </c>
      <c r="B7" s="24">
        <v>1.1032598491710599</v>
      </c>
      <c r="C7" s="24">
        <v>0.25907056004447199</v>
      </c>
      <c r="D7" s="24">
        <v>0.42765626494898001</v>
      </c>
    </row>
    <row r="8" spans="1:4">
      <c r="A8" s="27" t="s">
        <v>18</v>
      </c>
      <c r="B8" s="24">
        <v>0.45307655490166998</v>
      </c>
      <c r="C8" s="24">
        <v>8.1742052260978207E-2</v>
      </c>
      <c r="D8" s="24">
        <v>0.15913902386590301</v>
      </c>
    </row>
    <row r="9" spans="1:4">
      <c r="A9" s="27" t="s">
        <v>21</v>
      </c>
      <c r="B9" s="24">
        <v>0.95985998793451</v>
      </c>
      <c r="C9" s="24">
        <v>7.4880454613250602E-2</v>
      </c>
      <c r="D9" s="24">
        <v>0.10848484650859901</v>
      </c>
    </row>
    <row r="10" spans="1:4">
      <c r="A10" s="27" t="s">
        <v>26</v>
      </c>
      <c r="B10" s="24">
        <v>0.524043493240686</v>
      </c>
      <c r="C10" s="24">
        <v>6.9683598711698796E-2</v>
      </c>
      <c r="D10" s="24">
        <v>9.0560101553886593E-2</v>
      </c>
    </row>
    <row r="11" spans="1:4">
      <c r="A11" s="27" t="s">
        <v>22</v>
      </c>
      <c r="B11" s="24">
        <v>1.1676715478264199</v>
      </c>
      <c r="C11" s="24">
        <v>0.30654108719175799</v>
      </c>
      <c r="D11" s="24">
        <v>0.51567664526228796</v>
      </c>
    </row>
    <row r="12" spans="1:4">
      <c r="A12" s="27" t="s">
        <v>2</v>
      </c>
      <c r="B12" s="24">
        <v>0.77046775743178997</v>
      </c>
      <c r="C12" s="24">
        <v>0.15876100440722901</v>
      </c>
      <c r="D12" s="24">
        <v>0.18695250035945399</v>
      </c>
    </row>
    <row r="13" spans="1:4">
      <c r="A13" s="27" t="s">
        <v>20</v>
      </c>
      <c r="B13" s="24">
        <v>0.27083084484242498</v>
      </c>
      <c r="C13" s="24">
        <v>0.24531328073466099</v>
      </c>
      <c r="D13" s="24">
        <v>0.82233353607652304</v>
      </c>
    </row>
    <row r="14" spans="1:4">
      <c r="A14" s="27" t="s">
        <v>19</v>
      </c>
      <c r="B14" s="24">
        <v>0.107490055967637</v>
      </c>
      <c r="C14" s="24">
        <v>7.8730227643679707E-2</v>
      </c>
      <c r="D14" s="24">
        <v>0.15387059728765001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D10-C373-4AD6-9DE4-692C5C1C7AC1}">
  <dimension ref="A1:B13"/>
  <sheetViews>
    <sheetView workbookViewId="0">
      <selection activeCell="F12" sqref="F12"/>
    </sheetView>
  </sheetViews>
  <sheetFormatPr defaultRowHeight="15"/>
  <cols>
    <col min="2" max="2" width="11.85546875" bestFit="1" customWidth="1"/>
  </cols>
  <sheetData>
    <row r="1" spans="1:2">
      <c r="A1" s="5" t="s">
        <v>8</v>
      </c>
      <c r="B1" s="6">
        <v>44197</v>
      </c>
    </row>
    <row r="2" spans="1:2">
      <c r="A2" s="28" t="s">
        <v>21</v>
      </c>
      <c r="B2" s="24">
        <v>0.37639471300157801</v>
      </c>
    </row>
    <row r="3" spans="1:2">
      <c r="A3" s="28" t="s">
        <v>25</v>
      </c>
      <c r="B3" s="24">
        <v>0</v>
      </c>
    </row>
    <row r="4" spans="1:2">
      <c r="A4" s="28" t="s">
        <v>2</v>
      </c>
      <c r="B4" s="24">
        <v>0</v>
      </c>
    </row>
    <row r="5" spans="1:2">
      <c r="A5" s="28" t="s">
        <v>22</v>
      </c>
      <c r="B5" s="24">
        <v>0</v>
      </c>
    </row>
    <row r="6" spans="1:2">
      <c r="A6" s="28" t="s">
        <v>18</v>
      </c>
      <c r="B6" s="24">
        <v>0.35648312666953402</v>
      </c>
    </row>
    <row r="7" spans="1:2">
      <c r="A7" s="28" t="s">
        <v>26</v>
      </c>
      <c r="B7" s="24">
        <v>0.17925537350522699</v>
      </c>
    </row>
    <row r="8" spans="1:2">
      <c r="A8" s="28" t="s">
        <v>19</v>
      </c>
      <c r="B8" s="24">
        <v>0</v>
      </c>
    </row>
    <row r="9" spans="1:2">
      <c r="A9" s="28" t="s">
        <v>20</v>
      </c>
      <c r="B9" s="24">
        <v>8.78667868240567E-2</v>
      </c>
    </row>
    <row r="10" spans="1:2">
      <c r="A10" s="28" t="s">
        <v>16</v>
      </c>
      <c r="B10" s="24">
        <v>0</v>
      </c>
    </row>
    <row r="11" spans="1:2">
      <c r="A11" s="28" t="s">
        <v>24</v>
      </c>
      <c r="B11" s="50">
        <v>1.22312709548329E-14</v>
      </c>
    </row>
    <row r="12" spans="1:2">
      <c r="A12" s="28" t="s">
        <v>23</v>
      </c>
      <c r="B12" s="50">
        <v>7.8797781017173003E-16</v>
      </c>
    </row>
    <row r="13" spans="1:2">
      <c r="A13" s="28" t="s">
        <v>17</v>
      </c>
      <c r="B13" s="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E577-2520-457B-BCD7-C795F4583EA0}">
  <dimension ref="B2:E153"/>
  <sheetViews>
    <sheetView workbookViewId="0">
      <selection activeCell="E8" sqref="E8"/>
    </sheetView>
  </sheetViews>
  <sheetFormatPr defaultColWidth="9.140625" defaultRowHeight="15"/>
  <cols>
    <col min="1" max="1" width="9.140625" style="4"/>
    <col min="2" max="2" width="20.7109375" style="4" customWidth="1"/>
    <col min="3" max="3" width="12.85546875" style="4" customWidth="1"/>
    <col min="4" max="4" width="14.28515625" style="4" customWidth="1"/>
    <col min="5" max="5" width="13.5703125" style="4" bestFit="1" customWidth="1"/>
    <col min="6" max="16384" width="9.140625" style="4"/>
  </cols>
  <sheetData>
    <row r="2" spans="2:5">
      <c r="C2" s="4" t="s">
        <v>11</v>
      </c>
      <c r="D2" s="4" t="s">
        <v>14</v>
      </c>
      <c r="E2" s="4" t="s">
        <v>15</v>
      </c>
    </row>
    <row r="3" spans="2:5">
      <c r="C3" s="4">
        <v>0</v>
      </c>
      <c r="D3" s="4">
        <f>C3/$B$17</f>
        <v>0</v>
      </c>
      <c r="E3" s="4" t="e">
        <f t="shared" ref="E3:E34" si="0">_xlfn.LOGNORM.DIST(D3,$B$6,$B$13,FALSE)</f>
        <v>#NUM!</v>
      </c>
    </row>
    <row r="4" spans="2:5">
      <c r="C4" s="4">
        <f>C3+1</f>
        <v>1</v>
      </c>
      <c r="D4" s="4">
        <f t="shared" ref="D4:D67" si="1">C4/$B$17</f>
        <v>3.3333333333333333E-2</v>
      </c>
      <c r="E4" s="4">
        <f>_xlfn.LOGNORM.DIST(D4,$B$6,$B$13,FALSE)</f>
        <v>0</v>
      </c>
    </row>
    <row r="5" spans="2:5">
      <c r="B5" s="4" t="s">
        <v>12</v>
      </c>
      <c r="C5" s="4">
        <f t="shared" ref="C5:C68" si="2">C4+1</f>
        <v>2</v>
      </c>
      <c r="D5" s="4">
        <f t="shared" si="1"/>
        <v>6.6666666666666666E-2</v>
      </c>
      <c r="E5" s="4">
        <f t="shared" si="0"/>
        <v>0</v>
      </c>
    </row>
    <row r="6" spans="2:5">
      <c r="B6" s="4">
        <f>MyPortfolio!AC30</f>
        <v>0.13094814906260968</v>
      </c>
      <c r="C6" s="4">
        <f t="shared" si="2"/>
        <v>3</v>
      </c>
      <c r="D6" s="4">
        <f t="shared" si="1"/>
        <v>0.1</v>
      </c>
      <c r="E6" s="4">
        <f t="shared" si="0"/>
        <v>1.0174239995258275E-305</v>
      </c>
    </row>
    <row r="7" spans="2:5">
      <c r="C7" s="4">
        <f t="shared" si="2"/>
        <v>4</v>
      </c>
      <c r="D7" s="4">
        <f t="shared" si="1"/>
        <v>0.13333333333333333</v>
      </c>
      <c r="E7" s="4">
        <f t="shared" si="0"/>
        <v>1.3436817805747035E-237</v>
      </c>
    </row>
    <row r="8" spans="2:5">
      <c r="C8" s="4">
        <f t="shared" si="2"/>
        <v>5</v>
      </c>
      <c r="D8" s="4">
        <f t="shared" si="1"/>
        <v>0.16666666666666666</v>
      </c>
      <c r="E8" s="4">
        <f t="shared" si="0"/>
        <v>1.1534230974091391E-190</v>
      </c>
    </row>
    <row r="9" spans="2:5">
      <c r="C9" s="4">
        <f t="shared" si="2"/>
        <v>6</v>
      </c>
      <c r="D9" s="4">
        <f t="shared" si="1"/>
        <v>0.2</v>
      </c>
      <c r="E9" s="4">
        <f t="shared" si="0"/>
        <v>3.8024452119730649E-156</v>
      </c>
    </row>
    <row r="10" spans="2:5">
      <c r="C10" s="4">
        <f t="shared" si="2"/>
        <v>7</v>
      </c>
      <c r="D10" s="4">
        <f t="shared" si="1"/>
        <v>0.23333333333333334</v>
      </c>
      <c r="E10" s="4">
        <f t="shared" si="0"/>
        <v>1.1961523859417888E-129</v>
      </c>
    </row>
    <row r="11" spans="2:5">
      <c r="C11" s="4">
        <f t="shared" si="2"/>
        <v>8</v>
      </c>
      <c r="D11" s="4">
        <f t="shared" si="1"/>
        <v>0.26666666666666666</v>
      </c>
      <c r="E11" s="4">
        <f t="shared" si="0"/>
        <v>1.0994225264971479E-108</v>
      </c>
    </row>
    <row r="12" spans="2:5">
      <c r="B12" s="4" t="s">
        <v>13</v>
      </c>
      <c r="C12" s="4">
        <f t="shared" si="2"/>
        <v>9</v>
      </c>
      <c r="D12" s="4">
        <f t="shared" si="1"/>
        <v>0.3</v>
      </c>
      <c r="E12" s="4">
        <f t="shared" si="0"/>
        <v>9.9717987670863153E-92</v>
      </c>
    </row>
    <row r="13" spans="2:5">
      <c r="B13" s="4">
        <f>MyPortfolio!AC22</f>
        <v>6.4743974442708366E-2</v>
      </c>
      <c r="C13" s="4">
        <f t="shared" si="2"/>
        <v>10</v>
      </c>
      <c r="D13" s="4">
        <f t="shared" si="1"/>
        <v>0.33333333333333331</v>
      </c>
      <c r="E13" s="4">
        <f t="shared" si="0"/>
        <v>8.9115686176393588E-78</v>
      </c>
    </row>
    <row r="14" spans="2:5">
      <c r="C14" s="4">
        <f t="shared" si="2"/>
        <v>11</v>
      </c>
      <c r="D14" s="4">
        <f t="shared" si="1"/>
        <v>0.36666666666666664</v>
      </c>
      <c r="E14" s="4">
        <f t="shared" si="0"/>
        <v>3.7979434005874901E-66</v>
      </c>
    </row>
    <row r="15" spans="2:5">
      <c r="C15" s="4">
        <f t="shared" si="2"/>
        <v>12</v>
      </c>
      <c r="D15" s="4">
        <f t="shared" si="1"/>
        <v>0.4</v>
      </c>
      <c r="E15" s="4">
        <f t="shared" si="0"/>
        <v>2.3698977915929004E-56</v>
      </c>
    </row>
    <row r="16" spans="2:5">
      <c r="B16" s="4" t="s">
        <v>10</v>
      </c>
      <c r="C16" s="4">
        <f t="shared" si="2"/>
        <v>13</v>
      </c>
      <c r="D16" s="4">
        <f t="shared" si="1"/>
        <v>0.43333333333333335</v>
      </c>
      <c r="E16" s="4">
        <f t="shared" si="0"/>
        <v>4.9287849033471091E-48</v>
      </c>
    </row>
    <row r="17" spans="2:5">
      <c r="B17" s="4">
        <v>30</v>
      </c>
      <c r="C17" s="4">
        <f t="shared" si="2"/>
        <v>14</v>
      </c>
      <c r="D17" s="4">
        <f t="shared" si="1"/>
        <v>0.46666666666666667</v>
      </c>
      <c r="E17" s="4">
        <f t="shared" si="0"/>
        <v>6.342006918793065E-41</v>
      </c>
    </row>
    <row r="18" spans="2:5">
      <c r="C18" s="4">
        <f t="shared" si="2"/>
        <v>15</v>
      </c>
      <c r="D18" s="4">
        <f t="shared" si="1"/>
        <v>0.5</v>
      </c>
      <c r="E18" s="4">
        <f t="shared" si="0"/>
        <v>8.1199244506251874E-35</v>
      </c>
    </row>
    <row r="19" spans="2:5">
      <c r="C19" s="4">
        <f t="shared" si="2"/>
        <v>16</v>
      </c>
      <c r="D19" s="4">
        <f t="shared" si="1"/>
        <v>0.53333333333333333</v>
      </c>
      <c r="E19" s="4">
        <f t="shared" si="0"/>
        <v>1.5001631647368991E-29</v>
      </c>
    </row>
    <row r="20" spans="2:5">
      <c r="C20" s="4">
        <f t="shared" si="2"/>
        <v>17</v>
      </c>
      <c r="D20" s="4">
        <f t="shared" si="1"/>
        <v>0.56666666666666665</v>
      </c>
      <c r="E20" s="4">
        <f t="shared" si="0"/>
        <v>5.3734836321771806E-25</v>
      </c>
    </row>
    <row r="21" spans="2:5">
      <c r="C21" s="4">
        <f t="shared" si="2"/>
        <v>18</v>
      </c>
      <c r="D21" s="4">
        <f t="shared" si="1"/>
        <v>0.6</v>
      </c>
      <c r="E21" s="4">
        <f t="shared" si="0"/>
        <v>4.7341128388453342E-21</v>
      </c>
    </row>
    <row r="22" spans="2:5">
      <c r="C22" s="4">
        <f t="shared" si="2"/>
        <v>19</v>
      </c>
      <c r="D22" s="4">
        <f t="shared" si="1"/>
        <v>0.6333333333333333</v>
      </c>
      <c r="E22" s="4">
        <f t="shared" si="0"/>
        <v>1.2455062585678452E-17</v>
      </c>
    </row>
    <row r="23" spans="2:5">
      <c r="C23" s="4">
        <f t="shared" si="2"/>
        <v>20</v>
      </c>
      <c r="D23" s="4">
        <f t="shared" si="1"/>
        <v>0.66666666666666663</v>
      </c>
      <c r="E23" s="4">
        <f t="shared" si="0"/>
        <v>1.148220590532926E-14</v>
      </c>
    </row>
    <row r="24" spans="2:5">
      <c r="C24" s="4">
        <f t="shared" si="2"/>
        <v>21</v>
      </c>
      <c r="D24" s="4">
        <f t="shared" si="1"/>
        <v>0.7</v>
      </c>
      <c r="E24" s="4">
        <f t="shared" si="0"/>
        <v>4.2370964732218377E-12</v>
      </c>
    </row>
    <row r="25" spans="2:5">
      <c r="C25" s="4">
        <f t="shared" si="2"/>
        <v>22</v>
      </c>
      <c r="D25" s="4">
        <f t="shared" si="1"/>
        <v>0.73333333333333328</v>
      </c>
      <c r="E25" s="4">
        <f t="shared" si="0"/>
        <v>6.9981587074107739E-10</v>
      </c>
    </row>
    <row r="26" spans="2:5">
      <c r="C26" s="4">
        <f t="shared" si="2"/>
        <v>23</v>
      </c>
      <c r="D26" s="4">
        <f t="shared" si="1"/>
        <v>0.76666666666666672</v>
      </c>
      <c r="E26" s="4">
        <f t="shared" si="0"/>
        <v>5.6860121167828517E-8</v>
      </c>
    </row>
    <row r="27" spans="2:5">
      <c r="C27" s="4">
        <f t="shared" si="2"/>
        <v>24</v>
      </c>
      <c r="D27" s="4">
        <f t="shared" si="1"/>
        <v>0.8</v>
      </c>
      <c r="E27" s="4">
        <f t="shared" si="0"/>
        <v>2.4632127904854769E-6</v>
      </c>
    </row>
    <row r="28" spans="2:5">
      <c r="C28" s="4">
        <f t="shared" si="2"/>
        <v>25</v>
      </c>
      <c r="D28" s="4">
        <f t="shared" si="1"/>
        <v>0.83333333333333337</v>
      </c>
      <c r="E28" s="4">
        <f t="shared" si="0"/>
        <v>6.0960113870997774E-5</v>
      </c>
    </row>
    <row r="29" spans="2:5">
      <c r="C29" s="4">
        <f t="shared" si="2"/>
        <v>26</v>
      </c>
      <c r="D29" s="4">
        <f t="shared" si="1"/>
        <v>0.8666666666666667</v>
      </c>
      <c r="E29" s="4">
        <f t="shared" si="0"/>
        <v>9.1474375525136588E-4</v>
      </c>
    </row>
    <row r="30" spans="2:5">
      <c r="C30" s="4">
        <f t="shared" si="2"/>
        <v>27</v>
      </c>
      <c r="D30" s="4">
        <f t="shared" si="1"/>
        <v>0.9</v>
      </c>
      <c r="E30" s="4">
        <f t="shared" si="0"/>
        <v>8.7637826495369324E-3</v>
      </c>
    </row>
    <row r="31" spans="2:5">
      <c r="C31" s="4">
        <f t="shared" si="2"/>
        <v>28</v>
      </c>
      <c r="D31" s="4">
        <f t="shared" si="1"/>
        <v>0.93333333333333335</v>
      </c>
      <c r="E31" s="4">
        <f t="shared" si="0"/>
        <v>5.6075425250272093E-2</v>
      </c>
    </row>
    <row r="32" spans="2:5">
      <c r="C32" s="4">
        <f t="shared" si="2"/>
        <v>29</v>
      </c>
      <c r="D32" s="4">
        <f t="shared" si="1"/>
        <v>0.96666666666666667</v>
      </c>
      <c r="E32" s="4">
        <f t="shared" si="0"/>
        <v>0.24926611274175589</v>
      </c>
    </row>
    <row r="33" spans="3:5">
      <c r="C33" s="4">
        <f t="shared" si="2"/>
        <v>30</v>
      </c>
      <c r="D33" s="4">
        <f t="shared" si="1"/>
        <v>1</v>
      </c>
      <c r="E33" s="4">
        <f t="shared" si="0"/>
        <v>0.79693263533096581</v>
      </c>
    </row>
    <row r="34" spans="3:5">
      <c r="C34" s="4">
        <f t="shared" si="2"/>
        <v>31</v>
      </c>
      <c r="D34" s="4">
        <f t="shared" si="1"/>
        <v>1.0333333333333334</v>
      </c>
      <c r="E34" s="4">
        <f t="shared" si="0"/>
        <v>1.8894900816381839</v>
      </c>
    </row>
    <row r="35" spans="3:5">
      <c r="C35" s="4">
        <f t="shared" si="2"/>
        <v>32</v>
      </c>
      <c r="D35" s="4">
        <f t="shared" si="1"/>
        <v>1.0666666666666667</v>
      </c>
      <c r="E35" s="4">
        <f t="shared" ref="E35:E66" si="3">_xlfn.LOGNORM.DIST(D35,$B$6,$B$13,FALSE)</f>
        <v>3.4136424268280612</v>
      </c>
    </row>
    <row r="36" spans="3:5">
      <c r="C36" s="4">
        <f t="shared" si="2"/>
        <v>33</v>
      </c>
      <c r="D36" s="4">
        <f t="shared" si="1"/>
        <v>1.1000000000000001</v>
      </c>
      <c r="E36" s="4">
        <f t="shared" si="3"/>
        <v>4.8142068914375775</v>
      </c>
    </row>
    <row r="37" spans="3:5">
      <c r="C37" s="4">
        <f t="shared" si="2"/>
        <v>34</v>
      </c>
      <c r="D37" s="4">
        <f t="shared" si="1"/>
        <v>1.1333333333333333</v>
      </c>
      <c r="E37" s="4">
        <f t="shared" si="3"/>
        <v>5.4152609633307716</v>
      </c>
    </row>
    <row r="38" spans="3:5">
      <c r="C38" s="4">
        <f t="shared" si="2"/>
        <v>35</v>
      </c>
      <c r="D38" s="4">
        <f t="shared" si="1"/>
        <v>1.1666666666666667</v>
      </c>
      <c r="E38" s="4">
        <f t="shared" si="3"/>
        <v>4.9530800347482407</v>
      </c>
    </row>
    <row r="39" spans="3:5">
      <c r="C39" s="4">
        <f t="shared" si="2"/>
        <v>36</v>
      </c>
      <c r="D39" s="4">
        <f t="shared" si="1"/>
        <v>1.2</v>
      </c>
      <c r="E39" s="4">
        <f t="shared" si="3"/>
        <v>3.7480844565196803</v>
      </c>
    </row>
    <row r="40" spans="3:5">
      <c r="C40" s="4">
        <f t="shared" si="2"/>
        <v>37</v>
      </c>
      <c r="D40" s="4">
        <f t="shared" si="1"/>
        <v>1.2333333333333334</v>
      </c>
      <c r="E40" s="4">
        <f t="shared" si="3"/>
        <v>2.383348475744655</v>
      </c>
    </row>
    <row r="41" spans="3:5">
      <c r="C41" s="4">
        <f t="shared" si="2"/>
        <v>38</v>
      </c>
      <c r="D41" s="4">
        <f t="shared" si="1"/>
        <v>1.2666666666666666</v>
      </c>
      <c r="E41" s="4">
        <f t="shared" si="3"/>
        <v>1.2915638382518562</v>
      </c>
    </row>
    <row r="42" spans="3:5">
      <c r="C42" s="4">
        <f t="shared" si="2"/>
        <v>39</v>
      </c>
      <c r="D42" s="4">
        <f t="shared" si="1"/>
        <v>1.3</v>
      </c>
      <c r="E42" s="4">
        <f t="shared" si="3"/>
        <v>0.60411274652611291</v>
      </c>
    </row>
    <row r="43" spans="3:5">
      <c r="C43" s="4">
        <f t="shared" si="2"/>
        <v>40</v>
      </c>
      <c r="D43" s="4">
        <f t="shared" si="1"/>
        <v>1.3333333333333333</v>
      </c>
      <c r="E43" s="4">
        <f t="shared" si="3"/>
        <v>0.24671875763321155</v>
      </c>
    </row>
    <row r="44" spans="3:5">
      <c r="C44" s="4">
        <f t="shared" si="2"/>
        <v>41</v>
      </c>
      <c r="D44" s="4">
        <f t="shared" si="1"/>
        <v>1.3666666666666667</v>
      </c>
      <c r="E44" s="4">
        <f t="shared" si="3"/>
        <v>8.8903566949840418E-2</v>
      </c>
    </row>
    <row r="45" spans="3:5">
      <c r="C45" s="4">
        <f t="shared" si="2"/>
        <v>42</v>
      </c>
      <c r="D45" s="4">
        <f t="shared" si="1"/>
        <v>1.4</v>
      </c>
      <c r="E45" s="4">
        <f t="shared" si="3"/>
        <v>2.8537285825962017E-2</v>
      </c>
    </row>
    <row r="46" spans="3:5">
      <c r="C46" s="4">
        <f t="shared" si="2"/>
        <v>43</v>
      </c>
      <c r="D46" s="4">
        <f t="shared" si="1"/>
        <v>1.4333333333333333</v>
      </c>
      <c r="E46" s="4">
        <f t="shared" si="3"/>
        <v>8.2311937990404913E-3</v>
      </c>
    </row>
    <row r="47" spans="3:5">
      <c r="C47" s="4">
        <f t="shared" si="2"/>
        <v>44</v>
      </c>
      <c r="D47" s="4">
        <f t="shared" si="1"/>
        <v>1.4666666666666666</v>
      </c>
      <c r="E47" s="4">
        <f t="shared" si="3"/>
        <v>2.1504272271862432E-3</v>
      </c>
    </row>
    <row r="48" spans="3:5">
      <c r="C48" s="4">
        <f t="shared" si="2"/>
        <v>45</v>
      </c>
      <c r="D48" s="4">
        <f t="shared" si="1"/>
        <v>1.5</v>
      </c>
      <c r="E48" s="4">
        <f t="shared" si="3"/>
        <v>5.1258028400618261E-4</v>
      </c>
    </row>
    <row r="49" spans="3:5">
      <c r="C49" s="4">
        <f t="shared" si="2"/>
        <v>46</v>
      </c>
      <c r="D49" s="4">
        <f t="shared" si="1"/>
        <v>1.5333333333333334</v>
      </c>
      <c r="E49" s="4">
        <f t="shared" si="3"/>
        <v>1.1222137451601408E-4</v>
      </c>
    </row>
    <row r="50" spans="3:5">
      <c r="C50" s="4">
        <f t="shared" si="2"/>
        <v>47</v>
      </c>
      <c r="D50" s="4">
        <f t="shared" si="1"/>
        <v>1.5666666666666667</v>
      </c>
      <c r="E50" s="4">
        <f t="shared" si="3"/>
        <v>2.2705493662213433E-5</v>
      </c>
    </row>
    <row r="51" spans="3:5">
      <c r="C51" s="4">
        <f t="shared" si="2"/>
        <v>48</v>
      </c>
      <c r="D51" s="4">
        <f t="shared" si="1"/>
        <v>1.6</v>
      </c>
      <c r="E51" s="4">
        <f t="shared" si="3"/>
        <v>4.2695284267312697E-6</v>
      </c>
    </row>
    <row r="52" spans="3:5">
      <c r="C52" s="4">
        <f t="shared" si="2"/>
        <v>49</v>
      </c>
      <c r="D52" s="4">
        <f t="shared" si="1"/>
        <v>1.6333333333333333</v>
      </c>
      <c r="E52" s="4">
        <f t="shared" si="3"/>
        <v>7.5003494258801062E-7</v>
      </c>
    </row>
    <row r="53" spans="3:5">
      <c r="C53" s="4">
        <f t="shared" si="2"/>
        <v>50</v>
      </c>
      <c r="D53" s="4">
        <f t="shared" si="1"/>
        <v>1.6666666666666667</v>
      </c>
      <c r="E53" s="4">
        <f t="shared" si="3"/>
        <v>1.2368582130264635E-7</v>
      </c>
    </row>
    <row r="54" spans="3:5">
      <c r="C54" s="4">
        <f t="shared" si="2"/>
        <v>51</v>
      </c>
      <c r="D54" s="4">
        <f t="shared" si="1"/>
        <v>1.7</v>
      </c>
      <c r="E54" s="4">
        <f t="shared" si="3"/>
        <v>1.9231830928734819E-8</v>
      </c>
    </row>
    <row r="55" spans="3:5">
      <c r="C55" s="4">
        <f t="shared" si="2"/>
        <v>52</v>
      </c>
      <c r="D55" s="4">
        <f t="shared" si="1"/>
        <v>1.7333333333333334</v>
      </c>
      <c r="E55" s="4">
        <f t="shared" si="3"/>
        <v>2.8311618973077225E-9</v>
      </c>
    </row>
    <row r="56" spans="3:5">
      <c r="C56" s="4">
        <f t="shared" si="2"/>
        <v>53</v>
      </c>
      <c r="D56" s="4">
        <f t="shared" si="1"/>
        <v>1.7666666666666666</v>
      </c>
      <c r="E56" s="4">
        <f t="shared" si="3"/>
        <v>3.9609706646106205E-10</v>
      </c>
    </row>
    <row r="57" spans="3:5">
      <c r="C57" s="4">
        <f t="shared" si="2"/>
        <v>54</v>
      </c>
      <c r="D57" s="4">
        <f t="shared" si="1"/>
        <v>1.8</v>
      </c>
      <c r="E57" s="4">
        <f t="shared" si="3"/>
        <v>5.2851924951761008E-11</v>
      </c>
    </row>
    <row r="58" spans="3:5">
      <c r="C58" s="4">
        <f t="shared" si="2"/>
        <v>55</v>
      </c>
      <c r="D58" s="4">
        <f t="shared" si="1"/>
        <v>1.8333333333333333</v>
      </c>
      <c r="E58" s="4">
        <f t="shared" si="3"/>
        <v>6.7477954660066587E-12</v>
      </c>
    </row>
    <row r="59" spans="3:5">
      <c r="C59" s="4">
        <f t="shared" si="2"/>
        <v>56</v>
      </c>
      <c r="D59" s="4">
        <f t="shared" si="1"/>
        <v>1.8666666666666667</v>
      </c>
      <c r="E59" s="4">
        <f t="shared" si="3"/>
        <v>8.2684499843834995E-13</v>
      </c>
    </row>
    <row r="60" spans="3:5">
      <c r="C60" s="4">
        <f t="shared" si="2"/>
        <v>57</v>
      </c>
      <c r="D60" s="4">
        <f t="shared" si="1"/>
        <v>1.9</v>
      </c>
      <c r="E60" s="4">
        <f t="shared" si="3"/>
        <v>9.7515679700693543E-14</v>
      </c>
    </row>
    <row r="61" spans="3:5">
      <c r="C61" s="4">
        <f t="shared" si="2"/>
        <v>58</v>
      </c>
      <c r="D61" s="4">
        <f t="shared" si="1"/>
        <v>1.9333333333333333</v>
      </c>
      <c r="E61" s="4">
        <f t="shared" si="3"/>
        <v>1.1098274263538984E-14</v>
      </c>
    </row>
    <row r="62" spans="3:5">
      <c r="C62" s="4">
        <f t="shared" si="2"/>
        <v>59</v>
      </c>
      <c r="D62" s="4">
        <f t="shared" si="1"/>
        <v>1.9666666666666666</v>
      </c>
      <c r="E62" s="4">
        <f t="shared" si="3"/>
        <v>1.2218893130711761E-15</v>
      </c>
    </row>
    <row r="63" spans="3:5">
      <c r="C63" s="4">
        <f t="shared" si="2"/>
        <v>60</v>
      </c>
      <c r="D63" s="4">
        <f t="shared" si="1"/>
        <v>2</v>
      </c>
      <c r="E63" s="4">
        <f t="shared" si="3"/>
        <v>1.3043582796606678E-16</v>
      </c>
    </row>
    <row r="64" spans="3:5">
      <c r="C64" s="4">
        <f t="shared" si="2"/>
        <v>61</v>
      </c>
      <c r="D64" s="4">
        <f t="shared" si="1"/>
        <v>2.0333333333333332</v>
      </c>
      <c r="E64" s="4">
        <f t="shared" si="3"/>
        <v>1.3529377520601217E-17</v>
      </c>
    </row>
    <row r="65" spans="3:5">
      <c r="C65" s="4">
        <f t="shared" si="2"/>
        <v>62</v>
      </c>
      <c r="D65" s="4">
        <f t="shared" si="1"/>
        <v>2.0666666666666669</v>
      </c>
      <c r="E65" s="4">
        <f t="shared" si="3"/>
        <v>1.3662841558211558E-18</v>
      </c>
    </row>
    <row r="66" spans="3:5">
      <c r="C66" s="4">
        <f t="shared" si="2"/>
        <v>63</v>
      </c>
      <c r="D66" s="4">
        <f t="shared" si="1"/>
        <v>2.1</v>
      </c>
      <c r="E66" s="4">
        <f t="shared" si="3"/>
        <v>1.3458503082636672E-19</v>
      </c>
    </row>
    <row r="67" spans="3:5">
      <c r="C67" s="4">
        <f t="shared" si="2"/>
        <v>64</v>
      </c>
      <c r="D67" s="4">
        <f t="shared" si="1"/>
        <v>2.1333333333333333</v>
      </c>
      <c r="E67" s="4">
        <f t="shared" ref="E67" si="4">_xlfn.LOGNORM.DIST(D67,$B$6,$B$13,FALSE)</f>
        <v>1.2953979972708156E-20</v>
      </c>
    </row>
    <row r="68" spans="3:5">
      <c r="C68" s="4">
        <f t="shared" si="2"/>
        <v>65</v>
      </c>
      <c r="D68" s="4">
        <f t="shared" ref="D68:D131" si="5">C68/$B$17</f>
        <v>2.1666666666666665</v>
      </c>
      <c r="E68" s="4">
        <f t="shared" ref="E68:E131" si="6">_xlfn.LOGNORM.DIST(D68,$B$6,$B$13,FALSE)</f>
        <v>1.2203109898050088E-21</v>
      </c>
    </row>
    <row r="69" spans="3:5">
      <c r="C69" s="4">
        <f t="shared" ref="C69:C132" si="7">C68+1</f>
        <v>66</v>
      </c>
      <c r="D69" s="4">
        <f t="shared" si="5"/>
        <v>2.2000000000000002</v>
      </c>
      <c r="E69" s="4">
        <f t="shared" si="6"/>
        <v>1.1268449464827754E-22</v>
      </c>
    </row>
    <row r="70" spans="3:5">
      <c r="C70" s="4">
        <f t="shared" si="7"/>
        <v>67</v>
      </c>
      <c r="D70" s="4">
        <f t="shared" si="5"/>
        <v>2.2333333333333334</v>
      </c>
      <c r="E70" s="4">
        <f t="shared" si="6"/>
        <v>1.0214291778683262E-23</v>
      </c>
    </row>
    <row r="71" spans="3:5">
      <c r="C71" s="4">
        <f t="shared" si="7"/>
        <v>68</v>
      </c>
      <c r="D71" s="4">
        <f t="shared" si="5"/>
        <v>2.2666666666666666</v>
      </c>
      <c r="E71" s="4">
        <f t="shared" si="6"/>
        <v>9.1009874162737745E-25</v>
      </c>
    </row>
    <row r="72" spans="3:5">
      <c r="C72" s="4">
        <f t="shared" si="7"/>
        <v>69</v>
      </c>
      <c r="D72" s="4">
        <f t="shared" si="5"/>
        <v>2.2999999999999998</v>
      </c>
      <c r="E72" s="4">
        <f t="shared" si="6"/>
        <v>7.9809557781295242E-26</v>
      </c>
    </row>
    <row r="73" spans="3:5">
      <c r="C73" s="4">
        <f t="shared" si="7"/>
        <v>70</v>
      </c>
      <c r="D73" s="4">
        <f t="shared" si="5"/>
        <v>2.3333333333333335</v>
      </c>
      <c r="E73" s="4">
        <f t="shared" si="6"/>
        <v>6.8964276177082231E-27</v>
      </c>
    </row>
    <row r="74" spans="3:5">
      <c r="C74" s="4">
        <f t="shared" si="7"/>
        <v>71</v>
      </c>
      <c r="D74" s="4">
        <f t="shared" si="5"/>
        <v>2.3666666666666667</v>
      </c>
      <c r="E74" s="4">
        <f t="shared" si="6"/>
        <v>5.8787116152610857E-28</v>
      </c>
    </row>
    <row r="75" spans="3:5">
      <c r="C75" s="4">
        <f t="shared" si="7"/>
        <v>72</v>
      </c>
      <c r="D75" s="4">
        <f t="shared" si="5"/>
        <v>2.4</v>
      </c>
      <c r="E75" s="4">
        <f t="shared" si="6"/>
        <v>4.9486392478760913E-29</v>
      </c>
    </row>
    <row r="76" spans="3:5">
      <c r="C76" s="4">
        <f t="shared" si="7"/>
        <v>73</v>
      </c>
      <c r="D76" s="4">
        <f t="shared" si="5"/>
        <v>2.4333333333333331</v>
      </c>
      <c r="E76" s="4">
        <f t="shared" si="6"/>
        <v>4.117799245484102E-30</v>
      </c>
    </row>
    <row r="77" spans="3:5">
      <c r="C77" s="4">
        <f t="shared" si="7"/>
        <v>74</v>
      </c>
      <c r="D77" s="4">
        <f t="shared" si="5"/>
        <v>2.4666666666666668</v>
      </c>
      <c r="E77" s="4">
        <f t="shared" si="6"/>
        <v>3.3901993588180083E-31</v>
      </c>
    </row>
    <row r="78" spans="3:5">
      <c r="C78" s="4">
        <f t="shared" si="7"/>
        <v>75</v>
      </c>
      <c r="D78" s="4">
        <f t="shared" si="5"/>
        <v>2.5</v>
      </c>
      <c r="E78" s="4">
        <f t="shared" si="6"/>
        <v>2.7640601838798835E-32</v>
      </c>
    </row>
    <row r="79" spans="3:5">
      <c r="C79" s="4">
        <f t="shared" si="7"/>
        <v>76</v>
      </c>
      <c r="D79" s="4">
        <f t="shared" si="5"/>
        <v>2.5333333333333332</v>
      </c>
      <c r="E79" s="4">
        <f t="shared" si="6"/>
        <v>2.2335285254157333E-33</v>
      </c>
    </row>
    <row r="80" spans="3:5">
      <c r="C80" s="4">
        <f t="shared" si="7"/>
        <v>77</v>
      </c>
      <c r="D80" s="4">
        <f t="shared" si="5"/>
        <v>2.5666666666666669</v>
      </c>
      <c r="E80" s="4">
        <f t="shared" si="6"/>
        <v>1.7901783426969624E-34</v>
      </c>
    </row>
    <row r="81" spans="3:5">
      <c r="C81" s="4">
        <f t="shared" si="7"/>
        <v>78</v>
      </c>
      <c r="D81" s="4">
        <f t="shared" si="5"/>
        <v>2.6</v>
      </c>
      <c r="E81" s="4">
        <f t="shared" si="6"/>
        <v>1.4242351473377169E-35</v>
      </c>
    </row>
    <row r="82" spans="3:5">
      <c r="C82" s="4">
        <f t="shared" si="7"/>
        <v>79</v>
      </c>
      <c r="D82" s="4">
        <f t="shared" si="5"/>
        <v>2.6333333333333333</v>
      </c>
      <c r="E82" s="4">
        <f t="shared" si="6"/>
        <v>1.1255104064208784E-36</v>
      </c>
    </row>
    <row r="83" spans="3:5">
      <c r="C83" s="4">
        <f t="shared" si="7"/>
        <v>80</v>
      </c>
      <c r="D83" s="4">
        <f t="shared" si="5"/>
        <v>2.6666666666666665</v>
      </c>
      <c r="E83" s="4">
        <f t="shared" si="6"/>
        <v>8.8406596637922191E-38</v>
      </c>
    </row>
    <row r="84" spans="3:5">
      <c r="C84" s="4">
        <f t="shared" si="7"/>
        <v>81</v>
      </c>
      <c r="D84" s="4">
        <f t="shared" si="5"/>
        <v>2.7</v>
      </c>
      <c r="E84" s="4">
        <f t="shared" si="6"/>
        <v>6.9064719887536083E-39</v>
      </c>
    </row>
    <row r="85" spans="3:5">
      <c r="C85" s="4">
        <f t="shared" si="7"/>
        <v>82</v>
      </c>
      <c r="D85" s="4">
        <f t="shared" si="5"/>
        <v>2.7333333333333334</v>
      </c>
      <c r="E85" s="4">
        <f t="shared" si="6"/>
        <v>5.3693099392195527E-40</v>
      </c>
    </row>
    <row r="86" spans="3:5">
      <c r="C86" s="4">
        <f t="shared" si="7"/>
        <v>83</v>
      </c>
      <c r="D86" s="4">
        <f t="shared" si="5"/>
        <v>2.7666666666666666</v>
      </c>
      <c r="E86" s="4">
        <f t="shared" si="6"/>
        <v>4.1563447981477467E-41</v>
      </c>
    </row>
    <row r="87" spans="3:5">
      <c r="C87" s="4">
        <f t="shared" si="7"/>
        <v>84</v>
      </c>
      <c r="D87" s="4">
        <f t="shared" si="5"/>
        <v>2.8</v>
      </c>
      <c r="E87" s="4">
        <f t="shared" si="6"/>
        <v>3.2052554067843907E-42</v>
      </c>
    </row>
    <row r="88" spans="3:5">
      <c r="C88" s="4">
        <f t="shared" si="7"/>
        <v>85</v>
      </c>
      <c r="D88" s="4">
        <f t="shared" si="5"/>
        <v>2.8333333333333335</v>
      </c>
      <c r="E88" s="4">
        <f t="shared" si="6"/>
        <v>2.4636921767715511E-43</v>
      </c>
    </row>
    <row r="89" spans="3:5">
      <c r="C89" s="4">
        <f t="shared" si="7"/>
        <v>86</v>
      </c>
      <c r="D89" s="4">
        <f t="shared" si="5"/>
        <v>2.8666666666666667</v>
      </c>
      <c r="E89" s="4">
        <f t="shared" si="6"/>
        <v>1.8883656936274141E-44</v>
      </c>
    </row>
    <row r="90" spans="3:5">
      <c r="C90" s="4">
        <f t="shared" si="7"/>
        <v>87</v>
      </c>
      <c r="D90" s="4">
        <f t="shared" si="5"/>
        <v>2.9</v>
      </c>
      <c r="E90" s="4">
        <f t="shared" si="6"/>
        <v>1.4439554402707197E-45</v>
      </c>
    </row>
    <row r="91" spans="3:5">
      <c r="C91" s="4">
        <f t="shared" si="7"/>
        <v>88</v>
      </c>
      <c r="D91" s="4">
        <f t="shared" si="5"/>
        <v>2.9333333333333331</v>
      </c>
      <c r="E91" s="4">
        <f t="shared" si="6"/>
        <v>1.1019740727865443E-46</v>
      </c>
    </row>
    <row r="92" spans="3:5">
      <c r="C92" s="4">
        <f t="shared" si="7"/>
        <v>89</v>
      </c>
      <c r="D92" s="4">
        <f t="shared" si="5"/>
        <v>2.9666666666666668</v>
      </c>
      <c r="E92" s="4">
        <f t="shared" si="6"/>
        <v>8.3967456792115153E-48</v>
      </c>
    </row>
    <row r="93" spans="3:5">
      <c r="C93" s="4">
        <f t="shared" si="7"/>
        <v>90</v>
      </c>
      <c r="D93" s="4">
        <f t="shared" si="5"/>
        <v>3</v>
      </c>
      <c r="E93" s="4">
        <f t="shared" si="6"/>
        <v>6.3905116809002631E-49</v>
      </c>
    </row>
    <row r="94" spans="3:5">
      <c r="C94" s="4">
        <f t="shared" si="7"/>
        <v>91</v>
      </c>
      <c r="D94" s="4">
        <f t="shared" si="5"/>
        <v>3.0333333333333332</v>
      </c>
      <c r="E94" s="4">
        <f t="shared" si="6"/>
        <v>4.859589652196711E-50</v>
      </c>
    </row>
    <row r="95" spans="3:5">
      <c r="C95" s="4">
        <f t="shared" si="7"/>
        <v>92</v>
      </c>
      <c r="D95" s="4">
        <f t="shared" si="5"/>
        <v>3.0666666666666669</v>
      </c>
      <c r="E95" s="4">
        <f t="shared" si="6"/>
        <v>3.6935931009392108E-51</v>
      </c>
    </row>
    <row r="96" spans="3:5">
      <c r="C96" s="4">
        <f t="shared" si="7"/>
        <v>93</v>
      </c>
      <c r="D96" s="4">
        <f t="shared" si="5"/>
        <v>3.1</v>
      </c>
      <c r="E96" s="4">
        <f t="shared" si="6"/>
        <v>2.80687083707729E-52</v>
      </c>
    </row>
    <row r="97" spans="3:5">
      <c r="C97" s="4">
        <f t="shared" si="7"/>
        <v>94</v>
      </c>
      <c r="D97" s="4">
        <f t="shared" si="5"/>
        <v>3.1333333333333333</v>
      </c>
      <c r="E97" s="4">
        <f t="shared" si="6"/>
        <v>2.133294843328084E-53</v>
      </c>
    </row>
    <row r="98" spans="3:5">
      <c r="C98" s="4">
        <f t="shared" si="7"/>
        <v>95</v>
      </c>
      <c r="D98" s="4">
        <f t="shared" si="5"/>
        <v>3.1666666666666665</v>
      </c>
      <c r="E98" s="4">
        <f t="shared" si="6"/>
        <v>1.6220292318962217E-54</v>
      </c>
    </row>
    <row r="99" spans="3:5">
      <c r="C99" s="4">
        <f t="shared" si="7"/>
        <v>96</v>
      </c>
      <c r="D99" s="4">
        <f t="shared" si="5"/>
        <v>3.2</v>
      </c>
      <c r="E99" s="4">
        <f t="shared" si="6"/>
        <v>1.2341375078482876E-55</v>
      </c>
    </row>
    <row r="100" spans="3:5">
      <c r="C100" s="4">
        <f t="shared" si="7"/>
        <v>97</v>
      </c>
      <c r="D100" s="4">
        <f t="shared" si="5"/>
        <v>3.2333333333333334</v>
      </c>
      <c r="E100" s="4">
        <f t="shared" si="6"/>
        <v>9.3989012396314266E-57</v>
      </c>
    </row>
    <row r="101" spans="3:5">
      <c r="C101" s="4">
        <f t="shared" si="7"/>
        <v>98</v>
      </c>
      <c r="D101" s="4">
        <f t="shared" si="5"/>
        <v>3.2666666666666666</v>
      </c>
      <c r="E101" s="4">
        <f t="shared" si="6"/>
        <v>7.16646563417418E-58</v>
      </c>
    </row>
    <row r="102" spans="3:5">
      <c r="C102" s="4">
        <f t="shared" si="7"/>
        <v>99</v>
      </c>
      <c r="D102" s="4">
        <f t="shared" si="5"/>
        <v>3.3</v>
      </c>
      <c r="E102" s="4">
        <f t="shared" si="6"/>
        <v>5.4720187454243594E-59</v>
      </c>
    </row>
    <row r="103" spans="3:5">
      <c r="C103" s="4">
        <f t="shared" si="7"/>
        <v>100</v>
      </c>
      <c r="D103" s="4">
        <f t="shared" si="5"/>
        <v>3.3333333333333335</v>
      </c>
      <c r="E103" s="4">
        <f t="shared" si="6"/>
        <v>4.185041110948884E-60</v>
      </c>
    </row>
    <row r="104" spans="3:5">
      <c r="C104" s="4">
        <f t="shared" si="7"/>
        <v>101</v>
      </c>
      <c r="D104" s="4">
        <f t="shared" si="5"/>
        <v>3.3666666666666667</v>
      </c>
      <c r="E104" s="4">
        <f t="shared" si="6"/>
        <v>3.2066495477257336E-61</v>
      </c>
    </row>
    <row r="105" spans="3:5">
      <c r="C105" s="4">
        <f t="shared" si="7"/>
        <v>102</v>
      </c>
      <c r="D105" s="4">
        <f t="shared" si="5"/>
        <v>3.4</v>
      </c>
      <c r="E105" s="4">
        <f t="shared" si="6"/>
        <v>2.4620008830362847E-62</v>
      </c>
    </row>
    <row r="106" spans="3:5">
      <c r="C106" s="4">
        <f t="shared" si="7"/>
        <v>103</v>
      </c>
      <c r="D106" s="4">
        <f t="shared" si="5"/>
        <v>3.4333333333333331</v>
      </c>
      <c r="E106" s="4">
        <f t="shared" si="6"/>
        <v>1.8944829565381379E-63</v>
      </c>
    </row>
    <row r="107" spans="3:5">
      <c r="C107" s="4">
        <f t="shared" si="7"/>
        <v>104</v>
      </c>
      <c r="D107" s="4">
        <f t="shared" si="5"/>
        <v>3.4666666666666668</v>
      </c>
      <c r="E107" s="4">
        <f t="shared" si="6"/>
        <v>1.4612873338407193E-64</v>
      </c>
    </row>
    <row r="108" spans="3:5">
      <c r="C108" s="4">
        <f t="shared" si="7"/>
        <v>105</v>
      </c>
      <c r="D108" s="4">
        <f t="shared" si="5"/>
        <v>3.5</v>
      </c>
      <c r="E108" s="4">
        <f t="shared" si="6"/>
        <v>1.1300445576795242E-65</v>
      </c>
    </row>
    <row r="109" spans="3:5">
      <c r="C109" s="4">
        <f t="shared" si="7"/>
        <v>106</v>
      </c>
      <c r="D109" s="4">
        <f t="shared" si="5"/>
        <v>3.5333333333333332</v>
      </c>
      <c r="E109" s="4">
        <f t="shared" si="6"/>
        <v>8.7627283239258444E-67</v>
      </c>
    </row>
    <row r="110" spans="3:5">
      <c r="C110" s="4">
        <f t="shared" si="7"/>
        <v>107</v>
      </c>
      <c r="D110" s="4">
        <f t="shared" si="5"/>
        <v>3.5666666666666669</v>
      </c>
      <c r="E110" s="4">
        <f t="shared" si="6"/>
        <v>6.8144708547543344E-68</v>
      </c>
    </row>
    <row r="111" spans="3:5">
      <c r="C111" s="4">
        <f t="shared" si="7"/>
        <v>108</v>
      </c>
      <c r="D111" s="4">
        <f t="shared" si="5"/>
        <v>3.6</v>
      </c>
      <c r="E111" s="4">
        <f t="shared" si="6"/>
        <v>5.3153967295018746E-69</v>
      </c>
    </row>
    <row r="112" spans="3:5">
      <c r="C112" s="4">
        <f t="shared" si="7"/>
        <v>109</v>
      </c>
      <c r="D112" s="4">
        <f t="shared" si="5"/>
        <v>3.6333333333333333</v>
      </c>
      <c r="E112" s="4">
        <f t="shared" si="6"/>
        <v>4.1591871550114029E-70</v>
      </c>
    </row>
    <row r="113" spans="3:5">
      <c r="C113" s="4">
        <f t="shared" si="7"/>
        <v>110</v>
      </c>
      <c r="D113" s="4">
        <f t="shared" si="5"/>
        <v>3.6666666666666665</v>
      </c>
      <c r="E113" s="4">
        <f t="shared" si="6"/>
        <v>3.2651703590087401E-71</v>
      </c>
    </row>
    <row r="114" spans="3:5">
      <c r="C114" s="4">
        <f t="shared" si="7"/>
        <v>111</v>
      </c>
      <c r="D114" s="4">
        <f t="shared" si="5"/>
        <v>3.7</v>
      </c>
      <c r="E114" s="4">
        <f t="shared" si="6"/>
        <v>2.5720550028324148E-72</v>
      </c>
    </row>
    <row r="115" spans="3:5">
      <c r="C115" s="4">
        <f t="shared" si="7"/>
        <v>112</v>
      </c>
      <c r="D115" s="4">
        <f t="shared" si="5"/>
        <v>3.7333333333333334</v>
      </c>
      <c r="E115" s="4">
        <f t="shared" si="6"/>
        <v>2.0332055913061157E-73</v>
      </c>
    </row>
    <row r="116" spans="3:5">
      <c r="C116" s="4">
        <f t="shared" si="7"/>
        <v>113</v>
      </c>
      <c r="D116" s="4">
        <f t="shared" si="5"/>
        <v>3.7666666666666666</v>
      </c>
      <c r="E116" s="4">
        <f t="shared" si="6"/>
        <v>1.6130800484356131E-74</v>
      </c>
    </row>
    <row r="117" spans="3:5">
      <c r="C117" s="4">
        <f t="shared" si="7"/>
        <v>114</v>
      </c>
      <c r="D117" s="4">
        <f t="shared" si="5"/>
        <v>3.8</v>
      </c>
      <c r="E117" s="4">
        <f t="shared" si="6"/>
        <v>1.2845426457689647E-75</v>
      </c>
    </row>
    <row r="118" spans="3:5">
      <c r="C118" s="4">
        <f t="shared" si="7"/>
        <v>115</v>
      </c>
      <c r="D118" s="4">
        <f t="shared" si="5"/>
        <v>3.8333333333333335</v>
      </c>
      <c r="E118" s="4">
        <f t="shared" si="6"/>
        <v>1.0268360382160783E-76</v>
      </c>
    </row>
    <row r="119" spans="3:5">
      <c r="C119" s="4">
        <f t="shared" si="7"/>
        <v>116</v>
      </c>
      <c r="D119" s="4">
        <f t="shared" si="5"/>
        <v>3.8666666666666667</v>
      </c>
      <c r="E119" s="4">
        <f t="shared" si="6"/>
        <v>8.2404955407296029E-78</v>
      </c>
    </row>
    <row r="120" spans="3:5">
      <c r="C120" s="4">
        <f t="shared" si="7"/>
        <v>117</v>
      </c>
      <c r="D120" s="4">
        <f t="shared" si="5"/>
        <v>3.9</v>
      </c>
      <c r="E120" s="4">
        <f t="shared" si="6"/>
        <v>6.6396119404714928E-79</v>
      </c>
    </row>
    <row r="121" spans="3:5">
      <c r="C121" s="4">
        <f t="shared" si="7"/>
        <v>118</v>
      </c>
      <c r="D121" s="4">
        <f t="shared" si="5"/>
        <v>3.9333333333333331</v>
      </c>
      <c r="E121" s="4">
        <f t="shared" si="6"/>
        <v>5.3716117146250689E-80</v>
      </c>
    </row>
    <row r="122" spans="3:5">
      <c r="C122" s="4">
        <f t="shared" si="7"/>
        <v>119</v>
      </c>
      <c r="D122" s="4">
        <f t="shared" si="5"/>
        <v>3.9666666666666668</v>
      </c>
      <c r="E122" s="4">
        <f t="shared" si="6"/>
        <v>4.3638768834277123E-81</v>
      </c>
    </row>
    <row r="123" spans="3:5">
      <c r="C123" s="4">
        <f t="shared" si="7"/>
        <v>120</v>
      </c>
      <c r="D123" s="4">
        <f t="shared" si="5"/>
        <v>4</v>
      </c>
      <c r="E123" s="4">
        <f t="shared" si="6"/>
        <v>3.5602283178362965E-82</v>
      </c>
    </row>
    <row r="124" spans="3:5">
      <c r="C124" s="4">
        <f t="shared" si="7"/>
        <v>121</v>
      </c>
      <c r="D124" s="4">
        <f t="shared" si="5"/>
        <v>4.0333333333333332</v>
      </c>
      <c r="E124" s="4">
        <f t="shared" si="6"/>
        <v>2.9170939086850306E-83</v>
      </c>
    </row>
    <row r="125" spans="3:5">
      <c r="C125" s="4">
        <f t="shared" si="7"/>
        <v>122</v>
      </c>
      <c r="D125" s="4">
        <f t="shared" si="5"/>
        <v>4.0666666666666664</v>
      </c>
      <c r="E125" s="4">
        <f t="shared" si="6"/>
        <v>2.400590952946092E-84</v>
      </c>
    </row>
    <row r="126" spans="3:5">
      <c r="C126" s="4">
        <f t="shared" si="7"/>
        <v>123</v>
      </c>
      <c r="D126" s="4">
        <f t="shared" si="5"/>
        <v>4.0999999999999996</v>
      </c>
      <c r="E126" s="4">
        <f t="shared" si="6"/>
        <v>1.9843006225294734E-85</v>
      </c>
    </row>
    <row r="127" spans="3:5">
      <c r="C127" s="4">
        <f t="shared" si="7"/>
        <v>124</v>
      </c>
      <c r="D127" s="4">
        <f t="shared" si="5"/>
        <v>4.1333333333333337</v>
      </c>
      <c r="E127" s="4">
        <f t="shared" si="6"/>
        <v>1.6475671007972285E-86</v>
      </c>
    </row>
    <row r="128" spans="3:5">
      <c r="C128" s="4">
        <f t="shared" si="7"/>
        <v>125</v>
      </c>
      <c r="D128" s="4">
        <f t="shared" si="5"/>
        <v>4.166666666666667</v>
      </c>
      <c r="E128" s="4">
        <f t="shared" si="6"/>
        <v>1.3741950853310407E-87</v>
      </c>
    </row>
    <row r="129" spans="3:5">
      <c r="C129" s="4">
        <f t="shared" si="7"/>
        <v>126</v>
      </c>
      <c r="D129" s="4">
        <f t="shared" si="5"/>
        <v>4.2</v>
      </c>
      <c r="E129" s="4">
        <f t="shared" si="6"/>
        <v>1.1514502623123176E-88</v>
      </c>
    </row>
    <row r="130" spans="3:5">
      <c r="C130" s="4">
        <f t="shared" si="7"/>
        <v>127</v>
      </c>
      <c r="D130" s="4">
        <f t="shared" si="5"/>
        <v>4.2333333333333334</v>
      </c>
      <c r="E130" s="4">
        <f t="shared" si="6"/>
        <v>9.6929060859560544E-90</v>
      </c>
    </row>
    <row r="131" spans="3:5">
      <c r="C131" s="4">
        <f t="shared" si="7"/>
        <v>128</v>
      </c>
      <c r="D131" s="4">
        <f t="shared" si="5"/>
        <v>4.2666666666666666</v>
      </c>
      <c r="E131" s="4">
        <f t="shared" si="6"/>
        <v>8.1977388409414441E-91</v>
      </c>
    </row>
    <row r="132" spans="3:5">
      <c r="C132" s="4">
        <f t="shared" si="7"/>
        <v>129</v>
      </c>
      <c r="D132" s="4">
        <f t="shared" ref="D132:D153" si="8">C132/$B$17</f>
        <v>4.3</v>
      </c>
      <c r="E132" s="4">
        <f t="shared" ref="E132:E153" si="9">_xlfn.LOGNORM.DIST(D132,$B$6,$B$13,FALSE)</f>
        <v>6.9659987217176445E-92</v>
      </c>
    </row>
    <row r="133" spans="3:5">
      <c r="C133" s="4">
        <f t="shared" ref="C133:C153" si="10">C132+1</f>
        <v>130</v>
      </c>
      <c r="D133" s="4">
        <f t="shared" si="8"/>
        <v>4.333333333333333</v>
      </c>
      <c r="E133" s="4">
        <f t="shared" si="9"/>
        <v>5.9475588277451753E-93</v>
      </c>
    </row>
    <row r="134" spans="3:5">
      <c r="C134" s="4">
        <f t="shared" si="10"/>
        <v>131</v>
      </c>
      <c r="D134" s="4">
        <f t="shared" si="8"/>
        <v>4.3666666666666663</v>
      </c>
      <c r="E134" s="4">
        <f t="shared" si="9"/>
        <v>5.1024155637105524E-94</v>
      </c>
    </row>
    <row r="135" spans="3:5">
      <c r="C135" s="4">
        <f t="shared" si="10"/>
        <v>132</v>
      </c>
      <c r="D135" s="4">
        <f t="shared" si="8"/>
        <v>4.4000000000000004</v>
      </c>
      <c r="E135" s="4">
        <f t="shared" si="9"/>
        <v>4.3985469926464932E-95</v>
      </c>
    </row>
    <row r="136" spans="3:5">
      <c r="C136" s="4">
        <f t="shared" si="10"/>
        <v>133</v>
      </c>
      <c r="D136" s="4">
        <f t="shared" si="8"/>
        <v>4.4333333333333336</v>
      </c>
      <c r="E136" s="4">
        <f t="shared" si="9"/>
        <v>3.81024194559546E-96</v>
      </c>
    </row>
    <row r="137" spans="3:5">
      <c r="C137" s="4">
        <f t="shared" si="10"/>
        <v>134</v>
      </c>
      <c r="D137" s="4">
        <f t="shared" si="8"/>
        <v>4.4666666666666668</v>
      </c>
      <c r="E137" s="4">
        <f t="shared" si="9"/>
        <v>3.3167930723403535E-97</v>
      </c>
    </row>
    <row r="138" spans="3:5">
      <c r="C138" s="4">
        <f t="shared" si="10"/>
        <v>135</v>
      </c>
      <c r="D138" s="4">
        <f t="shared" si="8"/>
        <v>4.5</v>
      </c>
      <c r="E138" s="4">
        <f t="shared" si="9"/>
        <v>2.901471911316545E-98</v>
      </c>
    </row>
    <row r="139" spans="3:5">
      <c r="C139" s="4">
        <f t="shared" si="10"/>
        <v>136</v>
      </c>
      <c r="D139" s="4">
        <f t="shared" si="8"/>
        <v>4.5333333333333332</v>
      </c>
      <c r="E139" s="4">
        <f t="shared" si="9"/>
        <v>2.5507230171878263E-99</v>
      </c>
    </row>
    <row r="140" spans="3:5">
      <c r="C140" s="4">
        <f t="shared" si="10"/>
        <v>137</v>
      </c>
      <c r="D140" s="4">
        <f t="shared" si="8"/>
        <v>4.5666666666666664</v>
      </c>
      <c r="E140" s="4">
        <f t="shared" si="9"/>
        <v>2.2535286526415214E-100</v>
      </c>
    </row>
    <row r="141" spans="3:5">
      <c r="C141" s="4">
        <f t="shared" si="10"/>
        <v>138</v>
      </c>
      <c r="D141" s="4">
        <f t="shared" si="8"/>
        <v>4.5999999999999996</v>
      </c>
      <c r="E141" s="4">
        <f t="shared" si="9"/>
        <v>2.000906612287579E-101</v>
      </c>
    </row>
    <row r="142" spans="3:5">
      <c r="C142" s="4">
        <f t="shared" si="10"/>
        <v>139</v>
      </c>
      <c r="D142" s="4">
        <f t="shared" si="8"/>
        <v>4.6333333333333337</v>
      </c>
      <c r="E142" s="4">
        <f t="shared" si="9"/>
        <v>1.7855122200855719E-102</v>
      </c>
    </row>
    <row r="143" spans="3:5">
      <c r="C143" s="4">
        <f t="shared" si="10"/>
        <v>140</v>
      </c>
      <c r="D143" s="4">
        <f t="shared" si="8"/>
        <v>4.666666666666667</v>
      </c>
      <c r="E143" s="4">
        <f t="shared" si="9"/>
        <v>1.6013220460995952E-103</v>
      </c>
    </row>
    <row r="144" spans="3:5">
      <c r="C144" s="4">
        <f t="shared" si="10"/>
        <v>141</v>
      </c>
      <c r="D144" s="4">
        <f t="shared" si="8"/>
        <v>4.7</v>
      </c>
      <c r="E144" s="4">
        <f t="shared" si="9"/>
        <v>1.4433818916469949E-104</v>
      </c>
    </row>
    <row r="145" spans="3:5">
      <c r="C145" s="4">
        <f t="shared" si="10"/>
        <v>142</v>
      </c>
      <c r="D145" s="4">
        <f t="shared" si="8"/>
        <v>4.7333333333333334</v>
      </c>
      <c r="E145" s="4">
        <f t="shared" si="9"/>
        <v>1.3076054487078691E-105</v>
      </c>
    </row>
    <row r="146" spans="3:5">
      <c r="C146" s="4">
        <f t="shared" si="10"/>
        <v>143</v>
      </c>
      <c r="D146" s="4">
        <f t="shared" si="8"/>
        <v>4.7666666666666666</v>
      </c>
      <c r="E146" s="4">
        <f t="shared" si="9"/>
        <v>1.190613018988337E-106</v>
      </c>
    </row>
    <row r="147" spans="3:5">
      <c r="C147" s="4">
        <f t="shared" si="10"/>
        <v>144</v>
      </c>
      <c r="D147" s="4">
        <f t="shared" si="8"/>
        <v>4.8</v>
      </c>
      <c r="E147" s="4">
        <f t="shared" si="9"/>
        <v>1.0896019849359431E-107</v>
      </c>
    </row>
    <row r="148" spans="3:5">
      <c r="C148" s="4">
        <f t="shared" si="10"/>
        <v>145</v>
      </c>
      <c r="D148" s="4">
        <f t="shared" si="8"/>
        <v>4.833333333333333</v>
      </c>
      <c r="E148" s="4">
        <f t="shared" si="9"/>
        <v>1.0022425151795939E-108</v>
      </c>
    </row>
    <row r="149" spans="3:5">
      <c r="C149" s="4">
        <f t="shared" si="10"/>
        <v>146</v>
      </c>
      <c r="D149" s="4">
        <f t="shared" si="8"/>
        <v>4.8666666666666663</v>
      </c>
      <c r="E149" s="4">
        <f t="shared" si="9"/>
        <v>9.265933792478362E-110</v>
      </c>
    </row>
    <row r="150" spans="3:5">
      <c r="C150" s="4">
        <f t="shared" si="10"/>
        <v>147</v>
      </c>
      <c r="D150" s="4">
        <f t="shared" si="8"/>
        <v>4.9000000000000004</v>
      </c>
      <c r="E150" s="4">
        <f t="shared" si="9"/>
        <v>8.6103383195102397E-111</v>
      </c>
    </row>
    <row r="151" spans="3:5">
      <c r="C151" s="4">
        <f t="shared" si="10"/>
        <v>148</v>
      </c>
      <c r="D151" s="4">
        <f t="shared" si="8"/>
        <v>4.9333333333333336</v>
      </c>
      <c r="E151" s="4">
        <f t="shared" si="9"/>
        <v>8.0420837614982645E-112</v>
      </c>
    </row>
    <row r="152" spans="3:5">
      <c r="C152" s="4">
        <f t="shared" si="10"/>
        <v>149</v>
      </c>
      <c r="D152" s="4">
        <f t="shared" si="8"/>
        <v>4.9666666666666668</v>
      </c>
      <c r="E152" s="4">
        <f t="shared" si="9"/>
        <v>7.5498187724562348E-113</v>
      </c>
    </row>
    <row r="153" spans="3:5">
      <c r="C153" s="4">
        <f t="shared" si="10"/>
        <v>150</v>
      </c>
      <c r="D153" s="4">
        <f t="shared" si="8"/>
        <v>5</v>
      </c>
      <c r="E153" s="4">
        <f t="shared" si="9"/>
        <v>7.1240302474075671E-114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2E790B-890C-4DB1-9B48-4C74895904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MyPortfolio</vt:lpstr>
      <vt:lpstr>correlation</vt:lpstr>
      <vt:lpstr>lognormal</vt:lpstr>
      <vt:lpstr>beta</vt:lpstr>
      <vt:lpstr>tangentPorfolio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Sheung KAM (Raymond) WONG</dc:creator>
  <cp:lastModifiedBy>raymond</cp:lastModifiedBy>
  <dcterms:created xsi:type="dcterms:W3CDTF">2015-06-05T18:17:20Z</dcterms:created>
  <dcterms:modified xsi:type="dcterms:W3CDTF">2021-06-12T08:37:52Z</dcterms:modified>
</cp:coreProperties>
</file>